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1950" windowWidth="16440" windowHeight="8535" activeTab="0"/>
  </bookViews>
  <sheets>
    <sheet name="kiadás" sheetId="1" r:id="rId1"/>
    <sheet name="bevétel" sheetId="2" r:id="rId2"/>
  </sheets>
  <definedNames>
    <definedName name="_xlnm.Print_Area" localSheetId="1">'bevétel'!$A$1:$P$38</definedName>
    <definedName name="_xlnm.Print_Area" localSheetId="0">'kiadás'!$A$7:$P$52</definedName>
  </definedNames>
  <calcPr fullCalcOnLoad="1"/>
</workbook>
</file>

<file path=xl/sharedStrings.xml><?xml version="1.0" encoding="utf-8"?>
<sst xmlns="http://schemas.openxmlformats.org/spreadsheetml/2006/main" count="128" uniqueCount="105">
  <si>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</si>
  <si>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</si>
  <si>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</si>
  <si>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</si>
  <si>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</si>
  <si>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</si>
  <si>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</si>
  <si>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</si>
  <si>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</si>
  <si>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</si>
  <si>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</si>
  <si>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</si>
  <si>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</si>
  <si>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</si>
  <si>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</si>
  <si>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</si>
  <si>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</si>
  <si>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</si>
  <si>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</si>
  <si>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</si>
  <si>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</si>
  <si>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</si>
  <si>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</si>
  <si>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</si>
  <si>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</si>
  <si>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</si>
  <si>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</si>
  <si>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</si>
  <si>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</si>
  <si>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</si>
  <si>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</si>
  <si>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</si>
  <si>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</si>
  <si>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</si>
  <si>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</si>
  <si>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</si>
  <si>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</si>
  <si>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</si>
  <si>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</si>
  <si>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</si>
  <si>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</si>
  <si>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</si>
  <si>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</si>
  <si>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</si>
  <si>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</si>
  <si>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</si>
  <si>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</si>
  <si>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</si>
  <si>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</si>
  <si>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</si>
  <si>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</si>
  <si>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</si>
  <si>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</si>
  <si>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</si>
  <si>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</si>
  <si>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</si>
  <si>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</si>
  <si>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</si>
  <si>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</si>
  <si>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</si>
  <si>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</si>
  <si>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</si>
  <si>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</si>
  <si>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</si>
  <si>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</si>
  <si>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</si>
  <si>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</si>
  <si>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</si>
  <si>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</si>
  <si>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</si>
  <si>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</si>
  <si>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</si>
  <si>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</si>
  <si>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</si>
  <si>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</si>
  <si>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</si>
  <si>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</si>
  <si>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</si>
  <si>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</si>
  <si>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</si>
  <si>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</si>
  <si>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</si>
  <si>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</si>
  <si>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</si>
  <si>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</si>
  <si>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</si>
  <si>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</si>
  <si>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</si>
  <si>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</si>
  <si>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</si>
  <si>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</si>
  <si>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</si>
  <si>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</si>
  <si>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</si>
  <si>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</si>
  <si>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ei</t>
  </si>
  <si>
    <t>Belváros-Lipótváros Önkormányzata 2017.évi kiadásainak előirányzat-felhasználási ütemterve</t>
  </si>
  <si>
    <r>
      <t xml:space="preserve"> </t>
    </r>
    <r>
      <rPr>
        <b/>
        <sz val="12"/>
        <rFont val="Arial CE"/>
        <family val="2"/>
      </rPr>
      <t>Belváros-Lipótváros Önkormányzata 2017.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</si>
  <si>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2017. évi ei</t>
  </si>
  <si>
    <t>2017.évi</t>
  </si>
  <si>
    <t>Belföldi értékpapírok beváltása működési</t>
  </si>
  <si>
    <t>Belföldi értékpapírok beváltása finanszírozási</t>
  </si>
  <si>
    <t xml:space="preserve">   c.) irányítószervi felhalmozási támogatás</t>
  </si>
  <si>
    <t xml:space="preserve">   b.) belföldi értékpapírok kiadásai</t>
  </si>
  <si>
    <t>Felhalmozási célú támogatás Áh. n belülről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</si>
</sst>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7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54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3" fontId="5" fillId="0" borderId="72" xfId="0" applyNumberFormat="1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3" fontId="5" fillId="0" borderId="75" xfId="0" applyNumberFormat="1" applyFont="1" applyFill="1" applyBorder="1" applyAlignment="1">
      <alignment vertical="center" shrinkToFit="1"/>
    </xf>
    <xf numFmtId="3" fontId="7" fillId="0" borderId="40" xfId="0" applyNumberFormat="1" applyFont="1" applyFill="1" applyBorder="1" applyAlignment="1">
      <alignment vertical="center" shrinkToFit="1"/>
    </xf>
    <xf numFmtId="3" fontId="7" fillId="0" borderId="74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5" fillId="0" borderId="76" xfId="0" applyNumberFormat="1" applyFont="1" applyFill="1" applyBorder="1" applyAlignment="1">
      <alignment vertical="center" shrinkToFit="1"/>
    </xf>
    <xf numFmtId="3" fontId="5" fillId="0" borderId="77" xfId="0" applyNumberFormat="1" applyFont="1" applyFill="1" applyBorder="1" applyAlignment="1">
      <alignment vertical="center" shrinkToFit="1"/>
    </xf>
    <xf numFmtId="3" fontId="0" fillId="0" borderId="46" xfId="0" applyNumberFormat="1" applyFont="1" applyFill="1" applyBorder="1" applyAlignment="1">
      <alignment vertical="center"/>
    </xf>
    <xf numFmtId="3" fontId="7" fillId="0" borderId="78" xfId="0" applyNumberFormat="1" applyFont="1" applyFill="1" applyBorder="1" applyAlignment="1">
      <alignment vertical="center" shrinkToFit="1"/>
    </xf>
    <xf numFmtId="3" fontId="5" fillId="0" borderId="24" xfId="0" applyNumberFormat="1" applyFont="1" applyFill="1" applyBorder="1" applyAlignment="1">
      <alignment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79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3" fontId="5" fillId="0" borderId="80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3" fontId="5" fillId="0" borderId="83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6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3" fontId="5" fillId="0" borderId="89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B33" sqref="B33"/>
    </sheetView>
  </sheetViews>
  <sheetFormatPr defaultColWidth="9.00390625" defaultRowHeight="12.75"/>
  <cols>
    <col min="1" max="1" width="3.125" style="37" customWidth="1"/>
    <col min="2" max="2" width="36.625" style="18" customWidth="1"/>
    <col min="3" max="3" width="12.25390625" style="22" customWidth="1"/>
    <col min="4" max="4" width="10.625" style="22" customWidth="1"/>
    <col min="5" max="5" width="10.00390625" style="22" customWidth="1"/>
    <col min="6" max="6" width="10.625" style="22" customWidth="1"/>
    <col min="7" max="7" width="10.00390625" style="22" customWidth="1"/>
    <col min="8" max="8" width="10.625" style="22" customWidth="1"/>
    <col min="9" max="9" width="11.125" style="22" customWidth="1"/>
    <col min="10" max="15" width="10.00390625" style="22" customWidth="1"/>
    <col min="16" max="16" width="11.125" style="22" customWidth="1"/>
    <col min="17" max="16384" width="9.125" style="22" customWidth="1"/>
  </cols>
  <sheetData>
    <row r="1" spans="1:16" ht="11.25">
      <c r="A1" s="20"/>
      <c r="B1" s="4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1.25">
      <c r="A2" s="20"/>
      <c r="B2" s="4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84" t="s">
        <v>40</v>
      </c>
      <c r="P2" s="184"/>
    </row>
    <row r="3" spans="1:16" ht="11.25">
      <c r="A3" s="20"/>
      <c r="B3" s="4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1.25">
      <c r="A4" s="20"/>
      <c r="B4" s="4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1.25">
      <c r="A5" s="20"/>
      <c r="B5" s="4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1.25">
      <c r="A6" s="20"/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0"/>
      <c r="B7" s="4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87" t="s">
        <v>91</v>
      </c>
      <c r="P7" s="187"/>
    </row>
    <row r="8" spans="1:16" ht="21" customHeight="1">
      <c r="A8" s="183" t="s">
        <v>96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</row>
    <row r="9" spans="1:16" ht="11.25">
      <c r="A9" s="23"/>
      <c r="B9" s="4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2">
      <c r="A10" s="23"/>
      <c r="B10" s="4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43"/>
      <c r="N10" s="23"/>
      <c r="O10" s="23"/>
      <c r="P10" s="23"/>
    </row>
    <row r="11" spans="1:16" ht="12.75">
      <c r="A11" s="23"/>
      <c r="B11" s="44"/>
      <c r="C11" s="23"/>
      <c r="D11" s="48"/>
      <c r="E11" s="49"/>
      <c r="F11" s="48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" customHeight="1">
      <c r="A12" s="23"/>
      <c r="B12" s="44"/>
      <c r="C12" s="49"/>
      <c r="D12" s="48"/>
      <c r="E12" s="4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3.5" thickBot="1">
      <c r="A13" s="20"/>
      <c r="B13" s="4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2" t="s">
        <v>0</v>
      </c>
    </row>
    <row r="14" spans="1:16" ht="17.25" customHeight="1" thickBot="1">
      <c r="A14" s="190" t="s">
        <v>1</v>
      </c>
      <c r="B14" s="190"/>
      <c r="C14" s="185" t="s">
        <v>98</v>
      </c>
      <c r="D14" s="181" t="s">
        <v>2</v>
      </c>
      <c r="E14" s="181" t="s">
        <v>3</v>
      </c>
      <c r="F14" s="181" t="s">
        <v>4</v>
      </c>
      <c r="G14" s="181" t="s">
        <v>5</v>
      </c>
      <c r="H14" s="181" t="s">
        <v>6</v>
      </c>
      <c r="I14" s="181" t="s">
        <v>7</v>
      </c>
      <c r="J14" s="181" t="s">
        <v>8</v>
      </c>
      <c r="K14" s="181" t="s">
        <v>9</v>
      </c>
      <c r="L14" s="181" t="s">
        <v>10</v>
      </c>
      <c r="M14" s="181" t="s">
        <v>11</v>
      </c>
      <c r="N14" s="181" t="s">
        <v>12</v>
      </c>
      <c r="O14" s="181" t="s">
        <v>13</v>
      </c>
      <c r="P14" s="181" t="s">
        <v>14</v>
      </c>
    </row>
    <row r="15" spans="1:16" ht="10.5" thickBot="1">
      <c r="A15" s="190"/>
      <c r="B15" s="190"/>
      <c r="C15" s="186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</row>
    <row r="16" spans="1:16" ht="15" customHeight="1" thickBot="1">
      <c r="A16" s="193">
        <v>1</v>
      </c>
      <c r="B16" s="194"/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24">
        <v>8</v>
      </c>
      <c r="J16" s="24">
        <v>9</v>
      </c>
      <c r="K16" s="24">
        <v>10</v>
      </c>
      <c r="L16" s="24">
        <v>11</v>
      </c>
      <c r="M16" s="24">
        <v>12</v>
      </c>
      <c r="N16" s="24">
        <v>13</v>
      </c>
      <c r="O16" s="24">
        <v>14</v>
      </c>
      <c r="P16" s="24">
        <v>15</v>
      </c>
    </row>
    <row r="17" spans="1:16" ht="15" customHeight="1">
      <c r="A17" s="25" t="s">
        <v>15</v>
      </c>
      <c r="B17" s="26" t="s">
        <v>77</v>
      </c>
      <c r="C17" s="27">
        <f>SUM(C18:C22)</f>
        <v>15985518</v>
      </c>
      <c r="D17" s="27">
        <f aca="true" t="shared" si="0" ref="D17:N17">SUM(D18:D22)</f>
        <v>1500957.53</v>
      </c>
      <c r="E17" s="27">
        <f t="shared" si="0"/>
        <v>1358292.24</v>
      </c>
      <c r="F17" s="27">
        <f t="shared" si="0"/>
        <v>1219620.24</v>
      </c>
      <c r="G17" s="27">
        <f t="shared" si="0"/>
        <v>1242946.6</v>
      </c>
      <c r="H17" s="27">
        <f t="shared" si="0"/>
        <v>1217004.18</v>
      </c>
      <c r="I17" s="27">
        <f t="shared" si="0"/>
        <v>1219898.24</v>
      </c>
      <c r="J17" s="27">
        <f t="shared" si="0"/>
        <v>1438660.68</v>
      </c>
      <c r="K17" s="27">
        <f t="shared" si="0"/>
        <v>1354344.38</v>
      </c>
      <c r="L17" s="27">
        <f t="shared" si="0"/>
        <v>1314783.1600000001</v>
      </c>
      <c r="M17" s="27">
        <f t="shared" si="0"/>
        <v>1347933.2</v>
      </c>
      <c r="N17" s="27">
        <f t="shared" si="0"/>
        <v>1424009.26</v>
      </c>
      <c r="O17" s="27">
        <f>SUM(O18:O22)</f>
        <v>1456054.38</v>
      </c>
      <c r="P17" s="109">
        <f>SUM(D17:O17)</f>
        <v>16094504.09</v>
      </c>
    </row>
    <row r="18" spans="1:16" ht="15" customHeight="1">
      <c r="A18" s="29"/>
      <c r="B18" s="45" t="s">
        <v>16</v>
      </c>
      <c r="C18" s="132">
        <v>3426033</v>
      </c>
      <c r="D18" s="30">
        <f>48653+48300+12148+155897+25392+56109</f>
        <v>346499</v>
      </c>
      <c r="E18" s="30">
        <f>48653+155897+12000+25392</f>
        <v>241942</v>
      </c>
      <c r="F18" s="30">
        <f>48653+155897+25392</f>
        <v>229942</v>
      </c>
      <c r="G18" s="30">
        <f>48653+48458+29780+155897+25392</f>
        <v>308180</v>
      </c>
      <c r="H18" s="30">
        <f>48653+155897+31727+25392</f>
        <v>261669</v>
      </c>
      <c r="I18" s="30">
        <f>48653+155897+12000+25392</f>
        <v>241942</v>
      </c>
      <c r="J18" s="30">
        <f>48653+12500+155897+7840+25392+63525+10587</f>
        <v>324394</v>
      </c>
      <c r="K18" s="30">
        <f>48653+155897+3500+12000+25392+10587</f>
        <v>256029</v>
      </c>
      <c r="L18" s="30">
        <f>48653+155897-4000+3200+17468+25392+10587+9523+3958</f>
        <v>270678</v>
      </c>
      <c r="M18" s="30">
        <f>48653+7891+155987+2900+15000+25392+10587+9542+3958</f>
        <v>279910</v>
      </c>
      <c r="N18" s="30">
        <f>48653+29780+155987+2200+15000+7000+19469+12292+25392+10587+5415+3958</f>
        <v>335733</v>
      </c>
      <c r="O18" s="30">
        <f>48653+20000+155717+984+14572+45000+35000-25849+20000+17000-1585+25388+10589+3960</f>
        <v>369429</v>
      </c>
      <c r="P18" s="19">
        <f aca="true" t="shared" si="1" ref="P18:P50">SUM(D18:O18)</f>
        <v>3466347</v>
      </c>
    </row>
    <row r="19" spans="1:16" ht="15" customHeight="1">
      <c r="A19" s="29"/>
      <c r="B19" s="45" t="s">
        <v>67</v>
      </c>
      <c r="C19" s="132">
        <v>834095</v>
      </c>
      <c r="D19" s="30">
        <f>SUM(D18*0.22)+19357</f>
        <v>95586.78</v>
      </c>
      <c r="E19" s="30">
        <f aca="true" t="shared" si="2" ref="E19:N19">SUM(E18*0.22)</f>
        <v>53227.24</v>
      </c>
      <c r="F19" s="30">
        <f>SUM(F18*0.22)+2312</f>
        <v>52899.24</v>
      </c>
      <c r="G19" s="30">
        <f>SUM(G18*0.22)+11236</f>
        <v>79035.6</v>
      </c>
      <c r="H19" s="30">
        <f t="shared" si="2"/>
        <v>57567.18</v>
      </c>
      <c r="I19" s="30">
        <f t="shared" si="2"/>
        <v>53227.24</v>
      </c>
      <c r="J19" s="30">
        <f>SUM(J18*0.22)+25333</f>
        <v>96699.68000000001</v>
      </c>
      <c r="K19" s="30">
        <f t="shared" si="2"/>
        <v>56326.38</v>
      </c>
      <c r="L19" s="30">
        <f t="shared" si="2"/>
        <v>59549.16</v>
      </c>
      <c r="M19" s="30">
        <f t="shared" si="2"/>
        <v>61580.2</v>
      </c>
      <c r="N19" s="30">
        <f t="shared" si="2"/>
        <v>73861.26</v>
      </c>
      <c r="O19" s="30">
        <f>SUM(O18*0.22)+22130+1391</f>
        <v>104795.38</v>
      </c>
      <c r="P19" s="19">
        <f t="shared" si="1"/>
        <v>844355.34</v>
      </c>
    </row>
    <row r="20" spans="1:16" ht="15" customHeight="1">
      <c r="A20" s="29"/>
      <c r="B20" s="45" t="s">
        <v>38</v>
      </c>
      <c r="C20" s="132">
        <v>9486629</v>
      </c>
      <c r="D20" s="30">
        <f>673522-14344-10000+60000+1200+164746</f>
        <v>875124</v>
      </c>
      <c r="E20" s="30">
        <f>673522-11000+60000+1200+164747</f>
        <v>888469</v>
      </c>
      <c r="F20" s="30">
        <f>673522+60490+1200</f>
        <v>735212</v>
      </c>
      <c r="G20" s="30">
        <f>673522+32270+1200</f>
        <v>706992</v>
      </c>
      <c r="H20" s="30">
        <f>673522+32280+35000+120</f>
        <v>740922</v>
      </c>
      <c r="I20" s="30">
        <f>673522+35000+23406+20000+12356+1200</f>
        <v>765484</v>
      </c>
      <c r="J20" s="30">
        <f>673522+22325+19487+50000+20000+14253+1200</f>
        <v>800787</v>
      </c>
      <c r="K20" s="30">
        <f>673522+26332+50000+20000+12403+1200+12356</f>
        <v>795813</v>
      </c>
      <c r="L20" s="30">
        <f>673522+54231+50000+20000+1200+12432</f>
        <v>811385</v>
      </c>
      <c r="M20" s="30">
        <f>673522+21323+25000+50000+20000+35000+1200+15058</f>
        <v>841103</v>
      </c>
      <c r="N20" s="30">
        <f>673522+23541+123547+50000+20000+34147+70038-200000+1200</f>
        <v>795995</v>
      </c>
      <c r="O20" s="30">
        <f>673522-5+34005+11717+70453+100000+20000+30000-10224+78000-240448+2169</f>
        <v>769189</v>
      </c>
      <c r="P20" s="19">
        <f t="shared" si="1"/>
        <v>9526475</v>
      </c>
    </row>
    <row r="21" spans="1:16" ht="15" customHeight="1">
      <c r="A21" s="29"/>
      <c r="B21" s="45" t="s">
        <v>39</v>
      </c>
      <c r="C21" s="132">
        <v>671978</v>
      </c>
      <c r="D21" s="30">
        <f>50000+30515+3000+29195</f>
        <v>112710</v>
      </c>
      <c r="E21" s="30">
        <f>50000+30515+3500</f>
        <v>84015</v>
      </c>
      <c r="F21" s="30">
        <f>50000+30515+3516</f>
        <v>84031</v>
      </c>
      <c r="G21" s="30">
        <f>30515+2300+5000</f>
        <v>37815</v>
      </c>
      <c r="H21" s="30">
        <f>30515+2300+5000</f>
        <v>37815</v>
      </c>
      <c r="I21" s="30">
        <f>30515+2217+5000</f>
        <v>37732</v>
      </c>
      <c r="J21" s="30">
        <f>30515+15467</f>
        <v>45982</v>
      </c>
      <c r="K21" s="30">
        <f>30515+13545+3686+1521-7925+13703</f>
        <v>55045</v>
      </c>
      <c r="L21" s="30">
        <f>30515+15326+2246-5000</f>
        <v>43087</v>
      </c>
      <c r="M21" s="30">
        <f>30515+15325+5000-10000</f>
        <v>40840</v>
      </c>
      <c r="N21" s="30">
        <f>50000+30515+1166+124-40000</f>
        <v>41805</v>
      </c>
      <c r="O21" s="30">
        <f>50000+30515+24205-15920-23996</f>
        <v>64804</v>
      </c>
      <c r="P21" s="19">
        <f t="shared" si="1"/>
        <v>685681</v>
      </c>
    </row>
    <row r="22" spans="1:16" ht="15" customHeight="1">
      <c r="A22" s="29"/>
      <c r="B22" s="45" t="s">
        <v>51</v>
      </c>
      <c r="C22" s="132">
        <f>SUM(C24:C29)</f>
        <v>1566783</v>
      </c>
      <c r="D22" s="132">
        <f aca="true" t="shared" si="3" ref="D22:O22">SUM(D25:D29)</f>
        <v>71037.75</v>
      </c>
      <c r="E22" s="132">
        <f t="shared" si="3"/>
        <v>90639</v>
      </c>
      <c r="F22" s="132">
        <f t="shared" si="3"/>
        <v>117536</v>
      </c>
      <c r="G22" s="132">
        <f>SUM(G24:G29)</f>
        <v>110924</v>
      </c>
      <c r="H22" s="132">
        <f t="shared" si="3"/>
        <v>119031</v>
      </c>
      <c r="I22" s="132">
        <f t="shared" si="3"/>
        <v>121513</v>
      </c>
      <c r="J22" s="132">
        <f t="shared" si="3"/>
        <v>170798</v>
      </c>
      <c r="K22" s="132">
        <f t="shared" si="3"/>
        <v>191131</v>
      </c>
      <c r="L22" s="132">
        <f t="shared" si="3"/>
        <v>130084</v>
      </c>
      <c r="M22" s="132">
        <f t="shared" si="3"/>
        <v>124500</v>
      </c>
      <c r="N22" s="132">
        <f t="shared" si="3"/>
        <v>176615</v>
      </c>
      <c r="O22" s="132">
        <f t="shared" si="3"/>
        <v>147837</v>
      </c>
      <c r="P22" s="19">
        <f t="shared" si="1"/>
        <v>1571645.75</v>
      </c>
    </row>
    <row r="23" spans="1:16" ht="12.75" customHeight="1" hidden="1">
      <c r="A23" s="123"/>
      <c r="B23" s="124"/>
      <c r="C23" s="16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19">
        <f t="shared" si="1"/>
        <v>0</v>
      </c>
    </row>
    <row r="24" spans="1:16" ht="12.75" customHeight="1">
      <c r="A24" s="106"/>
      <c r="B24" s="124" t="s">
        <v>84</v>
      </c>
      <c r="C24" s="162"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19">
        <f t="shared" si="1"/>
        <v>0</v>
      </c>
    </row>
    <row r="25" spans="1:16" ht="12.75" customHeight="1">
      <c r="A25" s="106"/>
      <c r="B25" s="124" t="s">
        <v>70</v>
      </c>
      <c r="C25" s="162">
        <v>460137</v>
      </c>
      <c r="D25" s="32">
        <f>SUM(C25/12)-2400</f>
        <v>35944.75</v>
      </c>
      <c r="E25" s="32">
        <f>36941+23-6000-2000</f>
        <v>28964</v>
      </c>
      <c r="F25" s="32">
        <f>36941+23-7000</f>
        <v>29964</v>
      </c>
      <c r="G25" s="32">
        <f>36941-7000</f>
        <v>29941</v>
      </c>
      <c r="H25" s="32">
        <f>36941-3029-6000</f>
        <v>27912</v>
      </c>
      <c r="I25" s="32">
        <f>36941-3000-8000</f>
        <v>25941</v>
      </c>
      <c r="J25" s="32">
        <f>36941-8000+40000</f>
        <v>68941</v>
      </c>
      <c r="K25" s="32">
        <f>36941-8000+20000+19492</f>
        <v>68433</v>
      </c>
      <c r="L25" s="32">
        <f>36941-8000+21305+1081</f>
        <v>51327</v>
      </c>
      <c r="M25" s="32">
        <f>36941-19000+21000-8000</f>
        <v>30941</v>
      </c>
      <c r="N25" s="32">
        <f>36941-19000+20682-8000</f>
        <v>30623</v>
      </c>
      <c r="O25" s="108">
        <f>36941-5-21064+8744+13575+2095-8000</f>
        <v>32286</v>
      </c>
      <c r="P25" s="19">
        <f t="shared" si="1"/>
        <v>461217.75</v>
      </c>
    </row>
    <row r="26" spans="1:16" ht="12.75" customHeight="1">
      <c r="A26" s="106"/>
      <c r="B26" s="124" t="s">
        <v>85</v>
      </c>
      <c r="C26" s="162"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08"/>
      <c r="P26" s="19">
        <f t="shared" si="1"/>
        <v>0</v>
      </c>
    </row>
    <row r="27" spans="1:16" ht="12.75" customHeight="1">
      <c r="A27" s="106"/>
      <c r="B27" s="124" t="s">
        <v>71</v>
      </c>
      <c r="C27" s="162">
        <v>691112</v>
      </c>
      <c r="D27" s="32">
        <f>40093-5000-10000+10000</f>
        <v>35093</v>
      </c>
      <c r="E27" s="32">
        <f>40093-5000-10000</f>
        <v>25093</v>
      </c>
      <c r="F27" s="32">
        <f>40093-20000+26816</f>
        <v>46909</v>
      </c>
      <c r="G27" s="32">
        <f>40093-20000+23541</f>
        <v>43634</v>
      </c>
      <c r="H27" s="32">
        <f>40093+3400-20000+20000</f>
        <v>43493</v>
      </c>
      <c r="I27" s="32">
        <f>40093+45236-20000+20000</f>
        <v>85329</v>
      </c>
      <c r="J27" s="32">
        <f>40093+35621-20000+35621</f>
        <v>91335</v>
      </c>
      <c r="K27" s="32">
        <f>40093+14796+25631-20000-18751+29453+40235</f>
        <v>111457</v>
      </c>
      <c r="L27" s="32">
        <f>40093+10000+21321-20000+15031</f>
        <v>66445</v>
      </c>
      <c r="M27" s="32">
        <f>40093-3395+10000+24123+20682-20000-2717</f>
        <v>68786</v>
      </c>
      <c r="N27" s="32">
        <f>40093+10000+21652+20000-20000-10000</f>
        <v>61745</v>
      </c>
      <c r="O27" s="32">
        <f>40093+10000+29977+6989-20000</f>
        <v>67059</v>
      </c>
      <c r="P27" s="19">
        <f t="shared" si="1"/>
        <v>746378</v>
      </c>
    </row>
    <row r="28" spans="1:16" ht="12.75" customHeight="1">
      <c r="A28" s="106"/>
      <c r="B28" s="124" t="s">
        <v>72</v>
      </c>
      <c r="C28" s="162">
        <v>100000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08">
        <v>30624</v>
      </c>
      <c r="P28" s="19">
        <f t="shared" si="1"/>
        <v>30624</v>
      </c>
    </row>
    <row r="29" spans="1:16" ht="12.75" customHeight="1">
      <c r="A29" s="106"/>
      <c r="B29" s="124" t="s">
        <v>73</v>
      </c>
      <c r="C29" s="162">
        <v>315534</v>
      </c>
      <c r="D29" s="32"/>
      <c r="E29" s="32">
        <f>34539-22345+50000-25612</f>
        <v>36582</v>
      </c>
      <c r="F29" s="32">
        <f>34539+20000-48564+50000+10000-25312</f>
        <v>40663</v>
      </c>
      <c r="G29" s="32">
        <f>34539+15000-47658+50000+10000-24532</f>
        <v>37349</v>
      </c>
      <c r="H29" s="32">
        <f>34539-24598+50000+10000-29852+9383-1846</f>
        <v>47626</v>
      </c>
      <c r="I29" s="32">
        <v>10243</v>
      </c>
      <c r="J29" s="32">
        <v>10522</v>
      </c>
      <c r="K29" s="32">
        <v>11241</v>
      </c>
      <c r="L29" s="32">
        <v>12312</v>
      </c>
      <c r="M29" s="32">
        <f>9542+15231</f>
        <v>24773</v>
      </c>
      <c r="N29" s="32">
        <f>91243+12321-19317</f>
        <v>84247</v>
      </c>
      <c r="O29" s="108">
        <f>8211+9657</f>
        <v>17868</v>
      </c>
      <c r="P29" s="19">
        <f t="shared" si="1"/>
        <v>333426</v>
      </c>
    </row>
    <row r="30" spans="1:16" ht="15" customHeight="1">
      <c r="A30" s="33" t="s">
        <v>17</v>
      </c>
      <c r="B30" s="34" t="s">
        <v>78</v>
      </c>
      <c r="C30" s="19">
        <f aca="true" t="shared" si="4" ref="C30:N30">SUM(C31:C33)</f>
        <v>10673725</v>
      </c>
      <c r="D30" s="19">
        <f>SUM(D31:D33)</f>
        <v>102281.25</v>
      </c>
      <c r="E30" s="19">
        <f t="shared" si="4"/>
        <v>148497.25</v>
      </c>
      <c r="F30" s="19">
        <f t="shared" si="4"/>
        <v>176494.25</v>
      </c>
      <c r="G30" s="19">
        <f t="shared" si="4"/>
        <v>157972.25</v>
      </c>
      <c r="H30" s="19">
        <f t="shared" si="4"/>
        <v>103577</v>
      </c>
      <c r="I30" s="19">
        <f t="shared" si="4"/>
        <v>213806</v>
      </c>
      <c r="J30" s="19">
        <f t="shared" si="4"/>
        <v>293814</v>
      </c>
      <c r="K30" s="19">
        <f t="shared" si="4"/>
        <v>342499</v>
      </c>
      <c r="L30" s="19">
        <f t="shared" si="4"/>
        <v>354207</v>
      </c>
      <c r="M30" s="19">
        <f t="shared" si="4"/>
        <v>912546</v>
      </c>
      <c r="N30" s="19">
        <f t="shared" si="4"/>
        <v>1283658</v>
      </c>
      <c r="O30" s="19">
        <f>SUM(O31:O33)</f>
        <v>6866891</v>
      </c>
      <c r="P30" s="19">
        <f>SUM(D30:O30)</f>
        <v>10956243</v>
      </c>
    </row>
    <row r="31" spans="1:16" ht="15" customHeight="1">
      <c r="A31" s="29"/>
      <c r="B31" s="45" t="s">
        <v>68</v>
      </c>
      <c r="C31" s="132">
        <v>8259624</v>
      </c>
      <c r="D31" s="132">
        <f>314961/4+1092+120000+1000-100000-4000</f>
        <v>96832.25</v>
      </c>
      <c r="E31" s="132">
        <f>314961/4+1092+11276+1000-10000</f>
        <v>82108.25</v>
      </c>
      <c r="F31" s="132">
        <f>314961/4+1092+11000+1000-10000</f>
        <v>81832.25</v>
      </c>
      <c r="G31" s="132">
        <f>314961/4+1092+12000+1000-10000</f>
        <v>82832.25</v>
      </c>
      <c r="H31" s="132">
        <f>1092+12000+1000</f>
        <v>14092</v>
      </c>
      <c r="I31" s="132">
        <f>1092+1000+3000+75121</f>
        <v>80213</v>
      </c>
      <c r="J31" s="132">
        <f>1092+1000+2000+25256+300000-80000-6641-123623</f>
        <v>119084</v>
      </c>
      <c r="K31" s="132">
        <f>1092+1000+5000+15032+200000-112351</f>
        <v>109773</v>
      </c>
      <c r="L31" s="132">
        <f>1092+1000+3000+124+214300+150000-80000-132421</f>
        <v>157095</v>
      </c>
      <c r="M31" s="132">
        <f>1092+1000+7000+147+50000+136500+125322+399349</f>
        <v>720410</v>
      </c>
      <c r="N31" s="132">
        <f>1092+1000+1000+1896+37650+3520+120000-60000+1000000+46715</f>
        <v>1152873</v>
      </c>
      <c r="O31" s="132">
        <f>1092+1000+15092+50000+10015+103072-70000+526000+4972923</f>
        <v>5609194</v>
      </c>
      <c r="P31" s="19">
        <f t="shared" si="1"/>
        <v>8306339</v>
      </c>
    </row>
    <row r="32" spans="1:16" ht="15" customHeight="1">
      <c r="A32" s="29"/>
      <c r="B32" s="45" t="s">
        <v>69</v>
      </c>
      <c r="C32" s="132">
        <v>495147</v>
      </c>
      <c r="D32" s="132">
        <f>3782+1667</f>
        <v>5449</v>
      </c>
      <c r="E32" s="132">
        <f>3497+8000+1667</f>
        <v>13164</v>
      </c>
      <c r="F32" s="132">
        <f>3495+1667</f>
        <v>5162</v>
      </c>
      <c r="G32" s="132">
        <f>3473+1667</f>
        <v>5140</v>
      </c>
      <c r="H32" s="132">
        <f>3459+1667+40000-35641</f>
        <v>9485</v>
      </c>
      <c r="I32" s="132">
        <f>3438+1667+40000-23561</f>
        <v>21544</v>
      </c>
      <c r="J32" s="132">
        <f>3423+1667+40000-24915+24555</f>
        <v>44730</v>
      </c>
      <c r="K32" s="132">
        <f>3405+1667+40000+24874+54213</f>
        <v>124159</v>
      </c>
      <c r="L32" s="132">
        <f>3387+1667-1+40000+86000+90000-150000-23541+32865</f>
        <v>80377</v>
      </c>
      <c r="M32" s="132">
        <f>3086+1667-1+43644+91235+23005-100000-26412+45621</f>
        <v>81845</v>
      </c>
      <c r="N32" s="132">
        <f>1666+62142+70090+23542-100000-21432+34584</f>
        <v>70592</v>
      </c>
      <c r="O32" s="132">
        <f>1666+56836+86000+22560-109021-24541+91597</f>
        <v>125097</v>
      </c>
      <c r="P32" s="19">
        <f t="shared" si="1"/>
        <v>586744</v>
      </c>
    </row>
    <row r="33" spans="1:16" ht="15" customHeight="1">
      <c r="A33" s="29"/>
      <c r="B33" s="45" t="s">
        <v>52</v>
      </c>
      <c r="C33" s="132">
        <f>SUM(C34:C37)</f>
        <v>1918954</v>
      </c>
      <c r="D33" s="132">
        <f aca="true" t="shared" si="5" ref="D33:N33">SUM(D34:D37)</f>
        <v>0</v>
      </c>
      <c r="E33" s="132">
        <f t="shared" si="5"/>
        <v>53225</v>
      </c>
      <c r="F33" s="132">
        <f t="shared" si="5"/>
        <v>89500</v>
      </c>
      <c r="G33" s="132">
        <f t="shared" si="5"/>
        <v>70000</v>
      </c>
      <c r="H33" s="132">
        <f t="shared" si="5"/>
        <v>80000</v>
      </c>
      <c r="I33" s="132">
        <f t="shared" si="5"/>
        <v>112049</v>
      </c>
      <c r="J33" s="132">
        <f t="shared" si="5"/>
        <v>130000</v>
      </c>
      <c r="K33" s="132">
        <f t="shared" si="5"/>
        <v>108567</v>
      </c>
      <c r="L33" s="132">
        <f t="shared" si="5"/>
        <v>116735</v>
      </c>
      <c r="M33" s="132">
        <f t="shared" si="5"/>
        <v>110291</v>
      </c>
      <c r="N33" s="132">
        <f t="shared" si="5"/>
        <v>60193</v>
      </c>
      <c r="O33" s="132">
        <f>SUM(O34:O37)</f>
        <v>1132600</v>
      </c>
      <c r="P33" s="19">
        <f t="shared" si="1"/>
        <v>2063160</v>
      </c>
    </row>
    <row r="34" spans="1:16" ht="15" customHeight="1">
      <c r="A34" s="33"/>
      <c r="B34" s="131" t="s">
        <v>74</v>
      </c>
      <c r="C34" s="132">
        <v>22000</v>
      </c>
      <c r="D34" s="132"/>
      <c r="E34" s="132">
        <v>1250</v>
      </c>
      <c r="F34" s="132">
        <v>4500</v>
      </c>
      <c r="G34" s="132"/>
      <c r="H34" s="132"/>
      <c r="I34" s="132">
        <v>4500</v>
      </c>
      <c r="J34" s="132"/>
      <c r="K34" s="132">
        <v>5000</v>
      </c>
      <c r="L34" s="132"/>
      <c r="M34" s="132">
        <v>2000</v>
      </c>
      <c r="N34" s="132">
        <v>4750</v>
      </c>
      <c r="O34" s="132"/>
      <c r="P34" s="19">
        <f t="shared" si="1"/>
        <v>22000</v>
      </c>
    </row>
    <row r="35" spans="1:16" ht="15" customHeight="1">
      <c r="A35" s="29"/>
      <c r="B35" s="45" t="s">
        <v>75</v>
      </c>
      <c r="C35" s="132">
        <v>966454</v>
      </c>
      <c r="D35" s="132"/>
      <c r="E35" s="132">
        <f>15000+36975</f>
        <v>51975</v>
      </c>
      <c r="F35" s="132">
        <f>20000+29750-4750+40000</f>
        <v>85000</v>
      </c>
      <c r="G35" s="132">
        <f>30000+40000</f>
        <v>70000</v>
      </c>
      <c r="H35" s="132">
        <f>40000+40000</f>
        <v>80000</v>
      </c>
      <c r="I35" s="132">
        <f>40000+40000+27549</f>
        <v>107549</v>
      </c>
      <c r="J35" s="132">
        <f>40000+40000+50000</f>
        <v>130000</v>
      </c>
      <c r="K35" s="132">
        <f>30000+40000+21234+12333</f>
        <v>103567</v>
      </c>
      <c r="L35" s="132">
        <f>30000+40000+25312+21423</f>
        <v>116735</v>
      </c>
      <c r="M35" s="132">
        <f>30000+40000+21325+16966</f>
        <v>108291</v>
      </c>
      <c r="N35" s="132">
        <f>20000+40000+12356-10000+769-7682</f>
        <v>55443</v>
      </c>
      <c r="O35" s="132">
        <f>24750-3000+40000+20181-10000-356+9652-23333+30126</f>
        <v>88020</v>
      </c>
      <c r="P35" s="19">
        <f t="shared" si="1"/>
        <v>996580</v>
      </c>
    </row>
    <row r="36" spans="1:16" ht="15" customHeight="1">
      <c r="A36" s="29"/>
      <c r="B36" s="45" t="s">
        <v>86</v>
      </c>
      <c r="C36" s="132">
        <v>0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9">
        <f t="shared" si="1"/>
        <v>0</v>
      </c>
    </row>
    <row r="37" spans="1:16" ht="15" customHeight="1">
      <c r="A37" s="29"/>
      <c r="B37" s="45" t="s">
        <v>76</v>
      </c>
      <c r="C37" s="132">
        <v>930500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>
        <v>1044580</v>
      </c>
      <c r="P37" s="19">
        <f>SUM(D37:O37)</f>
        <v>1044580</v>
      </c>
    </row>
    <row r="38" spans="1:16" ht="15" customHeight="1">
      <c r="A38" s="106"/>
      <c r="B38" s="107" t="s">
        <v>79</v>
      </c>
      <c r="C38" s="31">
        <f>SUM(C17,C30)</f>
        <v>26659243</v>
      </c>
      <c r="D38" s="31">
        <f>SUM(D17,D30)</f>
        <v>1603238.78</v>
      </c>
      <c r="E38" s="31">
        <f aca="true" t="shared" si="6" ref="E38:N38">SUM(E17,E30)</f>
        <v>1506789.49</v>
      </c>
      <c r="F38" s="31">
        <f t="shared" si="6"/>
        <v>1396114.49</v>
      </c>
      <c r="G38" s="31">
        <f t="shared" si="6"/>
        <v>1400918.85</v>
      </c>
      <c r="H38" s="31">
        <f t="shared" si="6"/>
        <v>1320581.18</v>
      </c>
      <c r="I38" s="31">
        <f t="shared" si="6"/>
        <v>1433704.24</v>
      </c>
      <c r="J38" s="31">
        <f t="shared" si="6"/>
        <v>1732474.68</v>
      </c>
      <c r="K38" s="31">
        <f t="shared" si="6"/>
        <v>1696843.38</v>
      </c>
      <c r="L38" s="31">
        <f t="shared" si="6"/>
        <v>1668990.1600000001</v>
      </c>
      <c r="M38" s="31">
        <f t="shared" si="6"/>
        <v>2260479.2</v>
      </c>
      <c r="N38" s="31">
        <f t="shared" si="6"/>
        <v>2707667.26</v>
      </c>
      <c r="O38" s="31">
        <f>SUM(O17,O30)</f>
        <v>8322945.38</v>
      </c>
      <c r="P38" s="19">
        <f>SUM(D38:O38)</f>
        <v>27050747.09</v>
      </c>
    </row>
    <row r="39" spans="1:16" ht="15" customHeight="1">
      <c r="A39" s="33"/>
      <c r="B39" s="131" t="s">
        <v>80</v>
      </c>
      <c r="C39" s="132">
        <v>4922831</v>
      </c>
      <c r="D39" s="96">
        <f>381628-15000</f>
        <v>366628</v>
      </c>
      <c r="E39" s="96">
        <f>383470+23336</f>
        <v>406806</v>
      </c>
      <c r="F39" s="96">
        <f>381628+23331</f>
        <v>404959</v>
      </c>
      <c r="G39" s="96">
        <f>381628-15000+21312</f>
        <v>387940</v>
      </c>
      <c r="H39" s="96">
        <f>381628+4000+32125</f>
        <v>417753</v>
      </c>
      <c r="I39" s="96">
        <f>381628+4000+1000+2133+36521+35674</f>
        <v>460956</v>
      </c>
      <c r="J39" s="96">
        <f>381628+4000+12553-10000+22951+24340+43931-25986</f>
        <v>453417</v>
      </c>
      <c r="K39" s="96">
        <f>381628-15000+12000+4249+5000+24000-33323+12353</f>
        <v>390907</v>
      </c>
      <c r="L39" s="96">
        <f>381628+5000+25000+12000+4566</f>
        <v>428194</v>
      </c>
      <c r="M39" s="96">
        <f>381628+5856+23546+7773+4566</f>
        <v>423369</v>
      </c>
      <c r="N39" s="96">
        <f>381628+5000+15389+9563+4566</f>
        <v>416146</v>
      </c>
      <c r="O39" s="96">
        <f>411580+4568</f>
        <v>416148</v>
      </c>
      <c r="P39" s="19">
        <f t="shared" si="1"/>
        <v>4973223</v>
      </c>
    </row>
    <row r="40" spans="1:16" ht="15" customHeight="1">
      <c r="A40" s="33"/>
      <c r="B40" s="131" t="s">
        <v>93</v>
      </c>
      <c r="C40" s="132">
        <v>78915</v>
      </c>
      <c r="D40" s="102">
        <v>78915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9">
        <f t="shared" si="1"/>
        <v>78915</v>
      </c>
    </row>
    <row r="41" spans="1:16" ht="15" customHeight="1">
      <c r="A41" s="33" t="s">
        <v>18</v>
      </c>
      <c r="B41" s="34" t="s">
        <v>81</v>
      </c>
      <c r="C41" s="19">
        <f>SUM(C39)+C40</f>
        <v>5001746</v>
      </c>
      <c r="D41" s="19">
        <f>SUM(D39)+D40</f>
        <v>445543</v>
      </c>
      <c r="E41" s="19">
        <f aca="true" t="shared" si="7" ref="E41:O41">SUM(E39)+E40</f>
        <v>406806</v>
      </c>
      <c r="F41" s="19">
        <f t="shared" si="7"/>
        <v>404959</v>
      </c>
      <c r="G41" s="19">
        <f t="shared" si="7"/>
        <v>387940</v>
      </c>
      <c r="H41" s="19">
        <f t="shared" si="7"/>
        <v>417753</v>
      </c>
      <c r="I41" s="19">
        <f t="shared" si="7"/>
        <v>460956</v>
      </c>
      <c r="J41" s="19">
        <f t="shared" si="7"/>
        <v>453417</v>
      </c>
      <c r="K41" s="19">
        <f t="shared" si="7"/>
        <v>390907</v>
      </c>
      <c r="L41" s="19">
        <f t="shared" si="7"/>
        <v>428194</v>
      </c>
      <c r="M41" s="19">
        <f t="shared" si="7"/>
        <v>423369</v>
      </c>
      <c r="N41" s="19">
        <f t="shared" si="7"/>
        <v>416146</v>
      </c>
      <c r="O41" s="19">
        <f t="shared" si="7"/>
        <v>416148</v>
      </c>
      <c r="P41" s="19">
        <f>SUM(P39)+P40</f>
        <v>5052138</v>
      </c>
    </row>
    <row r="42" spans="1:16" ht="15" customHeight="1">
      <c r="A42" s="33"/>
      <c r="B42" s="131" t="s">
        <v>82</v>
      </c>
      <c r="C42" s="19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9">
        <f t="shared" si="1"/>
        <v>0</v>
      </c>
    </row>
    <row r="43" spans="1:16" ht="15" customHeight="1">
      <c r="A43" s="36"/>
      <c r="B43" s="131" t="s">
        <v>103</v>
      </c>
      <c r="C43" s="31">
        <v>8000000</v>
      </c>
      <c r="D43" s="178">
        <v>3000000</v>
      </c>
      <c r="E43" s="178">
        <v>2200000</v>
      </c>
      <c r="F43" s="178">
        <v>1800000</v>
      </c>
      <c r="G43" s="178">
        <v>1000000</v>
      </c>
      <c r="H43" s="178"/>
      <c r="I43" s="178"/>
      <c r="J43" s="178">
        <v>1000000</v>
      </c>
      <c r="K43" s="178">
        <v>1000000</v>
      </c>
      <c r="L43" s="178"/>
      <c r="M43" s="178"/>
      <c r="N43" s="178"/>
      <c r="O43" s="178"/>
      <c r="P43" s="19">
        <f>SUM(D43:O43)</f>
        <v>10000000</v>
      </c>
    </row>
    <row r="44" spans="1:16" ht="15" customHeight="1">
      <c r="A44" s="36"/>
      <c r="B44" s="135" t="s">
        <v>102</v>
      </c>
      <c r="C44" s="162">
        <v>132505</v>
      </c>
      <c r="D44" s="103"/>
      <c r="E44" s="103"/>
      <c r="F44" s="103"/>
      <c r="G44" s="103">
        <v>24621</v>
      </c>
      <c r="H44" s="103">
        <v>9288</v>
      </c>
      <c r="I44" s="103">
        <f>15000+474+576</f>
        <v>16050</v>
      </c>
      <c r="J44" s="103">
        <v>688</v>
      </c>
      <c r="K44" s="103">
        <f>20000+11710+819</f>
        <v>32529</v>
      </c>
      <c r="L44" s="103">
        <f>6900+1051</f>
        <v>7951</v>
      </c>
      <c r="M44" s="103">
        <f>20000-10967</f>
        <v>9033</v>
      </c>
      <c r="N44" s="103">
        <f>12201+121+12313</f>
        <v>24635</v>
      </c>
      <c r="O44" s="103">
        <f>19080+445-9945</f>
        <v>9580</v>
      </c>
      <c r="P44" s="19">
        <f t="shared" si="1"/>
        <v>134375</v>
      </c>
    </row>
    <row r="45" spans="1:16" ht="15" customHeight="1">
      <c r="A45" s="36" t="s">
        <v>19</v>
      </c>
      <c r="B45" s="41" t="s">
        <v>83</v>
      </c>
      <c r="C45" s="31">
        <f>SUM(C42:C44)</f>
        <v>8132505</v>
      </c>
      <c r="D45" s="31">
        <f>SUM(D42:D44)</f>
        <v>3000000</v>
      </c>
      <c r="E45" s="31">
        <f aca="true" t="shared" si="8" ref="E45:N45">SUM(E42:E44)</f>
        <v>2200000</v>
      </c>
      <c r="F45" s="31">
        <f t="shared" si="8"/>
        <v>1800000</v>
      </c>
      <c r="G45" s="31">
        <f t="shared" si="8"/>
        <v>1024621</v>
      </c>
      <c r="H45" s="31">
        <f t="shared" si="8"/>
        <v>9288</v>
      </c>
      <c r="I45" s="31">
        <f t="shared" si="8"/>
        <v>16050</v>
      </c>
      <c r="J45" s="31">
        <f t="shared" si="8"/>
        <v>1000688</v>
      </c>
      <c r="K45" s="31">
        <f t="shared" si="8"/>
        <v>1032529</v>
      </c>
      <c r="L45" s="31">
        <f t="shared" si="8"/>
        <v>7951</v>
      </c>
      <c r="M45" s="31">
        <f t="shared" si="8"/>
        <v>9033</v>
      </c>
      <c r="N45" s="31">
        <f t="shared" si="8"/>
        <v>24635</v>
      </c>
      <c r="O45" s="31">
        <f>SUM(O42:O44)</f>
        <v>9580</v>
      </c>
      <c r="P45" s="19">
        <f>SUM(D45:O45)</f>
        <v>10134375</v>
      </c>
    </row>
    <row r="46" spans="1:16" s="133" customFormat="1" ht="15" customHeight="1">
      <c r="A46" s="130"/>
      <c r="B46" s="131" t="s">
        <v>89</v>
      </c>
      <c r="C46" s="134">
        <v>0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9">
        <f>SUM(D46:O46)</f>
        <v>0</v>
      </c>
    </row>
    <row r="47" spans="1:16" ht="15" customHeight="1" thickBot="1">
      <c r="A47" s="46" t="s">
        <v>87</v>
      </c>
      <c r="B47" s="53" t="s">
        <v>88</v>
      </c>
      <c r="C47" s="47">
        <f>+C41+C45+C46</f>
        <v>13134251</v>
      </c>
      <c r="D47" s="47">
        <f>+D41+D44+D46+D43</f>
        <v>3445543</v>
      </c>
      <c r="E47" s="47">
        <f aca="true" t="shared" si="9" ref="E47:N47">+E41+E44+E46+E43</f>
        <v>2606806</v>
      </c>
      <c r="F47" s="47">
        <f t="shared" si="9"/>
        <v>2204959</v>
      </c>
      <c r="G47" s="47">
        <f t="shared" si="9"/>
        <v>1412561</v>
      </c>
      <c r="H47" s="47">
        <f t="shared" si="9"/>
        <v>427041</v>
      </c>
      <c r="I47" s="47">
        <f t="shared" si="9"/>
        <v>477006</v>
      </c>
      <c r="J47" s="47">
        <f t="shared" si="9"/>
        <v>1454105</v>
      </c>
      <c r="K47" s="47">
        <f t="shared" si="9"/>
        <v>1423436</v>
      </c>
      <c r="L47" s="47">
        <f t="shared" si="9"/>
        <v>436145</v>
      </c>
      <c r="M47" s="47">
        <f t="shared" si="9"/>
        <v>432402</v>
      </c>
      <c r="N47" s="47">
        <f t="shared" si="9"/>
        <v>440781</v>
      </c>
      <c r="O47" s="47">
        <f>+O41+O44+O46+O43</f>
        <v>425728</v>
      </c>
      <c r="P47" s="19">
        <f>SUM(D47:O47)</f>
        <v>15186513</v>
      </c>
    </row>
    <row r="48" spans="1:16" ht="15" customHeight="1" thickBot="1">
      <c r="A48" s="191" t="s">
        <v>20</v>
      </c>
      <c r="B48" s="192"/>
      <c r="C48" s="35">
        <f>SUM(C38,C41,C45)+C46</f>
        <v>39793494</v>
      </c>
      <c r="D48" s="35">
        <f>SUM(D38,D41,D45)+1+D46</f>
        <v>5048782.78</v>
      </c>
      <c r="E48" s="35">
        <f aca="true" t="shared" si="10" ref="E48:N48">SUM(E38,E41,E45)+1+E46</f>
        <v>4113596.49</v>
      </c>
      <c r="F48" s="35">
        <f t="shared" si="10"/>
        <v>3601074.49</v>
      </c>
      <c r="G48" s="35">
        <f t="shared" si="10"/>
        <v>2813480.85</v>
      </c>
      <c r="H48" s="35">
        <f t="shared" si="10"/>
        <v>1747623.18</v>
      </c>
      <c r="I48" s="35">
        <f t="shared" si="10"/>
        <v>1910711.24</v>
      </c>
      <c r="J48" s="35">
        <f t="shared" si="10"/>
        <v>3186580.6799999997</v>
      </c>
      <c r="K48" s="35">
        <f t="shared" si="10"/>
        <v>3120280.38</v>
      </c>
      <c r="L48" s="35">
        <f t="shared" si="10"/>
        <v>2105136.16</v>
      </c>
      <c r="M48" s="35">
        <f t="shared" si="10"/>
        <v>2692882.2</v>
      </c>
      <c r="N48" s="35">
        <f t="shared" si="10"/>
        <v>3148449.26</v>
      </c>
      <c r="O48" s="35">
        <f>SUM(O38,O41,O45)+O46</f>
        <v>8748673.379999999</v>
      </c>
      <c r="P48" s="35">
        <f>SUM(P38,P41,P45)+P46</f>
        <v>42237260.09</v>
      </c>
    </row>
    <row r="49" spans="1:16" s="16" customFormat="1" ht="15" customHeight="1">
      <c r="A49" s="76"/>
      <c r="B49" s="125" t="s">
        <v>49</v>
      </c>
      <c r="C49" s="55">
        <v>-4922831</v>
      </c>
      <c r="D49" s="19">
        <f>-D39</f>
        <v>-366628</v>
      </c>
      <c r="E49" s="19">
        <f aca="true" t="shared" si="11" ref="E49:N49">-E39</f>
        <v>-406806</v>
      </c>
      <c r="F49" s="19">
        <f t="shared" si="11"/>
        <v>-404959</v>
      </c>
      <c r="G49" s="19">
        <f t="shared" si="11"/>
        <v>-387940</v>
      </c>
      <c r="H49" s="19">
        <f t="shared" si="11"/>
        <v>-417753</v>
      </c>
      <c r="I49" s="19">
        <f t="shared" si="11"/>
        <v>-460956</v>
      </c>
      <c r="J49" s="19">
        <f t="shared" si="11"/>
        <v>-453417</v>
      </c>
      <c r="K49" s="19">
        <f t="shared" si="11"/>
        <v>-390907</v>
      </c>
      <c r="L49" s="19">
        <f t="shared" si="11"/>
        <v>-428194</v>
      </c>
      <c r="M49" s="19">
        <f t="shared" si="11"/>
        <v>-423369</v>
      </c>
      <c r="N49" s="19">
        <f t="shared" si="11"/>
        <v>-416146</v>
      </c>
      <c r="O49" s="19">
        <f>-O39</f>
        <v>-416148</v>
      </c>
      <c r="P49" s="110">
        <f>SUM(D49:O49)</f>
        <v>-4973223</v>
      </c>
    </row>
    <row r="50" spans="1:16" s="16" customFormat="1" ht="15" customHeight="1">
      <c r="A50" s="77"/>
      <c r="B50" s="126" t="s">
        <v>50</v>
      </c>
      <c r="C50" s="56">
        <f>-C44</f>
        <v>-132505</v>
      </c>
      <c r="D50" s="56">
        <f aca="true" t="shared" si="12" ref="D50:M50">-SUM(D44)</f>
        <v>0</v>
      </c>
      <c r="E50" s="56">
        <f t="shared" si="12"/>
        <v>0</v>
      </c>
      <c r="F50" s="56">
        <f t="shared" si="12"/>
        <v>0</v>
      </c>
      <c r="G50" s="56">
        <f t="shared" si="12"/>
        <v>-24621</v>
      </c>
      <c r="H50" s="56">
        <f t="shared" si="12"/>
        <v>-9288</v>
      </c>
      <c r="I50" s="56">
        <f t="shared" si="12"/>
        <v>-16050</v>
      </c>
      <c r="J50" s="56">
        <f t="shared" si="12"/>
        <v>-688</v>
      </c>
      <c r="K50" s="56">
        <f t="shared" si="12"/>
        <v>-32529</v>
      </c>
      <c r="L50" s="56">
        <f t="shared" si="12"/>
        <v>-7951</v>
      </c>
      <c r="M50" s="56">
        <f t="shared" si="12"/>
        <v>-9033</v>
      </c>
      <c r="N50" s="56">
        <f>-SUM(N44)</f>
        <v>-24635</v>
      </c>
      <c r="O50" s="56">
        <f>-SUM(O44)</f>
        <v>-9580</v>
      </c>
      <c r="P50" s="112">
        <f t="shared" si="1"/>
        <v>-134375</v>
      </c>
    </row>
    <row r="51" spans="1:16" s="16" customFormat="1" ht="15" customHeight="1" thickBot="1">
      <c r="A51" s="54"/>
      <c r="B51" s="127" t="s">
        <v>53</v>
      </c>
      <c r="C51" s="57">
        <v>-379000</v>
      </c>
      <c r="D51" s="141">
        <f>$C$51/12</f>
        <v>-31583.333333333332</v>
      </c>
      <c r="E51" s="141">
        <f aca="true" t="shared" si="13" ref="E51:O51">$C$51/12</f>
        <v>-31583.333333333332</v>
      </c>
      <c r="F51" s="141">
        <f t="shared" si="13"/>
        <v>-31583.333333333332</v>
      </c>
      <c r="G51" s="141">
        <f t="shared" si="13"/>
        <v>-31583.333333333332</v>
      </c>
      <c r="H51" s="141">
        <f t="shared" si="13"/>
        <v>-31583.333333333332</v>
      </c>
      <c r="I51" s="141">
        <f t="shared" si="13"/>
        <v>-31583.333333333332</v>
      </c>
      <c r="J51" s="141">
        <f t="shared" si="13"/>
        <v>-31583.333333333332</v>
      </c>
      <c r="K51" s="141">
        <f t="shared" si="13"/>
        <v>-31583.333333333332</v>
      </c>
      <c r="L51" s="141">
        <f t="shared" si="13"/>
        <v>-31583.333333333332</v>
      </c>
      <c r="M51" s="141">
        <f t="shared" si="13"/>
        <v>-31583.333333333332</v>
      </c>
      <c r="N51" s="141">
        <f t="shared" si="13"/>
        <v>-31583.333333333332</v>
      </c>
      <c r="O51" s="141">
        <f t="shared" si="13"/>
        <v>-31583.333333333332</v>
      </c>
      <c r="P51" s="111">
        <f>SUM(D51:O51)</f>
        <v>-378999.99999999994</v>
      </c>
    </row>
    <row r="52" spans="1:16" ht="15" customHeight="1" thickBot="1">
      <c r="A52" s="188" t="s">
        <v>21</v>
      </c>
      <c r="B52" s="189"/>
      <c r="C52" s="35">
        <f>SUM(C48:C51)</f>
        <v>34359158</v>
      </c>
      <c r="D52" s="35">
        <f aca="true" t="shared" si="14" ref="D52:N52">SUM(D48:D51)-1</f>
        <v>4650570.446666667</v>
      </c>
      <c r="E52" s="35">
        <f t="shared" si="14"/>
        <v>3675206.1566666667</v>
      </c>
      <c r="F52" s="35">
        <f t="shared" si="14"/>
        <v>3164531.1566666667</v>
      </c>
      <c r="G52" s="35">
        <f t="shared" si="14"/>
        <v>2369335.5166666666</v>
      </c>
      <c r="H52" s="35">
        <f t="shared" si="14"/>
        <v>1288997.8466666667</v>
      </c>
      <c r="I52" s="35">
        <f t="shared" si="14"/>
        <v>1402120.9066666667</v>
      </c>
      <c r="J52" s="35">
        <f t="shared" si="14"/>
        <v>2700891.346666666</v>
      </c>
      <c r="K52" s="35">
        <f t="shared" si="14"/>
        <v>2665260.0466666664</v>
      </c>
      <c r="L52" s="35">
        <f t="shared" si="14"/>
        <v>1637406.826666667</v>
      </c>
      <c r="M52" s="35">
        <f t="shared" si="14"/>
        <v>2228895.8666666667</v>
      </c>
      <c r="N52" s="35">
        <f t="shared" si="14"/>
        <v>2676083.9266666663</v>
      </c>
      <c r="O52" s="35">
        <f>SUM(O48:O51)</f>
        <v>8291362.046666666</v>
      </c>
      <c r="P52" s="35">
        <f>SUM(D52:O52)</f>
        <v>36750662.09</v>
      </c>
    </row>
    <row r="53" spans="3:12" ht="15">
      <c r="C53" s="166"/>
      <c r="L53" s="28"/>
    </row>
    <row r="55" spans="3:15" ht="12">
      <c r="C55" s="28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</row>
    <row r="56" ht="12.75">
      <c r="C56" s="129"/>
    </row>
    <row r="57" ht="12.75">
      <c r="C57" s="128"/>
    </row>
    <row r="58" spans="3:5" ht="12.75">
      <c r="C58" s="129"/>
      <c r="E58" s="144"/>
    </row>
    <row r="59" ht="12.75">
      <c r="C59" s="128"/>
    </row>
    <row r="60" ht="12.75">
      <c r="C60" s="129"/>
    </row>
  </sheetData>
  <sheetProtection/>
  <mergeCells count="21">
    <mergeCell ref="J14:J15"/>
    <mergeCell ref="O7:P7"/>
    <mergeCell ref="A52:B52"/>
    <mergeCell ref="L14:L15"/>
    <mergeCell ref="N14:N15"/>
    <mergeCell ref="A14:B15"/>
    <mergeCell ref="I14:I15"/>
    <mergeCell ref="A48:B48"/>
    <mergeCell ref="K14:K15"/>
    <mergeCell ref="A16:B16"/>
    <mergeCell ref="E14:E15"/>
    <mergeCell ref="F14:F15"/>
    <mergeCell ref="A8:P8"/>
    <mergeCell ref="G14:G15"/>
    <mergeCell ref="O2:P2"/>
    <mergeCell ref="H14:H15"/>
    <mergeCell ref="M14:M15"/>
    <mergeCell ref="O14:O15"/>
    <mergeCell ref="P14:P15"/>
    <mergeCell ref="C14:C15"/>
    <mergeCell ref="D14:D15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7.75390625" style="6" customWidth="1"/>
    <col min="11" max="11" width="8.00390625" style="6" customWidth="1"/>
    <col min="12" max="15" width="7.875" style="6" customWidth="1"/>
    <col min="16" max="16" width="9.25390625" style="6" bestFit="1" customWidth="1"/>
    <col min="17" max="16384" width="9.125" style="2" customWidth="1"/>
  </cols>
  <sheetData>
    <row r="1" spans="1:16" ht="14.25" customHeight="1">
      <c r="A1" s="205" t="s">
        <v>97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06" t="s">
        <v>92</v>
      </c>
      <c r="O2" s="206"/>
      <c r="P2" s="206"/>
    </row>
    <row r="3" spans="14:16" ht="12.75" customHeight="1" thickBot="1">
      <c r="N3" s="207" t="s">
        <v>22</v>
      </c>
      <c r="O3" s="207"/>
      <c r="P3" s="207"/>
    </row>
    <row r="4" spans="2:16" ht="10.5" customHeight="1" thickBot="1">
      <c r="B4" s="2"/>
      <c r="D4" s="208" t="s">
        <v>23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7"/>
    </row>
    <row r="5" spans="1:16" s="8" customFormat="1" ht="8.25" customHeight="1" thickBot="1">
      <c r="A5" s="209" t="s">
        <v>1</v>
      </c>
      <c r="B5" s="210"/>
      <c r="C5" s="92" t="s">
        <v>99</v>
      </c>
      <c r="D5" s="213" t="s">
        <v>24</v>
      </c>
      <c r="E5" s="201" t="s">
        <v>25</v>
      </c>
      <c r="F5" s="201" t="s">
        <v>26</v>
      </c>
      <c r="G5" s="201" t="s">
        <v>27</v>
      </c>
      <c r="H5" s="201" t="s">
        <v>28</v>
      </c>
      <c r="I5" s="201" t="s">
        <v>29</v>
      </c>
      <c r="J5" s="201" t="s">
        <v>30</v>
      </c>
      <c r="K5" s="201" t="s">
        <v>66</v>
      </c>
      <c r="L5" s="201" t="s">
        <v>31</v>
      </c>
      <c r="M5" s="201" t="s">
        <v>32</v>
      </c>
      <c r="N5" s="201" t="s">
        <v>33</v>
      </c>
      <c r="O5" s="195" t="s">
        <v>34</v>
      </c>
      <c r="P5" s="197" t="s">
        <v>35</v>
      </c>
    </row>
    <row r="6" spans="1:16" s="8" customFormat="1" ht="8.25" customHeight="1">
      <c r="A6" s="211"/>
      <c r="B6" s="212"/>
      <c r="C6" s="93" t="s">
        <v>95</v>
      </c>
      <c r="D6" s="214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196"/>
      <c r="P6" s="198"/>
    </row>
    <row r="7" spans="1:16" s="12" customFormat="1" ht="12" thickBot="1">
      <c r="A7" s="199">
        <v>1</v>
      </c>
      <c r="B7" s="200"/>
      <c r="C7" s="94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22">
        <v>15</v>
      </c>
    </row>
    <row r="8" spans="1:16" s="14" customFormat="1" ht="12.75" customHeight="1">
      <c r="A8" s="63" t="s">
        <v>15</v>
      </c>
      <c r="B8" s="78" t="s">
        <v>43</v>
      </c>
      <c r="C8" s="96">
        <v>2119549</v>
      </c>
      <c r="D8" s="38">
        <f aca="true" t="shared" si="0" ref="D8:I8">2119549/12</f>
        <v>176629.08333333334</v>
      </c>
      <c r="E8" s="38">
        <f t="shared" si="0"/>
        <v>176629.08333333334</v>
      </c>
      <c r="F8" s="38">
        <f t="shared" si="0"/>
        <v>176629.08333333334</v>
      </c>
      <c r="G8" s="38">
        <f t="shared" si="0"/>
        <v>176629.08333333334</v>
      </c>
      <c r="H8" s="38">
        <f t="shared" si="0"/>
        <v>176629.08333333334</v>
      </c>
      <c r="I8" s="38">
        <f t="shared" si="0"/>
        <v>176629.08333333334</v>
      </c>
      <c r="J8" s="38">
        <f>2119549/12+6789</f>
        <v>183418.08333333334</v>
      </c>
      <c r="K8" s="38">
        <f>2119549/12+6789</f>
        <v>183418.08333333334</v>
      </c>
      <c r="L8" s="38">
        <f>2119549/12+6789</f>
        <v>183418.08333333334</v>
      </c>
      <c r="M8" s="38">
        <f>2119549/12+6789</f>
        <v>183418.08333333334</v>
      </c>
      <c r="N8" s="38">
        <f>2119549/12+6789</f>
        <v>183418.08333333334</v>
      </c>
      <c r="O8" s="38">
        <f>2119549/12+6790</f>
        <v>183419.08333333334</v>
      </c>
      <c r="P8" s="95">
        <f>SUM(D8:O8)</f>
        <v>2160283.9999999995</v>
      </c>
    </row>
    <row r="9" spans="1:16" s="39" customFormat="1" ht="12.75" customHeight="1">
      <c r="A9" s="64" t="s">
        <v>17</v>
      </c>
      <c r="B9" s="79" t="s">
        <v>44</v>
      </c>
      <c r="C9" s="96">
        <v>1507021</v>
      </c>
      <c r="D9" s="38">
        <f>116578-6000-2000+21002</f>
        <v>129580</v>
      </c>
      <c r="E9" s="38">
        <f>116578-6000-2000+23334</f>
        <v>131912</v>
      </c>
      <c r="F9" s="38">
        <f>116578-6000-2000+19234</f>
        <v>127812</v>
      </c>
      <c r="G9" s="38">
        <f>116578-6000-2000+25341</f>
        <v>133919</v>
      </c>
      <c r="H9" s="38">
        <f>116578-6000-2000+23451+538+112000</f>
        <v>244567</v>
      </c>
      <c r="I9" s="38">
        <f>116578+2172-6000-2000-2000+12345+20572</f>
        <v>141667</v>
      </c>
      <c r="J9" s="38">
        <f>116578+1500-6000-2000-2000+12365</f>
        <v>120443</v>
      </c>
      <c r="K9" s="38">
        <f>116578+1500-6000-2000-2000+11233</f>
        <v>119311</v>
      </c>
      <c r="L9" s="38">
        <f>116578+10-6000-2000+24111</f>
        <v>132699</v>
      </c>
      <c r="M9" s="38">
        <f>116578+10-6000-2000+12345</f>
        <v>120933</v>
      </c>
      <c r="N9" s="38">
        <f>116578+11+18730-20000-2000-3000-753+16596</f>
        <v>126162</v>
      </c>
      <c r="O9" s="38">
        <f>116581+32007-20000-10000-5000-3000</f>
        <v>110588</v>
      </c>
      <c r="P9" s="96">
        <f>SUM(D9:O9)</f>
        <v>1639593</v>
      </c>
    </row>
    <row r="10" spans="1:16" s="39" customFormat="1" ht="12.75" customHeight="1">
      <c r="A10" s="65" t="s">
        <v>24</v>
      </c>
      <c r="B10" s="80" t="s">
        <v>54</v>
      </c>
      <c r="C10" s="97">
        <f>SUM(C8:C9)</f>
        <v>3626570</v>
      </c>
      <c r="D10" s="60">
        <f aca="true" t="shared" si="1" ref="D10:P10">SUM(D8:D9)</f>
        <v>306209.0833333334</v>
      </c>
      <c r="E10" s="60">
        <f t="shared" si="1"/>
        <v>308541.0833333334</v>
      </c>
      <c r="F10" s="60">
        <f t="shared" si="1"/>
        <v>304441.0833333334</v>
      </c>
      <c r="G10" s="60">
        <f t="shared" si="1"/>
        <v>310548.0833333334</v>
      </c>
      <c r="H10" s="60">
        <f t="shared" si="1"/>
        <v>421196.0833333334</v>
      </c>
      <c r="I10" s="60">
        <f t="shared" si="1"/>
        <v>318296.0833333334</v>
      </c>
      <c r="J10" s="60">
        <f t="shared" si="1"/>
        <v>303861.0833333334</v>
      </c>
      <c r="K10" s="60">
        <f t="shared" si="1"/>
        <v>302729.0833333334</v>
      </c>
      <c r="L10" s="60">
        <f t="shared" si="1"/>
        <v>316117.0833333334</v>
      </c>
      <c r="M10" s="60">
        <f t="shared" si="1"/>
        <v>304351.0833333334</v>
      </c>
      <c r="N10" s="60">
        <f t="shared" si="1"/>
        <v>309580.0833333334</v>
      </c>
      <c r="O10" s="115">
        <f t="shared" si="1"/>
        <v>294007.0833333334</v>
      </c>
      <c r="P10" s="97">
        <f t="shared" si="1"/>
        <v>3799876.9999999995</v>
      </c>
    </row>
    <row r="11" spans="1:16" s="16" customFormat="1" ht="12.75" customHeight="1">
      <c r="A11" s="64" t="s">
        <v>15</v>
      </c>
      <c r="B11" s="79" t="s">
        <v>36</v>
      </c>
      <c r="C11" s="96">
        <v>5394837</v>
      </c>
      <c r="D11" s="91">
        <v>18676</v>
      </c>
      <c r="E11" s="15">
        <v>192134</v>
      </c>
      <c r="F11" s="15">
        <f>990100+70000+102333</f>
        <v>1162433</v>
      </c>
      <c r="G11" s="15">
        <v>673500</v>
      </c>
      <c r="H11" s="15">
        <v>222485</v>
      </c>
      <c r="I11" s="15">
        <v>221240</v>
      </c>
      <c r="J11" s="15">
        <v>176884</v>
      </c>
      <c r="K11" s="15">
        <v>210375</v>
      </c>
      <c r="L11" s="15">
        <f>1025799+69873+114783</f>
        <v>1210455</v>
      </c>
      <c r="M11" s="15">
        <v>788654</v>
      </c>
      <c r="N11" s="15">
        <v>229399</v>
      </c>
      <c r="O11" s="116">
        <v>288602</v>
      </c>
      <c r="P11" s="98">
        <f>SUM(D11:O11)</f>
        <v>5394837</v>
      </c>
    </row>
    <row r="12" spans="1:16" s="16" customFormat="1" ht="12.75" customHeight="1">
      <c r="A12" s="64" t="s">
        <v>17</v>
      </c>
      <c r="B12" s="79" t="s">
        <v>55</v>
      </c>
      <c r="C12" s="96">
        <v>155491</v>
      </c>
      <c r="D12" s="91">
        <f>12917+1250-2354</f>
        <v>11813</v>
      </c>
      <c r="E12" s="15">
        <f>12917+125-2354</f>
        <v>10688</v>
      </c>
      <c r="F12" s="15">
        <f>12917+1250-2354</f>
        <v>11813</v>
      </c>
      <c r="G12" s="15">
        <f>12917+1250+13725-12365-1807</f>
        <v>13720</v>
      </c>
      <c r="H12" s="15">
        <f>12917+1250+300</f>
        <v>14467</v>
      </c>
      <c r="I12" s="15">
        <f>12917+23</f>
        <v>12940</v>
      </c>
      <c r="J12" s="15">
        <f>12917+2</f>
        <v>12919</v>
      </c>
      <c r="K12" s="15">
        <f>12917+2</f>
        <v>12919</v>
      </c>
      <c r="L12" s="15">
        <f>12917+8</f>
        <v>12925</v>
      </c>
      <c r="M12" s="15">
        <f>12917+1250</f>
        <v>14167</v>
      </c>
      <c r="N12" s="15">
        <f>12917+1250</f>
        <v>14167</v>
      </c>
      <c r="O12" s="116">
        <f>12917+36</f>
        <v>12953</v>
      </c>
      <c r="P12" s="98">
        <f>SUM(D12:O12)</f>
        <v>155491</v>
      </c>
    </row>
    <row r="13" spans="1:16" s="16" customFormat="1" ht="12.75" customHeight="1">
      <c r="A13" s="66" t="s">
        <v>25</v>
      </c>
      <c r="B13" s="80" t="s">
        <v>42</v>
      </c>
      <c r="C13" s="98">
        <f>SUM(C11:C12)</f>
        <v>5550328</v>
      </c>
      <c r="D13" s="13">
        <f>SUM(D11:D12)</f>
        <v>30489</v>
      </c>
      <c r="E13" s="13">
        <f aca="true" t="shared" si="2" ref="E13:P13">SUM(E11:E12)</f>
        <v>202822</v>
      </c>
      <c r="F13" s="13">
        <f t="shared" si="2"/>
        <v>1174246</v>
      </c>
      <c r="G13" s="13">
        <f t="shared" si="2"/>
        <v>687220</v>
      </c>
      <c r="H13" s="13">
        <f t="shared" si="2"/>
        <v>236952</v>
      </c>
      <c r="I13" s="13">
        <f t="shared" si="2"/>
        <v>234180</v>
      </c>
      <c r="J13" s="13">
        <f t="shared" si="2"/>
        <v>189803</v>
      </c>
      <c r="K13" s="13">
        <f t="shared" si="2"/>
        <v>223294</v>
      </c>
      <c r="L13" s="13">
        <f t="shared" si="2"/>
        <v>1223380</v>
      </c>
      <c r="M13" s="13">
        <f t="shared" si="2"/>
        <v>802821</v>
      </c>
      <c r="N13" s="13">
        <f t="shared" si="2"/>
        <v>243566</v>
      </c>
      <c r="O13" s="117">
        <f t="shared" si="2"/>
        <v>301555</v>
      </c>
      <c r="P13" s="98">
        <f t="shared" si="2"/>
        <v>5550328</v>
      </c>
    </row>
    <row r="14" spans="1:16" s="14" customFormat="1" ht="12.75" customHeight="1">
      <c r="A14" s="67" t="s">
        <v>26</v>
      </c>
      <c r="B14" s="81" t="s">
        <v>56</v>
      </c>
      <c r="C14" s="98">
        <v>6207068</v>
      </c>
      <c r="D14" s="38">
        <v>481987</v>
      </c>
      <c r="E14" s="38">
        <f>481987+125632+33300</f>
        <v>640919</v>
      </c>
      <c r="F14" s="38">
        <f>481987+123411+33315</f>
        <v>638713</v>
      </c>
      <c r="G14" s="38">
        <v>481987</v>
      </c>
      <c r="H14" s="38">
        <f>481987+1000+54213</f>
        <v>537200</v>
      </c>
      <c r="I14" s="38">
        <f>481987+3000+37539</f>
        <v>522526</v>
      </c>
      <c r="J14" s="38">
        <f>481987+3000+55563</f>
        <v>540550</v>
      </c>
      <c r="K14" s="38">
        <f>481987+3000+44437</f>
        <v>529424</v>
      </c>
      <c r="L14" s="38">
        <f>481987+3000</f>
        <v>484987</v>
      </c>
      <c r="M14" s="38">
        <f>481987+10000+3000</f>
        <v>494987</v>
      </c>
      <c r="N14" s="38">
        <f>481987+10000+3000+130209-150000</f>
        <v>475196</v>
      </c>
      <c r="O14" s="38">
        <f>481986+12026+3000+21126-139546</f>
        <v>378592</v>
      </c>
      <c r="P14" s="98">
        <f>SUM(D14:O14)</f>
        <v>6207068</v>
      </c>
    </row>
    <row r="15" spans="1:16" s="16" customFormat="1" ht="12.75" customHeight="1" thickBot="1">
      <c r="A15" s="66" t="s">
        <v>27</v>
      </c>
      <c r="B15" s="80" t="s">
        <v>45</v>
      </c>
      <c r="C15" s="98">
        <v>360</v>
      </c>
      <c r="D15" s="91"/>
      <c r="E15" s="15"/>
      <c r="F15" s="15"/>
      <c r="G15" s="15"/>
      <c r="H15" s="15"/>
      <c r="I15" s="15">
        <v>360</v>
      </c>
      <c r="J15" s="15">
        <v>1000</v>
      </c>
      <c r="K15" s="15"/>
      <c r="L15" s="15"/>
      <c r="M15" s="15"/>
      <c r="N15" s="15"/>
      <c r="O15" s="116"/>
      <c r="P15" s="98">
        <f>SUM(D15:O15)</f>
        <v>1360</v>
      </c>
    </row>
    <row r="16" spans="1:16" s="16" customFormat="1" ht="12.75" customHeight="1" thickBot="1">
      <c r="A16" s="68"/>
      <c r="B16" s="82" t="s">
        <v>47</v>
      </c>
      <c r="C16" s="99">
        <f>SUM(C10+C13+C14+C15)</f>
        <v>15384326</v>
      </c>
      <c r="D16" s="99">
        <f aca="true" t="shared" si="3" ref="D16:P16">SUM(D10+D13+D14+D15)</f>
        <v>818685.0833333334</v>
      </c>
      <c r="E16" s="99">
        <f t="shared" si="3"/>
        <v>1152282.0833333335</v>
      </c>
      <c r="F16" s="99">
        <f t="shared" si="3"/>
        <v>2117400.0833333335</v>
      </c>
      <c r="G16" s="99">
        <f t="shared" si="3"/>
        <v>1479755.0833333335</v>
      </c>
      <c r="H16" s="99">
        <f t="shared" si="3"/>
        <v>1195348.0833333335</v>
      </c>
      <c r="I16" s="99">
        <f t="shared" si="3"/>
        <v>1075362.0833333335</v>
      </c>
      <c r="J16" s="99">
        <f t="shared" si="3"/>
        <v>1035214.0833333334</v>
      </c>
      <c r="K16" s="99">
        <f t="shared" si="3"/>
        <v>1055447.0833333335</v>
      </c>
      <c r="L16" s="99">
        <f t="shared" si="3"/>
        <v>2024484.0833333335</v>
      </c>
      <c r="M16" s="99">
        <f t="shared" si="3"/>
        <v>1602159.0833333335</v>
      </c>
      <c r="N16" s="99">
        <f t="shared" si="3"/>
        <v>1028342.0833333334</v>
      </c>
      <c r="O16" s="99">
        <f t="shared" si="3"/>
        <v>974154.0833333334</v>
      </c>
      <c r="P16" s="99">
        <f t="shared" si="3"/>
        <v>15558633</v>
      </c>
    </row>
    <row r="17" spans="1:16" s="16" customFormat="1" ht="12.75" customHeight="1">
      <c r="A17" s="69" t="s">
        <v>28</v>
      </c>
      <c r="B17" s="83" t="s">
        <v>57</v>
      </c>
      <c r="C17" s="100">
        <v>0</v>
      </c>
      <c r="D17" s="160"/>
      <c r="E17" s="160"/>
      <c r="F17" s="160"/>
      <c r="G17" s="160"/>
      <c r="H17" s="160"/>
      <c r="I17" s="160"/>
      <c r="J17" s="160"/>
      <c r="K17" s="160"/>
      <c r="L17" s="62"/>
      <c r="M17" s="160"/>
      <c r="N17" s="160"/>
      <c r="O17" s="161"/>
      <c r="P17" s="98">
        <f>SUM(D17:O17)</f>
        <v>0</v>
      </c>
    </row>
    <row r="18" spans="1:16" s="16" customFormat="1" ht="12.75" customHeight="1">
      <c r="A18" s="66" t="s">
        <v>29</v>
      </c>
      <c r="B18" s="80" t="s">
        <v>41</v>
      </c>
      <c r="C18" s="98">
        <v>561105</v>
      </c>
      <c r="D18" s="60">
        <f>12500+275103</f>
        <v>287603</v>
      </c>
      <c r="E18" s="62">
        <v>12500</v>
      </c>
      <c r="F18" s="62">
        <v>12500</v>
      </c>
      <c r="G18" s="62">
        <f>12500+400000-177222</f>
        <v>235278</v>
      </c>
      <c r="H18" s="62">
        <f>12500+724</f>
        <v>13224</v>
      </c>
      <c r="I18" s="62">
        <v>87278</v>
      </c>
      <c r="J18" s="62">
        <v>13369</v>
      </c>
      <c r="K18" s="62"/>
      <c r="L18" s="62">
        <v>110550</v>
      </c>
      <c r="M18" s="62"/>
      <c r="N18" s="62"/>
      <c r="O18" s="121"/>
      <c r="P18" s="98">
        <f>SUM(D18:O18)</f>
        <v>772302</v>
      </c>
    </row>
    <row r="19" spans="1:16" s="16" customFormat="1" ht="12.75" customHeight="1">
      <c r="A19" s="64" t="s">
        <v>15</v>
      </c>
      <c r="B19" s="79" t="s">
        <v>46</v>
      </c>
      <c r="C19" s="96">
        <v>23262</v>
      </c>
      <c r="D19" s="91">
        <v>2014</v>
      </c>
      <c r="E19" s="15">
        <v>2014</v>
      </c>
      <c r="F19" s="15">
        <v>2013</v>
      </c>
      <c r="G19" s="91">
        <v>2014</v>
      </c>
      <c r="H19" s="15">
        <v>2014</v>
      </c>
      <c r="I19" s="15">
        <v>2013</v>
      </c>
      <c r="J19" s="91">
        <f>2014+6000</f>
        <v>8014</v>
      </c>
      <c r="K19" s="15">
        <f>2014-1122</f>
        <v>892</v>
      </c>
      <c r="L19" s="16">
        <f>2013-66</f>
        <v>1947</v>
      </c>
      <c r="M19" s="91">
        <v>2014</v>
      </c>
      <c r="N19" s="15">
        <v>2014</v>
      </c>
      <c r="O19" s="15">
        <f>2013+286</f>
        <v>2299</v>
      </c>
      <c r="P19" s="98">
        <f>SUM(D19:O19)</f>
        <v>29262</v>
      </c>
    </row>
    <row r="20" spans="1:16" s="14" customFormat="1" ht="12.75" customHeight="1">
      <c r="A20" s="64" t="s">
        <v>17</v>
      </c>
      <c r="B20" s="84" t="s">
        <v>104</v>
      </c>
      <c r="C20" s="96">
        <v>1611258</v>
      </c>
      <c r="D20" s="13"/>
      <c r="E20" s="17"/>
      <c r="F20" s="42"/>
      <c r="G20" s="42">
        <v>39154</v>
      </c>
      <c r="H20" s="42">
        <v>1572104</v>
      </c>
      <c r="I20" s="17"/>
      <c r="J20" s="17"/>
      <c r="K20" s="17"/>
      <c r="L20" s="17"/>
      <c r="M20" s="17"/>
      <c r="N20" s="17"/>
      <c r="O20" s="119"/>
      <c r="P20" s="98">
        <f>SUM(D20:O20)</f>
        <v>1611258</v>
      </c>
    </row>
    <row r="21" spans="1:16" s="16" customFormat="1" ht="12.75" customHeight="1" thickBot="1">
      <c r="A21" s="65" t="s">
        <v>30</v>
      </c>
      <c r="B21" s="80" t="s">
        <v>58</v>
      </c>
      <c r="C21" s="98">
        <f>SUM(C19:C20)</f>
        <v>1634520</v>
      </c>
      <c r="D21" s="13">
        <f aca="true" t="shared" si="4" ref="D21:O21">SUM(D19:D20)</f>
        <v>2014</v>
      </c>
      <c r="E21" s="13">
        <f t="shared" si="4"/>
        <v>2014</v>
      </c>
      <c r="F21" s="13">
        <f t="shared" si="4"/>
        <v>2013</v>
      </c>
      <c r="G21" s="13">
        <f t="shared" si="4"/>
        <v>41168</v>
      </c>
      <c r="H21" s="13">
        <f t="shared" si="4"/>
        <v>1574118</v>
      </c>
      <c r="I21" s="13">
        <f t="shared" si="4"/>
        <v>2013</v>
      </c>
      <c r="J21" s="13">
        <f t="shared" si="4"/>
        <v>8014</v>
      </c>
      <c r="K21" s="13">
        <f t="shared" si="4"/>
        <v>892</v>
      </c>
      <c r="L21" s="13">
        <f t="shared" si="4"/>
        <v>1947</v>
      </c>
      <c r="M21" s="13">
        <f t="shared" si="4"/>
        <v>2014</v>
      </c>
      <c r="N21" s="13">
        <f t="shared" si="4"/>
        <v>2014</v>
      </c>
      <c r="O21" s="117">
        <f t="shared" si="4"/>
        <v>2299</v>
      </c>
      <c r="P21" s="98">
        <f>SUM(P19:P20)</f>
        <v>1640520</v>
      </c>
    </row>
    <row r="22" spans="1:16" s="16" customFormat="1" ht="12.75" customHeight="1" thickBot="1">
      <c r="A22" s="70"/>
      <c r="B22" s="82" t="s">
        <v>48</v>
      </c>
      <c r="C22" s="99">
        <f>SUM(C17+C18+C21)</f>
        <v>2195625</v>
      </c>
      <c r="D22" s="50">
        <f aca="true" t="shared" si="5" ref="D22:O22">SUM(D17+D18+D21)</f>
        <v>289617</v>
      </c>
      <c r="E22" s="50">
        <f t="shared" si="5"/>
        <v>14514</v>
      </c>
      <c r="F22" s="50">
        <f t="shared" si="5"/>
        <v>14513</v>
      </c>
      <c r="G22" s="50">
        <f t="shared" si="5"/>
        <v>276446</v>
      </c>
      <c r="H22" s="50">
        <f t="shared" si="5"/>
        <v>1587342</v>
      </c>
      <c r="I22" s="50">
        <f t="shared" si="5"/>
        <v>89291</v>
      </c>
      <c r="J22" s="50">
        <f t="shared" si="5"/>
        <v>21383</v>
      </c>
      <c r="K22" s="50">
        <f t="shared" si="5"/>
        <v>892</v>
      </c>
      <c r="L22" s="50">
        <f>SUM(L18+L21)</f>
        <v>112497</v>
      </c>
      <c r="M22" s="50">
        <f t="shared" si="5"/>
        <v>2014</v>
      </c>
      <c r="N22" s="50">
        <f t="shared" si="5"/>
        <v>2014</v>
      </c>
      <c r="O22" s="118">
        <f t="shared" si="5"/>
        <v>2299</v>
      </c>
      <c r="P22" s="99">
        <f>SUM(P17+P18+P21)</f>
        <v>2412822</v>
      </c>
    </row>
    <row r="23" spans="1:16" s="40" customFormat="1" ht="12.75" customHeight="1" thickBot="1">
      <c r="A23" s="71"/>
      <c r="B23" s="82" t="s">
        <v>59</v>
      </c>
      <c r="C23" s="172">
        <f>SUM(C16,C22)</f>
        <v>17579951</v>
      </c>
      <c r="D23" s="51">
        <f aca="true" t="shared" si="6" ref="D23:O23">SUM(D16,D22)</f>
        <v>1108302.0833333335</v>
      </c>
      <c r="E23" s="51">
        <f t="shared" si="6"/>
        <v>1166796.0833333335</v>
      </c>
      <c r="F23" s="51">
        <f t="shared" si="6"/>
        <v>2131913.0833333335</v>
      </c>
      <c r="G23" s="51">
        <f t="shared" si="6"/>
        <v>1756201.0833333335</v>
      </c>
      <c r="H23" s="51">
        <f t="shared" si="6"/>
        <v>2782690.0833333335</v>
      </c>
      <c r="I23" s="51">
        <f t="shared" si="6"/>
        <v>1164653.0833333335</v>
      </c>
      <c r="J23" s="51">
        <f t="shared" si="6"/>
        <v>1056597.0833333335</v>
      </c>
      <c r="K23" s="51">
        <f t="shared" si="6"/>
        <v>1056339.0833333335</v>
      </c>
      <c r="L23" s="51">
        <f t="shared" si="6"/>
        <v>2136981.0833333335</v>
      </c>
      <c r="M23" s="51">
        <f t="shared" si="6"/>
        <v>1604173.0833333335</v>
      </c>
      <c r="N23" s="51">
        <f t="shared" si="6"/>
        <v>1030356.0833333334</v>
      </c>
      <c r="O23" s="120">
        <f t="shared" si="6"/>
        <v>976453.0833333334</v>
      </c>
      <c r="P23" s="101">
        <f>SUM(P16,P22)</f>
        <v>17971455</v>
      </c>
    </row>
    <row r="24" spans="1:16" s="40" customFormat="1" ht="12.75" customHeight="1">
      <c r="A24" s="72" t="s">
        <v>15</v>
      </c>
      <c r="B24" s="85" t="s">
        <v>60</v>
      </c>
      <c r="C24" s="173">
        <v>451365</v>
      </c>
      <c r="D24" s="158">
        <v>60000</v>
      </c>
      <c r="E24" s="159">
        <v>40000</v>
      </c>
      <c r="F24" s="159">
        <v>35212</v>
      </c>
      <c r="G24" s="159">
        <f>26241+289912</f>
        <v>316153</v>
      </c>
      <c r="H24" s="159"/>
      <c r="I24" s="159"/>
      <c r="J24" s="159"/>
      <c r="K24" s="159"/>
      <c r="L24" s="159"/>
      <c r="M24" s="159"/>
      <c r="N24" s="159"/>
      <c r="O24" s="114"/>
      <c r="P24" s="163">
        <f>SUM(D24:O24)</f>
        <v>451365</v>
      </c>
    </row>
    <row r="25" spans="1:16" s="40" customFormat="1" ht="12.75" customHeight="1">
      <c r="A25" s="74" t="s">
        <v>17</v>
      </c>
      <c r="B25" s="84" t="s">
        <v>61</v>
      </c>
      <c r="C25" s="96">
        <v>4922831</v>
      </c>
      <c r="D25" s="96">
        <f>381628-15000</f>
        <v>366628</v>
      </c>
      <c r="E25" s="96">
        <f>383470+23336</f>
        <v>406806</v>
      </c>
      <c r="F25" s="96">
        <f>381628+23331</f>
        <v>404959</v>
      </c>
      <c r="G25" s="96">
        <f>381628-15000+21312</f>
        <v>387940</v>
      </c>
      <c r="H25" s="96">
        <f>381628+4000+32125</f>
        <v>417753</v>
      </c>
      <c r="I25" s="96">
        <f>381628+4000+1000+2133+36521+35674</f>
        <v>460956</v>
      </c>
      <c r="J25" s="96">
        <f>381628+4000+12553-10000+22951+24340+43931-25986</f>
        <v>453417</v>
      </c>
      <c r="K25" s="96">
        <f>381628-15000+12000+4249+5000+24000-33323+12353</f>
        <v>390907</v>
      </c>
      <c r="L25" s="96">
        <f>381628+5000+25000+12000+4566</f>
        <v>428194</v>
      </c>
      <c r="M25" s="96">
        <f>381628+5856+23546+7773+4566</f>
        <v>423369</v>
      </c>
      <c r="N25" s="96">
        <f>381628+5000+15389+9563+4566</f>
        <v>416146</v>
      </c>
      <c r="O25" s="96">
        <f>411580+4568</f>
        <v>416148</v>
      </c>
      <c r="P25" s="164">
        <f>SUM(D25:O25)</f>
        <v>4973223</v>
      </c>
    </row>
    <row r="26" spans="1:16" s="40" customFormat="1" ht="12.75" customHeight="1">
      <c r="A26" s="74" t="s">
        <v>18</v>
      </c>
      <c r="B26" s="84" t="s">
        <v>94</v>
      </c>
      <c r="C26" s="96"/>
      <c r="D26" s="179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  <c r="P26" s="165">
        <f>SUM(D26:O26)</f>
        <v>0</v>
      </c>
    </row>
    <row r="27" spans="1:16" s="40" customFormat="1" ht="12.75" customHeight="1">
      <c r="A27" s="73"/>
      <c r="B27" s="80" t="s">
        <v>62</v>
      </c>
      <c r="C27" s="97">
        <f>SUM(C24:C26)</f>
        <v>5374196</v>
      </c>
      <c r="D27" s="169">
        <f aca="true" t="shared" si="7" ref="D27:N27">SUM(D24:D26)</f>
        <v>426628</v>
      </c>
      <c r="E27" s="148">
        <f t="shared" si="7"/>
        <v>446806</v>
      </c>
      <c r="F27" s="148">
        <f t="shared" si="7"/>
        <v>440171</v>
      </c>
      <c r="G27" s="148">
        <f t="shared" si="7"/>
        <v>704093</v>
      </c>
      <c r="H27" s="148">
        <f t="shared" si="7"/>
        <v>417753</v>
      </c>
      <c r="I27" s="148">
        <f t="shared" si="7"/>
        <v>460956</v>
      </c>
      <c r="J27" s="148">
        <f t="shared" si="7"/>
        <v>453417</v>
      </c>
      <c r="K27" s="148">
        <f t="shared" si="7"/>
        <v>390907</v>
      </c>
      <c r="L27" s="148">
        <f t="shared" si="7"/>
        <v>428194</v>
      </c>
      <c r="M27" s="148">
        <f t="shared" si="7"/>
        <v>423369</v>
      </c>
      <c r="N27" s="148">
        <f t="shared" si="7"/>
        <v>416146</v>
      </c>
      <c r="O27" s="148">
        <f>SUM(O24:O26)</f>
        <v>416148</v>
      </c>
      <c r="P27" s="97">
        <f>SUM(P24:P26)</f>
        <v>5424588</v>
      </c>
    </row>
    <row r="28" spans="1:16" s="40" customFormat="1" ht="12.75" customHeight="1">
      <c r="A28" s="74" t="s">
        <v>15</v>
      </c>
      <c r="B28" s="84" t="s">
        <v>63</v>
      </c>
      <c r="C28" s="97">
        <v>2106842</v>
      </c>
      <c r="D28" s="170"/>
      <c r="E28" s="147"/>
      <c r="F28" s="145">
        <v>2106842</v>
      </c>
      <c r="G28" s="147"/>
      <c r="H28" s="147"/>
      <c r="I28" s="147"/>
      <c r="J28" s="147"/>
      <c r="K28" s="147"/>
      <c r="L28" s="147"/>
      <c r="M28" s="147"/>
      <c r="N28" s="147"/>
      <c r="O28" s="148"/>
      <c r="P28" s="97">
        <f>SUM(D28:O28)</f>
        <v>2106842</v>
      </c>
    </row>
    <row r="29" spans="1:16" s="40" customFormat="1" ht="12.75" customHeight="1">
      <c r="A29" s="73" t="s">
        <v>17</v>
      </c>
      <c r="B29" s="86" t="s">
        <v>64</v>
      </c>
      <c r="C29" s="103">
        <v>132505</v>
      </c>
      <c r="D29" s="103"/>
      <c r="E29" s="103"/>
      <c r="F29" s="103"/>
      <c r="G29" s="103">
        <v>24621</v>
      </c>
      <c r="H29" s="103">
        <v>9288</v>
      </c>
      <c r="I29" s="103">
        <f>15000+474+576</f>
        <v>16050</v>
      </c>
      <c r="J29" s="103">
        <v>688</v>
      </c>
      <c r="K29" s="103">
        <f>20000+11710+819</f>
        <v>32529</v>
      </c>
      <c r="L29" s="103">
        <f>6900+1051</f>
        <v>7951</v>
      </c>
      <c r="M29" s="103">
        <f>20000-10967</f>
        <v>9033</v>
      </c>
      <c r="N29" s="103">
        <f>12201+121+12313</f>
        <v>24635</v>
      </c>
      <c r="O29" s="103">
        <f>19080+445-9945</f>
        <v>9580</v>
      </c>
      <c r="P29" s="97">
        <f>SUM(D29:O29)</f>
        <v>134375</v>
      </c>
    </row>
    <row r="30" spans="1:16" s="40" customFormat="1" ht="12.75" customHeight="1">
      <c r="A30" s="75"/>
      <c r="B30" s="138" t="s">
        <v>65</v>
      </c>
      <c r="C30" s="139">
        <f>SUM(C28:C29)</f>
        <v>2239347</v>
      </c>
      <c r="D30" s="171">
        <f aca="true" t="shared" si="8" ref="D30:O30">SUM(D28:D29)</f>
        <v>0</v>
      </c>
      <c r="E30" s="140">
        <f t="shared" si="8"/>
        <v>0</v>
      </c>
      <c r="F30" s="140">
        <f t="shared" si="8"/>
        <v>2106842</v>
      </c>
      <c r="G30" s="140">
        <f t="shared" si="8"/>
        <v>24621</v>
      </c>
      <c r="H30" s="140">
        <f t="shared" si="8"/>
        <v>9288</v>
      </c>
      <c r="I30" s="140">
        <f t="shared" si="8"/>
        <v>16050</v>
      </c>
      <c r="J30" s="140">
        <f t="shared" si="8"/>
        <v>688</v>
      </c>
      <c r="K30" s="140">
        <f t="shared" si="8"/>
        <v>32529</v>
      </c>
      <c r="L30" s="140">
        <f t="shared" si="8"/>
        <v>7951</v>
      </c>
      <c r="M30" s="140">
        <f t="shared" si="8"/>
        <v>9033</v>
      </c>
      <c r="N30" s="140">
        <f t="shared" si="8"/>
        <v>24635</v>
      </c>
      <c r="O30" s="152">
        <f t="shared" si="8"/>
        <v>9580</v>
      </c>
      <c r="P30" s="139">
        <f>SUM(P28:P29)</f>
        <v>2241217</v>
      </c>
    </row>
    <row r="31" spans="1:16" s="40" customFormat="1" ht="12.75" customHeight="1" thickBot="1">
      <c r="A31" s="75">
        <v>1</v>
      </c>
      <c r="B31" s="168" t="s">
        <v>100</v>
      </c>
      <c r="C31" s="139">
        <v>232780</v>
      </c>
      <c r="D31" s="174">
        <f>$C$31/12</f>
        <v>19398.333333333332</v>
      </c>
      <c r="E31" s="175">
        <f aca="true" t="shared" si="9" ref="E31:N31">$C$31/12</f>
        <v>19398.333333333332</v>
      </c>
      <c r="F31" s="175">
        <f t="shared" si="9"/>
        <v>19398.333333333332</v>
      </c>
      <c r="G31" s="175">
        <f t="shared" si="9"/>
        <v>19398.333333333332</v>
      </c>
      <c r="H31" s="175">
        <f t="shared" si="9"/>
        <v>19398.333333333332</v>
      </c>
      <c r="I31" s="175">
        <f t="shared" si="9"/>
        <v>19398.333333333332</v>
      </c>
      <c r="J31" s="175">
        <f t="shared" si="9"/>
        <v>19398.333333333332</v>
      </c>
      <c r="K31" s="175">
        <f t="shared" si="9"/>
        <v>19398.333333333332</v>
      </c>
      <c r="L31" s="175">
        <f t="shared" si="9"/>
        <v>19398.333333333332</v>
      </c>
      <c r="M31" s="175">
        <f t="shared" si="9"/>
        <v>19398.333333333332</v>
      </c>
      <c r="N31" s="175">
        <f t="shared" si="9"/>
        <v>19398.333333333332</v>
      </c>
      <c r="O31" s="175">
        <f>$C$31/12</f>
        <v>19398.333333333332</v>
      </c>
      <c r="P31" s="180">
        <f>SUM(D31:O31)</f>
        <v>232780.00000000003</v>
      </c>
    </row>
    <row r="32" spans="1:16" s="40" customFormat="1" ht="12.75" customHeight="1" thickBot="1">
      <c r="A32" s="75">
        <v>2</v>
      </c>
      <c r="B32" s="167" t="s">
        <v>101</v>
      </c>
      <c r="C32" s="104">
        <v>14367220</v>
      </c>
      <c r="D32" s="176">
        <v>530601.6666666666</v>
      </c>
      <c r="E32" s="177">
        <v>530601.6666666666</v>
      </c>
      <c r="F32" s="177">
        <v>530601.6666666666</v>
      </c>
      <c r="G32" s="177">
        <v>530601.6666666666</v>
      </c>
      <c r="H32" s="177">
        <v>530601.6666666666</v>
      </c>
      <c r="I32" s="177">
        <v>530601.6666666666</v>
      </c>
      <c r="J32" s="177">
        <v>530601.6666666666</v>
      </c>
      <c r="K32" s="177">
        <v>530601.6666666666</v>
      </c>
      <c r="L32" s="177">
        <v>530601.6666666666</v>
      </c>
      <c r="M32" s="177">
        <v>530601.6666666666</v>
      </c>
      <c r="N32" s="177">
        <v>530601.6666666666</v>
      </c>
      <c r="O32" s="104">
        <f>530602+8000000+2000000</f>
        <v>10530602</v>
      </c>
      <c r="P32" s="104">
        <f>SUM(D32:O32)</f>
        <v>16367220.333333334</v>
      </c>
    </row>
    <row r="33" spans="1:16" s="40" customFormat="1" ht="12.75" customHeight="1" thickBot="1">
      <c r="A33" s="142"/>
      <c r="B33" s="136" t="s">
        <v>90</v>
      </c>
      <c r="C33" s="137">
        <f>+C27+C30+C31+C32</f>
        <v>22213543</v>
      </c>
      <c r="D33" s="137">
        <f aca="true" t="shared" si="10" ref="D33:N33">+D27+D30+D31+D32</f>
        <v>976628</v>
      </c>
      <c r="E33" s="137">
        <f t="shared" si="10"/>
        <v>996806</v>
      </c>
      <c r="F33" s="137">
        <f t="shared" si="10"/>
        <v>3097013</v>
      </c>
      <c r="G33" s="137">
        <f t="shared" si="10"/>
        <v>1278714</v>
      </c>
      <c r="H33" s="137">
        <f t="shared" si="10"/>
        <v>977041</v>
      </c>
      <c r="I33" s="137">
        <f t="shared" si="10"/>
        <v>1027006</v>
      </c>
      <c r="J33" s="137">
        <f t="shared" si="10"/>
        <v>1004105</v>
      </c>
      <c r="K33" s="137">
        <f t="shared" si="10"/>
        <v>973436</v>
      </c>
      <c r="L33" s="137">
        <f t="shared" si="10"/>
        <v>986145</v>
      </c>
      <c r="M33" s="137">
        <f t="shared" si="10"/>
        <v>982402</v>
      </c>
      <c r="N33" s="137">
        <f t="shared" si="10"/>
        <v>990781</v>
      </c>
      <c r="O33" s="137">
        <f>+O27+O30+O31+O32</f>
        <v>10975728.333333334</v>
      </c>
      <c r="P33" s="137">
        <f>+P27+P30+P31+P32</f>
        <v>24265805.333333336</v>
      </c>
    </row>
    <row r="34" spans="1:16" s="40" customFormat="1" ht="12.75" customHeight="1" thickBot="1">
      <c r="A34" s="61"/>
      <c r="B34" s="87" t="s">
        <v>37</v>
      </c>
      <c r="C34" s="104">
        <f>SUM(C23,C27,C30)+C31+C32</f>
        <v>39793494</v>
      </c>
      <c r="D34" s="104">
        <f aca="true" t="shared" si="11" ref="D34:O34">SUM(D23,D27,D30)+D31+D32</f>
        <v>2084930.0833333335</v>
      </c>
      <c r="E34" s="104">
        <f t="shared" si="11"/>
        <v>2163602.0833333335</v>
      </c>
      <c r="F34" s="104">
        <f t="shared" si="11"/>
        <v>5228926.083333334</v>
      </c>
      <c r="G34" s="104">
        <f t="shared" si="11"/>
        <v>3034915.0833333335</v>
      </c>
      <c r="H34" s="104">
        <f t="shared" si="11"/>
        <v>3759731.0833333335</v>
      </c>
      <c r="I34" s="104">
        <f t="shared" si="11"/>
        <v>2191659.0833333335</v>
      </c>
      <c r="J34" s="104">
        <f t="shared" si="11"/>
        <v>2060702.0833333335</v>
      </c>
      <c r="K34" s="104">
        <f t="shared" si="11"/>
        <v>2029775.0833333335</v>
      </c>
      <c r="L34" s="104">
        <f t="shared" si="11"/>
        <v>3123126.0833333335</v>
      </c>
      <c r="M34" s="104">
        <f t="shared" si="11"/>
        <v>2586575.0833333335</v>
      </c>
      <c r="N34" s="104">
        <f t="shared" si="11"/>
        <v>2021137.0833333335</v>
      </c>
      <c r="O34" s="104">
        <f t="shared" si="11"/>
        <v>11952181.416666666</v>
      </c>
      <c r="P34" s="104">
        <f>SUM(P23,P27,P30)+P31+P32</f>
        <v>42237260.333333336</v>
      </c>
    </row>
    <row r="35" spans="1:16" s="16" customFormat="1" ht="11.25" customHeight="1">
      <c r="A35" s="76"/>
      <c r="B35" s="88" t="s">
        <v>49</v>
      </c>
      <c r="C35" s="153">
        <f>-C25</f>
        <v>-4922831</v>
      </c>
      <c r="D35" s="154">
        <f aca="true" t="shared" si="12" ref="D35:N35">-SUM(D25)</f>
        <v>-366628</v>
      </c>
      <c r="E35" s="155">
        <f t="shared" si="12"/>
        <v>-406806</v>
      </c>
      <c r="F35" s="155">
        <f t="shared" si="12"/>
        <v>-404959</v>
      </c>
      <c r="G35" s="155">
        <f t="shared" si="12"/>
        <v>-387940</v>
      </c>
      <c r="H35" s="155">
        <f t="shared" si="12"/>
        <v>-417753</v>
      </c>
      <c r="I35" s="155">
        <f t="shared" si="12"/>
        <v>-460956</v>
      </c>
      <c r="J35" s="155">
        <f t="shared" si="12"/>
        <v>-453417</v>
      </c>
      <c r="K35" s="155">
        <f t="shared" si="12"/>
        <v>-390907</v>
      </c>
      <c r="L35" s="155">
        <f t="shared" si="12"/>
        <v>-428194</v>
      </c>
      <c r="M35" s="155">
        <f t="shared" si="12"/>
        <v>-423369</v>
      </c>
      <c r="N35" s="155">
        <f t="shared" si="12"/>
        <v>-416146</v>
      </c>
      <c r="O35" s="156">
        <f>-SUM(O25)</f>
        <v>-416148</v>
      </c>
      <c r="P35" s="111">
        <f>SUM(D35:O35)</f>
        <v>-4973223</v>
      </c>
    </row>
    <row r="36" spans="1:16" s="16" customFormat="1" ht="12.75" customHeight="1">
      <c r="A36" s="77"/>
      <c r="B36" s="89" t="s">
        <v>50</v>
      </c>
      <c r="C36" s="157">
        <f>-C29</f>
        <v>-132505</v>
      </c>
      <c r="D36" s="149">
        <f aca="true" t="shared" si="13" ref="D36:M36">-SUM(D29)</f>
        <v>0</v>
      </c>
      <c r="E36" s="150">
        <f t="shared" si="13"/>
        <v>0</v>
      </c>
      <c r="F36" s="150">
        <f t="shared" si="13"/>
        <v>0</v>
      </c>
      <c r="G36" s="150">
        <f t="shared" si="13"/>
        <v>-24621</v>
      </c>
      <c r="H36" s="150">
        <f t="shared" si="13"/>
        <v>-9288</v>
      </c>
      <c r="I36" s="150">
        <f t="shared" si="13"/>
        <v>-16050</v>
      </c>
      <c r="J36" s="150">
        <f t="shared" si="13"/>
        <v>-688</v>
      </c>
      <c r="K36" s="150">
        <f t="shared" si="13"/>
        <v>-32529</v>
      </c>
      <c r="L36" s="150">
        <f t="shared" si="13"/>
        <v>-7951</v>
      </c>
      <c r="M36" s="150">
        <f t="shared" si="13"/>
        <v>-9033</v>
      </c>
      <c r="N36" s="150">
        <f>-SUM(N29)</f>
        <v>-24635</v>
      </c>
      <c r="O36" s="151">
        <f>-SUM(O29)</f>
        <v>-9580</v>
      </c>
      <c r="P36" s="56">
        <f>SUM(D36:O36)</f>
        <v>-134375</v>
      </c>
    </row>
    <row r="37" spans="1:16" s="16" customFormat="1" ht="15" customHeight="1" thickBot="1">
      <c r="A37" s="58"/>
      <c r="B37" s="90" t="s">
        <v>53</v>
      </c>
      <c r="C37" s="139">
        <v>-379000</v>
      </c>
      <c r="D37" s="141">
        <f>$C$37/12</f>
        <v>-31583.333333333332</v>
      </c>
      <c r="E37" s="141">
        <f aca="true" t="shared" si="14" ref="E37:O37">$C$37/12</f>
        <v>-31583.333333333332</v>
      </c>
      <c r="F37" s="141">
        <f t="shared" si="14"/>
        <v>-31583.333333333332</v>
      </c>
      <c r="G37" s="141">
        <f t="shared" si="14"/>
        <v>-31583.333333333332</v>
      </c>
      <c r="H37" s="141">
        <f t="shared" si="14"/>
        <v>-31583.333333333332</v>
      </c>
      <c r="I37" s="141">
        <f t="shared" si="14"/>
        <v>-31583.333333333332</v>
      </c>
      <c r="J37" s="141">
        <f t="shared" si="14"/>
        <v>-31583.333333333332</v>
      </c>
      <c r="K37" s="141">
        <f t="shared" si="14"/>
        <v>-31583.333333333332</v>
      </c>
      <c r="L37" s="141">
        <f t="shared" si="14"/>
        <v>-31583.333333333332</v>
      </c>
      <c r="M37" s="141">
        <f t="shared" si="14"/>
        <v>-31583.333333333332</v>
      </c>
      <c r="N37" s="141">
        <f t="shared" si="14"/>
        <v>-31583.333333333332</v>
      </c>
      <c r="O37" s="141">
        <f t="shared" si="14"/>
        <v>-31583.333333333332</v>
      </c>
      <c r="P37" s="56">
        <f>SUM(D37:O37)</f>
        <v>-378999.99999999994</v>
      </c>
    </row>
    <row r="38" spans="1:16" s="16" customFormat="1" ht="10.5" customHeight="1" thickBot="1">
      <c r="A38" s="203" t="s">
        <v>37</v>
      </c>
      <c r="B38" s="204"/>
      <c r="C38" s="105">
        <f>SUM(C34:C37)</f>
        <v>34359158</v>
      </c>
      <c r="D38" s="59">
        <f>SUM(D34:D37)</f>
        <v>1686718.7500000002</v>
      </c>
      <c r="E38" s="59">
        <f aca="true" t="shared" si="15" ref="E38:O38">SUM(E34:E37)</f>
        <v>1725212.7500000002</v>
      </c>
      <c r="F38" s="59">
        <f t="shared" si="15"/>
        <v>4792383.750000001</v>
      </c>
      <c r="G38" s="59">
        <f t="shared" si="15"/>
        <v>2590770.75</v>
      </c>
      <c r="H38" s="59">
        <f t="shared" si="15"/>
        <v>3301106.75</v>
      </c>
      <c r="I38" s="59">
        <f t="shared" si="15"/>
        <v>1683069.7500000002</v>
      </c>
      <c r="J38" s="59">
        <f t="shared" si="15"/>
        <v>1575013.7500000002</v>
      </c>
      <c r="K38" s="59">
        <f t="shared" si="15"/>
        <v>1574755.7500000002</v>
      </c>
      <c r="L38" s="59">
        <f t="shared" si="15"/>
        <v>2655397.75</v>
      </c>
      <c r="M38" s="59">
        <f t="shared" si="15"/>
        <v>2122589.75</v>
      </c>
      <c r="N38" s="59">
        <f t="shared" si="15"/>
        <v>1548772.7500000002</v>
      </c>
      <c r="O38" s="59">
        <f t="shared" si="15"/>
        <v>11494870.083333332</v>
      </c>
      <c r="P38" s="105">
        <f>SUM(P34:P37)</f>
        <v>36750662.333333336</v>
      </c>
    </row>
  </sheetData>
  <sheetProtection/>
  <mergeCells count="20"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</mergeCells>
  <printOptions horizontalCentered="1" verticalCentered="1"/>
  <pageMargins left="0.2" right="0.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2017-10-05T10:56:23Z</cp:lastPrinted>
  <dcterms:created xsi:type="dcterms:W3CDTF">2009-02-16T12:26:31Z</dcterms:created>
  <dcterms:modified xsi:type="dcterms:W3CDTF">2017-10-05T10:56:52Z</dcterms:modified>
  <cp:category/>
  <cp:version/>
  <cp:contentType/>
  <cp:contentStatus/>
</cp:coreProperties>
</file>