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16" windowWidth="12120" windowHeight="9120" tabRatio="591" firstSheet="2" activeTab="7"/>
  </bookViews>
  <sheets>
    <sheet name="mérleg" sheetId="1" r:id="rId1"/>
    <sheet name="mérleg előző" sheetId="2" r:id="rId2"/>
    <sheet name="teljes kiadás" sheetId="3" r:id="rId3"/>
    <sheet name="MŰKÖDÉSI" sheetId="4" r:id="rId4"/>
    <sheet name="önkormányzat" sheetId="5" r:id="rId5"/>
    <sheet name="céltARTALÉK" sheetId="6" r:id="rId6"/>
    <sheet name="beruházás és felh. célú átadás" sheetId="7" r:id="rId7"/>
    <sheet name="pénzeszkö átadás2014" sheetId="8" r:id="rId8"/>
    <sheet name="eu támogatások" sheetId="9" r:id="rId9"/>
    <sheet name="önkormányzati támogatás" sheetId="10" r:id="rId10"/>
    <sheet name="felújítások (2)" sheetId="11" r:id="rId11"/>
    <sheet name="intézményfinanszírozás" sheetId="12" r:id="rId12"/>
    <sheet name="finanszírozás" sheetId="13" r:id="rId13"/>
    <sheet name="adósságot keletkeztető" sheetId="14" r:id="rId14"/>
    <sheet name="közvetett" sheetId="15" r:id="rId15"/>
    <sheet name="előirányzatfelhasználás" sheetId="16" r:id="rId16"/>
    <sheet name="likviditás" sheetId="17" r:id="rId17"/>
    <sheet name="kötelezettség" sheetId="18" r:id="rId18"/>
    <sheet name="adósságot keletkeztet" sheetId="19" r:id="rId19"/>
    <sheet name="gördülő" sheetId="20" r:id="rId20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Print_Titles" localSheetId="6">'beruházás és felh. célú átadás'!$1:$7</definedName>
    <definedName name="_xlnm.Print_Titles" localSheetId="5">'céltARTALÉK'!$1:$5</definedName>
    <definedName name="_xlnm.Print_Titles" localSheetId="15">'előirányzatfelhasználás'!$1:$4</definedName>
    <definedName name="_xlnm.Print_Titles" localSheetId="10">'felújítások (2)'!$1:$5</definedName>
    <definedName name="_xlnm.Print_Titles" localSheetId="12">'finanszírozás'!$1:$3</definedName>
    <definedName name="_xlnm.Print_Titles" localSheetId="19">'gördülő'!$1:$5</definedName>
    <definedName name="_xlnm.Print_Titles" localSheetId="0">'mérleg'!$1:$5</definedName>
    <definedName name="_xlnm.Print_Titles" localSheetId="1">'mérleg előző'!$1:$5</definedName>
    <definedName name="_xlnm.Print_Titles" localSheetId="4">'önkormányzat'!$1:$6</definedName>
    <definedName name="_xlnm.Print_Titles" localSheetId="7">'pénzeszkö átadás2014'!$1:$7</definedName>
  </definedNames>
  <calcPr fullCalcOnLoad="1"/>
</workbook>
</file>

<file path=xl/sharedStrings.xml><?xml version="1.0" encoding="utf-8"?>
<sst xmlns="http://schemas.openxmlformats.org/spreadsheetml/2006/main" count="1043" uniqueCount="680">
  <si>
    <t>TDM szervezet támogatása</t>
  </si>
  <si>
    <t>Foglakoztatást H támogatás</t>
  </si>
  <si>
    <t xml:space="preserve">Civil szervezetek támogatására </t>
  </si>
  <si>
    <t>pályázatelőkészítő alap</t>
  </si>
  <si>
    <t>RÁCKEVE VÁROS</t>
  </si>
  <si>
    <t xml:space="preserve">Mûködési </t>
  </si>
  <si>
    <t>Beruházás,</t>
  </si>
  <si>
    <t>Támogat.</t>
  </si>
  <si>
    <t>Felújí-</t>
  </si>
  <si>
    <t xml:space="preserve">        Tartalékok</t>
  </si>
  <si>
    <t>Hitel-</t>
  </si>
  <si>
    <t>KIADÁS</t>
  </si>
  <si>
    <t xml:space="preserve">      Intézmények </t>
  </si>
  <si>
    <t xml:space="preserve">   kiadás </t>
  </si>
  <si>
    <t xml:space="preserve"> fejl.célú</t>
  </si>
  <si>
    <t>pénzeszk.</t>
  </si>
  <si>
    <t>tások</t>
  </si>
  <si>
    <t>cél</t>
  </si>
  <si>
    <t>általános</t>
  </si>
  <si>
    <t>törlesztés</t>
  </si>
  <si>
    <t>VÁROS</t>
  </si>
  <si>
    <t>összesen</t>
  </si>
  <si>
    <t>pénze.átad</t>
  </si>
  <si>
    <t>átadás</t>
  </si>
  <si>
    <t>Ács Károly Mûv. Közp</t>
  </si>
  <si>
    <t>Szakorvosi Rend.Intézet</t>
  </si>
  <si>
    <t>Polgármesteri Hivatal</t>
  </si>
  <si>
    <t>VÁROS ÖSSZESEN</t>
  </si>
  <si>
    <t>3. sz. melléklet</t>
  </si>
  <si>
    <t xml:space="preserve">adatok ezer Ft-ban </t>
  </si>
  <si>
    <t>Cím</t>
  </si>
  <si>
    <t>Al-</t>
  </si>
  <si>
    <t>cím</t>
  </si>
  <si>
    <t>3.1</t>
  </si>
  <si>
    <t>Családsegítő és Gy.jóléti Szolg.</t>
  </si>
  <si>
    <t>Csatornamű Tul. Közösség</t>
  </si>
  <si>
    <t xml:space="preserve">5 </t>
  </si>
  <si>
    <t>1-9</t>
  </si>
  <si>
    <t>1-7</t>
  </si>
  <si>
    <t>1-3</t>
  </si>
  <si>
    <t>1</t>
  </si>
  <si>
    <t>ebből. Lórév</t>
  </si>
  <si>
    <t>1.1</t>
  </si>
  <si>
    <t>6.</t>
  </si>
  <si>
    <t>Előirányzat</t>
  </si>
  <si>
    <t xml:space="preserve">                                             CÉLTARTALÉK ELŐIRÁNYZAT</t>
  </si>
  <si>
    <t xml:space="preserve">                                     MEGNEVEZÉS</t>
  </si>
  <si>
    <t xml:space="preserve">   javaslat</t>
  </si>
  <si>
    <t>MŰKÖDÉSI CÉLÚ TARTALÉK</t>
  </si>
  <si>
    <t>Újhegy részönkormányzat feladataihoz</t>
  </si>
  <si>
    <t>MŰKÖDÉSI CÉLÚ TARTALÉK ÖSSZESEN</t>
  </si>
  <si>
    <t>FEJLESZTÉSI CÉLÚ TARTALÉK</t>
  </si>
  <si>
    <t>FELHALMOZÁSI CÉLÚ TARTALÉK ÖSSZESEN</t>
  </si>
  <si>
    <t xml:space="preserve">                            A mûködési célú pénzeszköz átadások, támogatások,</t>
  </si>
  <si>
    <t xml:space="preserve">       Feladat megnevezése</t>
  </si>
  <si>
    <t xml:space="preserve">        Megjegyzés</t>
  </si>
  <si>
    <t xml:space="preserve"> javaslat</t>
  </si>
  <si>
    <t>I. ÖNKORMÁNYZAT</t>
  </si>
  <si>
    <t>1. TÁMOGATÁSOK, PÉNZESZKÖZ ÁTAD.</t>
  </si>
  <si>
    <t>1.1 Kötelezettségek</t>
  </si>
  <si>
    <t xml:space="preserve">    RÉV üzemeltetés támogatása</t>
  </si>
  <si>
    <t xml:space="preserve">    KÖR TV KHT</t>
  </si>
  <si>
    <t xml:space="preserve">    Pest Megyei Területfejl.Tan. Műk.hozzájár.</t>
  </si>
  <si>
    <t xml:space="preserve">    Hulladékgazdálkod.konzorcium </t>
  </si>
  <si>
    <t xml:space="preserve">           (Polgárdi) műk.ktg-ihez hozzájárulás</t>
  </si>
  <si>
    <t>1.1 Kötelezettségek összesen</t>
  </si>
  <si>
    <t>1.2 Egyéb feladatok</t>
  </si>
  <si>
    <t xml:space="preserve">     Ady Endre Gimnázium szalagavató </t>
  </si>
  <si>
    <t xml:space="preserve">    Árpád bál támogatás</t>
  </si>
  <si>
    <t xml:space="preserve">    Katolikus Egyház templom látogatás</t>
  </si>
  <si>
    <t xml:space="preserve">    Szerb Egyház  templom látogatás</t>
  </si>
  <si>
    <t xml:space="preserve">    Sport célú támogatások </t>
  </si>
  <si>
    <t xml:space="preserve">       Sport Egyesületnek </t>
  </si>
  <si>
    <t xml:space="preserve">             a/ karate verseny támogatás</t>
  </si>
  <si>
    <t xml:space="preserve">             b/ szakosztályi támogatások</t>
  </si>
  <si>
    <t>1.2  Egyéb feladat ÖSSZESEN</t>
  </si>
  <si>
    <t>1. TÁM. PÉNZESZKÖZ ÁTAD ÖSSZ.</t>
  </si>
  <si>
    <t>2. SZOCIÁLPOLITIKAI JUTTATÁSOK</t>
  </si>
  <si>
    <r>
      <t>2.1</t>
    </r>
    <r>
      <rPr>
        <sz val="10"/>
        <color indexed="8"/>
        <rFont val="Arial CE"/>
        <family val="2"/>
      </rPr>
      <t xml:space="preserve"> </t>
    </r>
    <r>
      <rPr>
        <b/>
        <sz val="10"/>
        <color indexed="8"/>
        <rFont val="Arial CE"/>
        <family val="0"/>
      </rPr>
      <t>Pénzbeli szociális ellátások</t>
    </r>
  </si>
  <si>
    <t xml:space="preserve">         Idõskorúak járadék</t>
  </si>
  <si>
    <t xml:space="preserve">         Rendszeres szociális segély</t>
  </si>
  <si>
    <t xml:space="preserve">         Lakásfenntartási támogatások</t>
  </si>
  <si>
    <t xml:space="preserve">         Ápolási díj</t>
  </si>
  <si>
    <t xml:space="preserve">         Bursa Hungarica ösztöndíj tám.</t>
  </si>
  <si>
    <t xml:space="preserve">         Átmeneti segély (felnõtt,gyermek)</t>
  </si>
  <si>
    <t xml:space="preserve">         Temetési segély</t>
  </si>
  <si>
    <t>2.1.1 Gyermek tartásdíjak megelõlegezése</t>
  </si>
  <si>
    <t xml:space="preserve">              </t>
  </si>
  <si>
    <t xml:space="preserve">2.1.2.Otthonteremtési  támogatás </t>
  </si>
  <si>
    <t xml:space="preserve">                   Pénzbeli támogatások</t>
  </si>
  <si>
    <t>2.2. Természetben nyújtott szoc.ellátás</t>
  </si>
  <si>
    <t xml:space="preserve">        Köztemetés</t>
  </si>
  <si>
    <t xml:space="preserve">        Közgyógyellátás/méltányossági</t>
  </si>
  <si>
    <t>2.2.1 Szociális étkeztetés</t>
  </si>
  <si>
    <t xml:space="preserve"> </t>
  </si>
  <si>
    <t xml:space="preserve">                Természetben nyújtott támogatások </t>
  </si>
  <si>
    <t>2.Szociális ellátások  összesen</t>
  </si>
  <si>
    <t>I. ÖNKORMÁNYZAT ÖSSZESEN</t>
  </si>
  <si>
    <t>II. INTÉZMÉNYEK</t>
  </si>
  <si>
    <t>2.INTÉZMÉNYEK ÖSSZESEN</t>
  </si>
  <si>
    <t>Ráckeve Város</t>
  </si>
  <si>
    <t xml:space="preserve">              3/a. sz. melléklet</t>
  </si>
  <si>
    <t xml:space="preserve">  </t>
  </si>
  <si>
    <t>%</t>
  </si>
  <si>
    <t>Munkaadót terh.</t>
  </si>
  <si>
    <t>ebből:</t>
  </si>
  <si>
    <t xml:space="preserve">    Működési kadás</t>
  </si>
  <si>
    <t>járulékok</t>
  </si>
  <si>
    <t>Dologi kiadás</t>
  </si>
  <si>
    <t>egysze-</t>
  </si>
  <si>
    <t xml:space="preserve">    összesen</t>
  </si>
  <si>
    <t>Al</t>
  </si>
  <si>
    <t xml:space="preserve">        Intézmény</t>
  </si>
  <si>
    <t>ri fela.</t>
  </si>
  <si>
    <t>egyéb</t>
  </si>
  <si>
    <t>Családs.és Gy.jóléti Sz</t>
  </si>
  <si>
    <t>7.</t>
  </si>
  <si>
    <t>Csatornamű Tul. Köz.</t>
  </si>
  <si>
    <t>Polgárm. Hiv. össz.</t>
  </si>
  <si>
    <t>Szivárvány  Óvoda</t>
  </si>
  <si>
    <t>Skarica Máté V. Könyvtár</t>
  </si>
  <si>
    <t>szakértői díj</t>
  </si>
  <si>
    <t xml:space="preserve">                   3/b.sz. melléklet</t>
  </si>
  <si>
    <t>Alcím/szakfeladat</t>
  </si>
  <si>
    <t>Vált.</t>
  </si>
  <si>
    <t>megnevezése</t>
  </si>
  <si>
    <t>személyi</t>
  </si>
  <si>
    <t>munkaa</t>
  </si>
  <si>
    <t xml:space="preserve">Dologi és </t>
  </si>
  <si>
    <t>Össze-</t>
  </si>
  <si>
    <t xml:space="preserve">    Megjegyzés </t>
  </si>
  <si>
    <t>juttatás</t>
  </si>
  <si>
    <t>terh.jár</t>
  </si>
  <si>
    <t>egyéb  folyó</t>
  </si>
  <si>
    <t>sen</t>
  </si>
  <si>
    <t>INTÉZMÉNYI FELADATOK</t>
  </si>
  <si>
    <t>kiadás össz.</t>
  </si>
  <si>
    <t xml:space="preserve">     Évközi előrelépés, átsorolás </t>
  </si>
  <si>
    <t xml:space="preserve">     jubileumi jutalom</t>
  </si>
  <si>
    <t xml:space="preserve">     képviselői tiszteletdíj</t>
  </si>
  <si>
    <t xml:space="preserve">     önkormányzati kitüntetések</t>
  </si>
  <si>
    <t xml:space="preserve">     megbízási díjak</t>
  </si>
  <si>
    <t xml:space="preserve">     külső foglalkoztatottak</t>
  </si>
  <si>
    <t xml:space="preserve">     költségtérítések</t>
  </si>
  <si>
    <t xml:space="preserve">     egyes juttatások</t>
  </si>
  <si>
    <t xml:space="preserve">     készletbeszerzés</t>
  </si>
  <si>
    <t xml:space="preserve">     kommunikációs szolgáltatás</t>
  </si>
  <si>
    <t xml:space="preserve">     szolgáltatási kiadások</t>
  </si>
  <si>
    <t xml:space="preserve">      kiküldetés,reprezn.hirdet.díjak</t>
  </si>
  <si>
    <t xml:space="preserve">    Különféle adók, díjak </t>
  </si>
  <si>
    <t xml:space="preserve">    Szent István tér 5. </t>
  </si>
  <si>
    <t xml:space="preserve">    Főépítészi szolgáltatás</t>
  </si>
  <si>
    <t xml:space="preserve">   Tervzsűri tagjainak esetenkénti szolg.</t>
  </si>
  <si>
    <t xml:space="preserve">   Munka-, tűzvédelmi szabályzatok és</t>
  </si>
  <si>
    <t xml:space="preserve">                    folyamatos feladatellátás </t>
  </si>
  <si>
    <t>Valamennyi  tevékenység</t>
  </si>
  <si>
    <t>5.1</t>
  </si>
  <si>
    <t>5.2</t>
  </si>
  <si>
    <t>1-5</t>
  </si>
  <si>
    <t>INTÉZMÉNYI FELADATOK ÖSSZ.</t>
  </si>
  <si>
    <t xml:space="preserve">                nyugd.jár.,eü. Hozzájár.)</t>
  </si>
  <si>
    <t xml:space="preserve">Lakossági foly.hull.gyűjtés támogatása </t>
  </si>
  <si>
    <t>20 Sportlétesítmények működtetése</t>
  </si>
  <si>
    <t xml:space="preserve">21.Verseny-, és élsport (szakoszt.műk.) </t>
  </si>
  <si>
    <t>22.Temetkezés és kapcs.szolgált.</t>
  </si>
  <si>
    <t>Csatornamű Tulajdonközösség</t>
  </si>
  <si>
    <t>9.</t>
  </si>
  <si>
    <t>Nem az önkorm.költségvetést</t>
  </si>
  <si>
    <t xml:space="preserve">                            terhelő kiadások</t>
  </si>
  <si>
    <t>6-9</t>
  </si>
  <si>
    <t>Önkorm. feladatok ÖSSZESEN</t>
  </si>
  <si>
    <t xml:space="preserve">Lelépési díj 1200e Ft </t>
  </si>
  <si>
    <t>Ipari park önállóan látja el a parkolófeügyeletet</t>
  </si>
  <si>
    <t>Ebből: földutak  karbant. 400 e Ft , Ipari park terve alapján</t>
  </si>
  <si>
    <t>Várható emelkedés bizonytalan</t>
  </si>
  <si>
    <t>Új szerződés szerint</t>
  </si>
  <si>
    <t>céltartalékba helyezve a vállalt összeg</t>
  </si>
  <si>
    <t>Valamennyi  intézmény, csökkent a díja</t>
  </si>
  <si>
    <t>Ráckeve, 2008.február 12</t>
  </si>
  <si>
    <t>Bölcsőde *</t>
  </si>
  <si>
    <t>* konyhával</t>
  </si>
  <si>
    <t>konyha nélkül</t>
  </si>
  <si>
    <t>különbség</t>
  </si>
  <si>
    <t>IGI karbantartás nélkül</t>
  </si>
  <si>
    <t>PPB</t>
  </si>
  <si>
    <t xml:space="preserve">adóprémium alap benne van </t>
  </si>
  <si>
    <t>Tourinform Iroda működtetésére</t>
  </si>
  <si>
    <t>marketig célú előirányzat is</t>
  </si>
  <si>
    <t>3/b melléklet</t>
  </si>
  <si>
    <t>Ráckeve, 2009 január</t>
  </si>
  <si>
    <t>változások</t>
  </si>
  <si>
    <t>ténysezrüen</t>
  </si>
  <si>
    <t>13 havi csökken</t>
  </si>
  <si>
    <t>0 össszességében póteőirányzat miatt</t>
  </si>
  <si>
    <t>nincs</t>
  </si>
  <si>
    <t>gáz+ posta</t>
  </si>
  <si>
    <t>tárgyi eszköz értékesítés utáni ÁFA</t>
  </si>
  <si>
    <t>jutalék miatt</t>
  </si>
  <si>
    <t>révközlekedés</t>
  </si>
  <si>
    <t>ipar</t>
  </si>
  <si>
    <t>ipar park átszámláz</t>
  </si>
  <si>
    <t>marad</t>
  </si>
  <si>
    <t xml:space="preserve">bérleti díj változások </t>
  </si>
  <si>
    <t>lesz e megállapodás ????</t>
  </si>
  <si>
    <t>lesz e árokkarbantartás ???? VÜM+ipari park</t>
  </si>
  <si>
    <t>jutalék ??? Tuba ???</t>
  </si>
  <si>
    <t>csösz csinálja</t>
  </si>
  <si>
    <t>díszkivilágítás, játszóterek ellenőrzése,virágosítás, marketing, térfigyelő, testvérvárosi</t>
  </si>
  <si>
    <t>egész éves lesz ???</t>
  </si>
  <si>
    <t>marad, de hol lehet kikapcsolni ???</t>
  </si>
  <si>
    <t>közhasznú különbözetet átadjuk ???</t>
  </si>
  <si>
    <t>dr gon</t>
  </si>
  <si>
    <t>lejön újhegy</t>
  </si>
  <si>
    <t>VÜM javaslata</t>
  </si>
  <si>
    <t>közcélú ???</t>
  </si>
  <si>
    <t>közcélú foglalkoztatás</t>
  </si>
  <si>
    <t>csapadékvízelvezetés pályázat</t>
  </si>
  <si>
    <t>áfa januárban fizetbve</t>
  </si>
  <si>
    <t>ebből továbbszámlázott</t>
  </si>
  <si>
    <t>fő</t>
  </si>
  <si>
    <t>mosi</t>
  </si>
  <si>
    <t>gyámhivatal</t>
  </si>
  <si>
    <t>építésügyi hivatal</t>
  </si>
  <si>
    <t>okmányiroda</t>
  </si>
  <si>
    <t>településőrök</t>
  </si>
  <si>
    <t>ÁFA</t>
  </si>
  <si>
    <t>családi napközi</t>
  </si>
  <si>
    <t xml:space="preserve">              adatok ezer Ft-ban</t>
  </si>
  <si>
    <t xml:space="preserve">            M e g n e v e z é s </t>
  </si>
  <si>
    <t>Megjegyzés</t>
  </si>
  <si>
    <t>1. BERUHÁZÁSOK</t>
  </si>
  <si>
    <t>1.1 ÖNKORMÁNYZAT</t>
  </si>
  <si>
    <t>Közvilágítás fejlesztés - hálózatépítés több utca</t>
  </si>
  <si>
    <t xml:space="preserve">                                   teljesítmény  bővítés </t>
  </si>
  <si>
    <t>1.1.2 FELADATOK ÖSSZESEN</t>
  </si>
  <si>
    <t>1.1 ÖNKORMÁNYZAT ÖSSZESEN</t>
  </si>
  <si>
    <t>1.2 INTÉZMÉNYEK</t>
  </si>
  <si>
    <t>1.2.4 Polgármesteri Hivatal</t>
  </si>
  <si>
    <t>Informatikai fejlesztés (gépek, nyomtatók)</t>
  </si>
  <si>
    <t>1. BERUHÁZÁSOK MINDÖSSZESEN</t>
  </si>
  <si>
    <t xml:space="preserve">                                                    FELÚJÍTÁSI FELADATOK</t>
  </si>
  <si>
    <t>Áthúzódó feladatok, kötelezettségvállalások</t>
  </si>
  <si>
    <t>FELÚJÍTÁS MINDÖSSZESEN</t>
  </si>
  <si>
    <t>hitelek utáni kamat eddigi és felveendő</t>
  </si>
  <si>
    <t>óvoda önerejével csökkentve</t>
  </si>
  <si>
    <t>fizetendő ÁFA üzemeltetés után</t>
  </si>
  <si>
    <t>marketing keretettel</t>
  </si>
  <si>
    <t>szolgáltatások ÁFA</t>
  </si>
  <si>
    <t>jutalék nélkül</t>
  </si>
  <si>
    <t>Leader Pek Szigetzug</t>
  </si>
  <si>
    <t>ellenőrző sor</t>
  </si>
  <si>
    <t>nappali ellátás</t>
  </si>
  <si>
    <t>pótlékok</t>
  </si>
  <si>
    <t>alpolgármester költségtérítése</t>
  </si>
  <si>
    <t>alpogármester tiszteletdíja</t>
  </si>
  <si>
    <t>cafeteria</t>
  </si>
  <si>
    <t>részfoglalkozásúak</t>
  </si>
  <si>
    <t xml:space="preserve">     prémium, jutalom (adó után)</t>
  </si>
  <si>
    <t>különbség előző évihez</t>
  </si>
  <si>
    <t>4. melléklet</t>
  </si>
  <si>
    <t>megengedett változás</t>
  </si>
  <si>
    <t>Önkormányzati hivatal összesen</t>
  </si>
  <si>
    <t>önkormányzati hivatal összesen</t>
  </si>
  <si>
    <t xml:space="preserve">Önkormányzat </t>
  </si>
  <si>
    <t>kamatkiadások</t>
  </si>
  <si>
    <t>személyi juttatás</t>
  </si>
  <si>
    <t>dologi kiadások</t>
  </si>
  <si>
    <t xml:space="preserve">bevétel </t>
  </si>
  <si>
    <t>normatíva állami</t>
  </si>
  <si>
    <t>normatíva kistérésgi</t>
  </si>
  <si>
    <t>fenntartói kiegészítés</t>
  </si>
  <si>
    <t>játszóház</t>
  </si>
  <si>
    <t>tanyagondnok</t>
  </si>
  <si>
    <t>jelzőrendszeres</t>
  </si>
  <si>
    <t>összsen</t>
  </si>
  <si>
    <t>önkormányzat</t>
  </si>
  <si>
    <t>önkormányzati tűzoltóság</t>
  </si>
  <si>
    <t>megjegyzés</t>
  </si>
  <si>
    <t>1. sz. melléklet</t>
  </si>
  <si>
    <t xml:space="preserve">I. MÛKÖDÉSI BEVÉTELEK </t>
  </si>
  <si>
    <t xml:space="preserve">                   Bevételek megnevezése</t>
  </si>
  <si>
    <t xml:space="preserve">                   </t>
  </si>
  <si>
    <t>Összeg eFt</t>
  </si>
  <si>
    <t>Intézményi mûködési bevételek (tárgyi e. áfa nélkül)</t>
  </si>
  <si>
    <t>étkezés és bölcsi</t>
  </si>
  <si>
    <t>Önkormányzatok sajátos mûködési bevételei</t>
  </si>
  <si>
    <t>iparűzési adó</t>
  </si>
  <si>
    <t>Önkormányzatok költségvetési támogatása és</t>
  </si>
  <si>
    <t xml:space="preserve">átengedett SZJA bevételek </t>
  </si>
  <si>
    <t>Mûködési célú pénzeszköz átvétel (tám.ért.átv)</t>
  </si>
  <si>
    <t>Mûködési célú kölcsönök visszatérülése, igénybevétele</t>
  </si>
  <si>
    <t>Rövidlejáratú hitel</t>
  </si>
  <si>
    <t>Rövidlejáratú értékpapírok értékesítése</t>
  </si>
  <si>
    <t>Mûködési célú elõzõ évi pénzmaradvány igénybevétele</t>
  </si>
  <si>
    <t>Tűzoltóság és szakrendelő</t>
  </si>
  <si>
    <t>MÛKÖDÉSI CÉLÚ BEVÉTEL ÖSSZESEN</t>
  </si>
  <si>
    <t>I. MŰKÖDÉSI KIADÁSOK megnevezése</t>
  </si>
  <si>
    <t>összeg ezer Ft-ban</t>
  </si>
  <si>
    <t>Személyi juttatások</t>
  </si>
  <si>
    <t>iskola és tűzoltóság</t>
  </si>
  <si>
    <t>Munkaadót terhelõ járulékok</t>
  </si>
  <si>
    <t>Dologi és egyéb folyó kiadások (le:t.e.áfa befiz és kamat)</t>
  </si>
  <si>
    <t>bölcsi, étkezés,önkormányzati feladatok</t>
  </si>
  <si>
    <t>Mûködési célú pénzeszköz átad.,egyéb tám.</t>
  </si>
  <si>
    <t>szociális kiadások</t>
  </si>
  <si>
    <t>Ellátottak pénzbeli juttatása</t>
  </si>
  <si>
    <t>Mûköd. célú kölcsönök nyújtása és törlesztése</t>
  </si>
  <si>
    <t xml:space="preserve">Rövid lejáratú hitel visszafizetése </t>
  </si>
  <si>
    <t>Rövidlejáratú hitel kamata</t>
  </si>
  <si>
    <t>Rövidlejáratú értékpapírok beváltása, vásárl.</t>
  </si>
  <si>
    <t>Tartalékok</t>
  </si>
  <si>
    <t>városmarketing, bizonytalanság, általános tartalék</t>
  </si>
  <si>
    <t>MÛKÖDÉSI CÉLÚ KIADÁS ÖSSZESEN</t>
  </si>
  <si>
    <t>MŰKÖDÉSI BEVÉTEL - MŰKÖDÉSI KIADÁS</t>
  </si>
  <si>
    <t xml:space="preserve">ll. FELHALMOZÁSI BEVÉTELEK </t>
  </si>
  <si>
    <t>Önkormányzatok felhalmozási és tõke jellegû bevételei</t>
  </si>
  <si>
    <t xml:space="preserve">Fejlesztési célú támogatások </t>
  </si>
  <si>
    <t>Felhalmozási célú pénzeszköz átvétel</t>
  </si>
  <si>
    <t>Felhalmozási áfa visszatérülés</t>
  </si>
  <si>
    <t>Felhalmozási célú kölcsönök visszatérülése</t>
  </si>
  <si>
    <t>Hosszú lejáratú hitel/fejlesztési célú hitel</t>
  </si>
  <si>
    <t>Felhalmozási célú elõzõ évi pénzmaradv.igénybevét.</t>
  </si>
  <si>
    <t>szakorvosi rendelőintézet</t>
  </si>
  <si>
    <t>FELHALMOZÁSI CÉLÚ BEVÉTELEK ÖSSZESEN</t>
  </si>
  <si>
    <t>BEVÉTELEK MINDÖSSZESEN</t>
  </si>
  <si>
    <t>II. FELHALMOZÁSI KIADÁSOK</t>
  </si>
  <si>
    <t>Felhalmozási kiadások (áfá-val)</t>
  </si>
  <si>
    <t>Felújítási kiadások (áfá-val)</t>
  </si>
  <si>
    <t>Értékesített tárgyi eszközök utáni áfa befizet</t>
  </si>
  <si>
    <t>Felhalmozási célú pénzeszköz átadás</t>
  </si>
  <si>
    <t>Felhalmozási célú kölcsönök nyújt. és törleszt.</t>
  </si>
  <si>
    <t>Hosszú lejáratú hitel visszafizetés</t>
  </si>
  <si>
    <t>Hitel kamata</t>
  </si>
  <si>
    <t>Tartalék</t>
  </si>
  <si>
    <t>FELHALMOZÁSI CÉLÚ KIADÁSOK ÖSSZ.</t>
  </si>
  <si>
    <t>KIADÁSOK MINDÖSSZESEN</t>
  </si>
  <si>
    <t>FELHALMOZÁSI BEVÉTEL ÉS FELHALMOZÁSI KIADÁS</t>
  </si>
  <si>
    <t>ÖSSZES BEVÉTEL - ÖSSZES KIADÁS</t>
  </si>
  <si>
    <t xml:space="preserve">2011 év </t>
  </si>
  <si>
    <t>kiküldött</t>
  </si>
  <si>
    <t>Iskola rendőre</t>
  </si>
  <si>
    <t>Értékesített tárgyi eszközök</t>
  </si>
  <si>
    <t xml:space="preserve">           2013. évi javaslat </t>
  </si>
  <si>
    <t xml:space="preserve"> Hivatal</t>
  </si>
  <si>
    <t>Önkormányzati igazgat. össz.</t>
  </si>
  <si>
    <t>Területi,körzeti igazgat.</t>
  </si>
  <si>
    <t>intézmények</t>
  </si>
  <si>
    <t>Szakorvosi Rendelőintézet fogászati eszközök és bútorok</t>
  </si>
  <si>
    <t>Informatikai eszközök Ped szakoszolgálat</t>
  </si>
  <si>
    <t>5.3</t>
  </si>
  <si>
    <t>Árpád Fej.Általános Iskola működtetés</t>
  </si>
  <si>
    <t>Árpád Fej.Általános Iskola étkeztetés</t>
  </si>
  <si>
    <t>Ránki György Mûvészeti Iskola működtetés</t>
  </si>
  <si>
    <t>5.4</t>
  </si>
  <si>
    <t>5.5</t>
  </si>
  <si>
    <t>VIGI összesen</t>
  </si>
  <si>
    <t>Pedagógiai Szakszolgálat</t>
  </si>
  <si>
    <t>5.6</t>
  </si>
  <si>
    <t>VIGI közvetlen kiadásai</t>
  </si>
  <si>
    <t>VIGI önállóan gazdálkodó</t>
  </si>
  <si>
    <t>Közfoglalkoztatás</t>
  </si>
  <si>
    <t>Halott hűtő kialakítása</t>
  </si>
  <si>
    <t xml:space="preserve">5.7 </t>
  </si>
  <si>
    <t>5.7</t>
  </si>
  <si>
    <t>visszafizetés</t>
  </si>
  <si>
    <t>5. melléklet</t>
  </si>
  <si>
    <t>RÁCKEVE VÁROS                  3/1. sz. melléklet</t>
  </si>
  <si>
    <t>MÉRLEG a BEVÉTELEK ÉS KIADÁSok ALAKULÁSÁRÓL</t>
  </si>
  <si>
    <r>
      <t xml:space="preserve"> ebből:   </t>
    </r>
    <r>
      <rPr>
        <sz val="10"/>
        <rFont val="Arial"/>
        <family val="2"/>
      </rPr>
      <t>alapilletmények,pótlékok</t>
    </r>
  </si>
  <si>
    <r>
      <t xml:space="preserve">        </t>
    </r>
    <r>
      <rPr>
        <i/>
        <sz val="10"/>
        <rFont val="Arial"/>
        <family val="2"/>
      </rPr>
      <t>ebből: továbbszámlázott</t>
    </r>
  </si>
  <si>
    <t>A BERUHÁZÁSI KIADÁSOK ÉS FELHALMOZÁSI CÉLÚ</t>
  </si>
  <si>
    <t xml:space="preserve"> adatok ezer Ft-ban</t>
  </si>
  <si>
    <t>6. sz. melléklet</t>
  </si>
  <si>
    <t xml:space="preserve">       M e g n e v e z é s </t>
  </si>
  <si>
    <t>Családi ünnepek</t>
  </si>
  <si>
    <t>Lapkiadás ( Ráckevei Újság)</t>
  </si>
  <si>
    <t>Közutak üzemeltetése, fenntartása</t>
  </si>
  <si>
    <t>KÖR TV üzemeltetés</t>
  </si>
  <si>
    <t>Saját ingatlan hasznosítás</t>
  </si>
  <si>
    <t>Polgári védelmi tevékenység</t>
  </si>
  <si>
    <t>Polgárőrség</t>
  </si>
  <si>
    <t>Vízkárelhárítás</t>
  </si>
  <si>
    <t>Város és Községgazdálkodás</t>
  </si>
  <si>
    <t>Közkutak vízdíj</t>
  </si>
  <si>
    <t>Ingatlanok</t>
  </si>
  <si>
    <t xml:space="preserve"> Szúnyog-,kullancs,rágcs.írt.</t>
  </si>
  <si>
    <t>Egyéb városgazdálkod.fa.</t>
  </si>
  <si>
    <t>Térmester és közterület feladatok</t>
  </si>
  <si>
    <t>Közvilágítás</t>
  </si>
  <si>
    <t>Önk.intézményekkal kapcs.kiad.</t>
  </si>
  <si>
    <t>Rendszer.pénzbeni ellát.(áp.díj,</t>
  </si>
  <si>
    <t>Orvosi ügyelet</t>
  </si>
  <si>
    <t>Szennyvíz elvezetés</t>
  </si>
  <si>
    <t>Településtiszt.szolgáltatás</t>
  </si>
  <si>
    <t>Települési hulladékok kezelése</t>
  </si>
  <si>
    <t>Egyéb szórakoztató</t>
  </si>
  <si>
    <t>PÉNZESZKÖZÁTADÁSOK</t>
  </si>
  <si>
    <t>RÁVÜSZ Kft</t>
  </si>
  <si>
    <t>leader pályázat önereje testvérvárosok háza</t>
  </si>
  <si>
    <t>zarándokút</t>
  </si>
  <si>
    <t>rsd tagdíj</t>
  </si>
  <si>
    <t>óvoda társulás támogatása</t>
  </si>
  <si>
    <t>családsegítő társulás támogatása</t>
  </si>
  <si>
    <t xml:space="preserve">           2014. évi javaslat </t>
  </si>
  <si>
    <t>választáaok</t>
  </si>
  <si>
    <t>Röntgen digitalizálásra</t>
  </si>
  <si>
    <t>kártlrítés</t>
  </si>
  <si>
    <t>ÁROP</t>
  </si>
  <si>
    <t>Vis maior támogatás</t>
  </si>
  <si>
    <t>Informatikai pályázat</t>
  </si>
  <si>
    <t>Múzeum kazáncsere</t>
  </si>
  <si>
    <t>MLSZ műfüves pálya</t>
  </si>
  <si>
    <t>Vizes pályázat</t>
  </si>
  <si>
    <t>Antenna árbóc felújítás</t>
  </si>
  <si>
    <t>forgalmi rend változtatás</t>
  </si>
  <si>
    <t>János Vitéz díszkút javítása</t>
  </si>
  <si>
    <t>Ivóvíz bevezetése szigetekre tervezés</t>
  </si>
  <si>
    <t>kerítés bontás</t>
  </si>
  <si>
    <t>Járulékos költségek, hatósági díjak</t>
  </si>
  <si>
    <t>kikötő és sólyapálya</t>
  </si>
  <si>
    <t>közcélú foglalkoztatás önereje</t>
  </si>
  <si>
    <t>Tanyafejlesztés</t>
  </si>
  <si>
    <t>Tanyafejlesztés II</t>
  </si>
  <si>
    <t>polgármester Végkielégítés opcionális 3 hó</t>
  </si>
  <si>
    <t>konyha</t>
  </si>
  <si>
    <t xml:space="preserve">Gimnázium </t>
  </si>
  <si>
    <t>RÁFÁI és Gimnázium szálláshellyé alakítása</t>
  </si>
  <si>
    <t>bérleti díj terhére DAKÖV által végzett</t>
  </si>
  <si>
    <t>mosib</t>
  </si>
  <si>
    <t>óvoda és alaptámogatás</t>
  </si>
  <si>
    <t xml:space="preserve">adók növelése főként </t>
  </si>
  <si>
    <t>Óvoda és CSSK működési támogatása  együtt 297715 e Ft</t>
  </si>
  <si>
    <t>Óvoda és CSSK kikerül, de  akonyhai dolgozók bére itt szerpel</t>
  </si>
  <si>
    <t>Kiadás</t>
  </si>
  <si>
    <t>állami támogatás</t>
  </si>
  <si>
    <t>Saját bevétel</t>
  </si>
  <si>
    <t>Polgármesteri Hivatal össz.</t>
  </si>
  <si>
    <t>VIGI</t>
  </si>
  <si>
    <t>VÁROS ÖSSZESEN***</t>
  </si>
  <si>
    <t>gimnázium</t>
  </si>
  <si>
    <t>Szivárvány óvoda társulás</t>
  </si>
  <si>
    <t>tavalyi tervezésben eredetiként szerepelt  a pénzmaradvány</t>
  </si>
  <si>
    <t>változás indoklása</t>
  </si>
  <si>
    <t>1 Ft-os 20 millió Ft , csatorna   átvétel, munkaügyi központ támogatás</t>
  </si>
  <si>
    <t>különbözet</t>
  </si>
  <si>
    <t>négyes ikrek támogatása</t>
  </si>
  <si>
    <t>étkezési bevétel</t>
  </si>
  <si>
    <t>1 Ft-os feladatok</t>
  </si>
  <si>
    <t>Intézményi felújítási alap</t>
  </si>
  <si>
    <t>járdaépítés</t>
  </si>
  <si>
    <r>
      <t xml:space="preserve">          </t>
    </r>
    <r>
      <rPr>
        <b/>
        <u val="single"/>
        <sz val="10"/>
        <color indexed="8"/>
        <rFont val="Arial"/>
        <family val="2"/>
      </rPr>
      <t>3/c.  sz. melléklet</t>
    </r>
  </si>
  <si>
    <t xml:space="preserve">                                         CÍMREND SZERINT </t>
  </si>
  <si>
    <t xml:space="preserve">        adatok ezer Ft-ban </t>
  </si>
  <si>
    <t>Intézmény-</t>
  </si>
  <si>
    <t>finanszír.</t>
  </si>
  <si>
    <t>1-8</t>
  </si>
  <si>
    <t>1-6</t>
  </si>
  <si>
    <t xml:space="preserve">                            2014. ÉVI ÖNKORMÁNYZATI TÁMOGATÁS </t>
  </si>
  <si>
    <t>7/a. melléklet</t>
  </si>
  <si>
    <t>Finanszírozási célú pénzügyi műveletek cél szerinti tagolásban</t>
  </si>
  <si>
    <t>Megnevezés</t>
  </si>
  <si>
    <t>összeg e Ft</t>
  </si>
  <si>
    <t>új hitel (több ügylet)</t>
  </si>
  <si>
    <t>pénzmaradvány</t>
  </si>
  <si>
    <t>támogatás</t>
  </si>
  <si>
    <t>saját bevétel terhére</t>
  </si>
  <si>
    <t>egyéb lórév</t>
  </si>
  <si>
    <t>Tárgyi eszköz</t>
  </si>
  <si>
    <t>kontrol sor</t>
  </si>
  <si>
    <t>adósságot keletkeztet</t>
  </si>
  <si>
    <t>11. sz. melléklet</t>
  </si>
  <si>
    <t xml:space="preserve">                  A MŰKÖDÉSI ÉS FEJLESZTÉSI CÉLÚ BEVÉTELEK  ÉS KIADÁSOK </t>
  </si>
  <si>
    <t>adatok ezer Ft-ban</t>
  </si>
  <si>
    <t>Sorsz.</t>
  </si>
  <si>
    <t xml:space="preserve">                                                                 I. MŰKÖDÉSI BEVÉTELEK ÉS KIADÁSOK</t>
  </si>
  <si>
    <t>Intézményi működési bevételek (levonva a felhalmozási áfa</t>
  </si>
  <si>
    <t>visszatérülések, érték.tárgyei eszköz áfája)</t>
  </si>
  <si>
    <t>Önkormányzatok sajátos működési bevételei</t>
  </si>
  <si>
    <t>Önkorm. költségvetési támogatás és átengedett SZJA</t>
  </si>
  <si>
    <t>Működési célú pénze. átvétel államházt.kívülről</t>
  </si>
  <si>
    <t>Támogatásértékű működési bevétel</t>
  </si>
  <si>
    <t>Működési célú kölcsönök visszatérülése, igénybevétele</t>
  </si>
  <si>
    <t>Továbbadási(lebonyolítási) célú működési bevétel</t>
  </si>
  <si>
    <t>Rövid lejáratú hitel</t>
  </si>
  <si>
    <t>Működési célú előző évi pénzmaradvány igénybevétele</t>
  </si>
  <si>
    <t>MŰKÖDÉSI CÉLÚ BEVÉTELEK ÖSSZ. (1+….+10)</t>
  </si>
  <si>
    <t>Munkaadókat terhelő járulékok</t>
  </si>
  <si>
    <r>
      <t>Dologi és egyéb folyó kiad. (</t>
    </r>
    <r>
      <rPr>
        <sz val="9"/>
        <rFont val="Arial"/>
        <family val="2"/>
      </rPr>
      <t>le az érték.t.eszk.áfa és kamat)</t>
    </r>
  </si>
  <si>
    <t>Működ.célú pénze.áta.államházt.kívülre, egyéb támogatás</t>
  </si>
  <si>
    <t>Támogatásértékű működési kiadás</t>
  </si>
  <si>
    <t>Továbbadási(lebonyolítási) célú működési kiadás</t>
  </si>
  <si>
    <t>Működési célú kölcsönök nyújtása és törlesztése</t>
  </si>
  <si>
    <t>Rövid lejáratú hitel visszafizetése</t>
  </si>
  <si>
    <t>Rövid lejáratú hitel kamata</t>
  </si>
  <si>
    <t>Rövid lejáratú értékpapirok beváltása, vásárlása</t>
  </si>
  <si>
    <t>MŰKÖDÉSI CÉLÚ KIADÁSOK ÖSSZ.(12+…+23)</t>
  </si>
  <si>
    <t xml:space="preserve">                                   II.FELHALMOZÁSI CÉLÚ BEVÉTELEK ÉS KIADÁSOK</t>
  </si>
  <si>
    <t>Önkormányzatok felhalmozási és tőke jellegű bevételek</t>
  </si>
  <si>
    <t>Önkorm.sajátos felhalmozási és tőke bevételei</t>
  </si>
  <si>
    <t>Fejlesztési célú támogatások</t>
  </si>
  <si>
    <t>Felhalmozási célú pénze.átvétel államházt.kívülről</t>
  </si>
  <si>
    <t>Támogatásértékű felhalmozási bevétel</t>
  </si>
  <si>
    <t>Továbbadási(lebonyolítási) célú felhalmozási bevétel</t>
  </si>
  <si>
    <t>Értékesített tárgyi eszközök és immat.javas áfá-ja</t>
  </si>
  <si>
    <t>Felhalmoz.célú kölcsönök visszatérülése, igénybevétele</t>
  </si>
  <si>
    <t>Hosszú lejáratú hitel</t>
  </si>
  <si>
    <t>Hosszú lejáratú értékpapírok kibocsátása</t>
  </si>
  <si>
    <t>Felhalmozási célú előző évi pénzmaradvány igénybevét.</t>
  </si>
  <si>
    <t>FELHALMOZÁSI CÉLÚ BEVÉT.ÖSSZ. (25+… +36)</t>
  </si>
  <si>
    <t>Felhalmozási kiadások (áfá-val együtt)</t>
  </si>
  <si>
    <t>Felújítási kiadások (áfá-val együtt)</t>
  </si>
  <si>
    <t>Értékesített tárgyi eszköz utáni áfa</t>
  </si>
  <si>
    <t>Felhalmozási célú pénze.átadás államházt.kívülre</t>
  </si>
  <si>
    <t>Támogatásértékű felhalmozási kiadás</t>
  </si>
  <si>
    <t>Továbbadási (lebonyolítási) célú felhalmozási kiadás</t>
  </si>
  <si>
    <t>Felhalmozási célú kölcsönök nyújtása és törlesztése</t>
  </si>
  <si>
    <t>Hosszú lejáratú hitel visszafizetése</t>
  </si>
  <si>
    <t>Hosszú lejáratú hitel kamata</t>
  </si>
  <si>
    <t>Hosszu lejáratú értékpapírok beváltása</t>
  </si>
  <si>
    <t>FELHALMOZÁSI CÉLÚ KIAD.ÖSSZ.(38+….+48)</t>
  </si>
  <si>
    <t>ÖNKORM. BEVÉTEL ÖSSZESEN (11+30)</t>
  </si>
  <si>
    <t>ÖNKORM. KIADÁS ÖSSZESEN (20+40)</t>
  </si>
  <si>
    <t>8 melléklet</t>
  </si>
  <si>
    <t xml:space="preserve">                                             KIMUTATÁS a közvetett támogtások</t>
  </si>
  <si>
    <t xml:space="preserve">                         M e g n e v e z é s </t>
  </si>
  <si>
    <t xml:space="preserve">összeg </t>
  </si>
  <si>
    <t>e Ft-ban</t>
  </si>
  <si>
    <t>IPARŰZÉSI ADÓ</t>
  </si>
  <si>
    <t>Adómentesség (300eFt alatt)</t>
  </si>
  <si>
    <t>Foglalkoztatás növeléséhez kapcsolódó mentesség</t>
  </si>
  <si>
    <t>ÉPÍTMÉNYADÓ</t>
  </si>
  <si>
    <t xml:space="preserve">Adókedvezmény </t>
  </si>
  <si>
    <t>15m2 /fő mentes terület 169473 m2 után</t>
  </si>
  <si>
    <t>Adómentesség</t>
  </si>
  <si>
    <t>GÉPJÁRMŰADÓ</t>
  </si>
  <si>
    <t>mozgáskorlátozott és egyéb mentesség</t>
  </si>
  <si>
    <t>Adókedvezmény</t>
  </si>
  <si>
    <t>szabályozott katalizátor és ENSZ-EGB előírások miatt</t>
  </si>
  <si>
    <t>Egyéb közvetett támogatások</t>
  </si>
  <si>
    <t>Gyermekétkeztetés nyersanyagnorma és a tényleges bekerülés közötti</t>
  </si>
  <si>
    <t>különbözet Általános Iskola, Gimnázium és Óvoda növendékei után</t>
  </si>
  <si>
    <t xml:space="preserve">                Bölcsődés gyermekek után</t>
  </si>
  <si>
    <t>Együtt</t>
  </si>
  <si>
    <t xml:space="preserve">                                                     2014. évi tervezett összegéről</t>
  </si>
  <si>
    <t>előző évekkel összehasonlítva</t>
  </si>
  <si>
    <t>Előirányzat-felhasználási ütemterv</t>
  </si>
  <si>
    <t>9. melléklet</t>
  </si>
  <si>
    <t xml:space="preserve"> H      Ó      N      A      P     O      K </t>
  </si>
  <si>
    <t>BEVÉTELEK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</si>
  <si>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</si>
  <si>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</si>
  <si>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</si>
  <si>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</si>
  <si>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</si>
  <si>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</si>
  <si>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</si>
  <si>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</si>
  <si>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</si>
  <si>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</si>
  <si>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</t>
  </si>
  <si>
    <t>XII</t>
  </si>
  <si>
    <t>KIADÁSOK</t>
  </si>
  <si>
    <t>Személyi juttatás</t>
  </si>
  <si>
    <t>MUNKA.JÁR.ÖSSZ</t>
  </si>
  <si>
    <t>Dologi</t>
  </si>
  <si>
    <t>Műk.célú pe.átad.</t>
  </si>
  <si>
    <t>Felújítás</t>
  </si>
  <si>
    <t>Céltartalék</t>
  </si>
  <si>
    <t>Általános tart.</t>
  </si>
  <si>
    <t>Hitel törlesztés</t>
  </si>
  <si>
    <t>KIADÁS MINDÖSSZ</t>
  </si>
  <si>
    <t>BEVÉTEL</t>
  </si>
  <si>
    <t>HIÁNY-TÖBBLET(+-)</t>
  </si>
  <si>
    <t>Likviditási ütemterv a költségvetés végrehajtására</t>
  </si>
  <si>
    <t>10. melléklet</t>
  </si>
  <si>
    <t>12melléklet</t>
  </si>
  <si>
    <t>Önkormányzati kötelezettségvállalások</t>
  </si>
  <si>
    <t>2012. december 31 állapot</t>
  </si>
  <si>
    <t>városközpont rehabilitációval kapcsolatos hitel lejár 2030</t>
  </si>
  <si>
    <t>tőke összesen</t>
  </si>
  <si>
    <t>kamat összesen</t>
  </si>
  <si>
    <t>12/a. melléklet</t>
  </si>
  <si>
    <t>adósságot keletkeztető ügyletek teljes futamidőre a saját bevétel bemutatása mellett</t>
  </si>
  <si>
    <t xml:space="preserve">új hitel tőke </t>
  </si>
  <si>
    <t>önkormányzat saját bevételei</t>
  </si>
  <si>
    <t>helyi adóból származó</t>
  </si>
  <si>
    <t>vagyonhasznosítás bevétele</t>
  </si>
  <si>
    <t>osztalék, koncessziós díj és hozam</t>
  </si>
  <si>
    <t>tárgyi eszköz értékesítés</t>
  </si>
  <si>
    <t>bírság, pótlék és díjbevétel</t>
  </si>
  <si>
    <t>kezességvállalás megtérülése</t>
  </si>
  <si>
    <t>ennek 50 %-a, azaz a lehetséges határ</t>
  </si>
  <si>
    <t>megfelelés</t>
  </si>
  <si>
    <t>pályázatelőkészítés</t>
  </si>
  <si>
    <t>I.INTÉZM.MŰKÖDÉSI BEV. ÖSSZESEN</t>
  </si>
  <si>
    <t>1.1Hatósági jogkörhöz köthető műk.bev.</t>
  </si>
  <si>
    <t>1.2 Egyéb saját bevétel</t>
  </si>
  <si>
    <t>1.3 ÁFA bevétel és visszatérülés</t>
  </si>
  <si>
    <t>1.4 Hozam- és kamatbevételek</t>
  </si>
  <si>
    <t>1.5 Műk.célú pe. átvétel államh.kívülről</t>
  </si>
  <si>
    <t>II. Önkorm.sajátos bevételei mindössz.</t>
  </si>
  <si>
    <t>1. Önkorm. Sajátos működési bev. Össz.</t>
  </si>
  <si>
    <t>1.1 Helyi adó</t>
  </si>
  <si>
    <t>1.1.1 építményadó</t>
  </si>
  <si>
    <t>1.1.2 iparűzési adó</t>
  </si>
  <si>
    <t>1.1.3 idegenforgalmi adó</t>
  </si>
  <si>
    <t>1.1.4 telekadó</t>
  </si>
  <si>
    <t>1.2 Átengedett központi adók</t>
  </si>
  <si>
    <t>1.2.1 Személyi jövedelemadó</t>
  </si>
  <si>
    <t>1.2.2 Gépjárműadó</t>
  </si>
  <si>
    <t>1.2.3 Termőföld bérbead.szárm.szemjöv.a.</t>
  </si>
  <si>
    <t xml:space="preserve">1.2.4. Luxusadó </t>
  </si>
  <si>
    <t>1.3 Pótlékok, bírságok (helyi adó után)</t>
  </si>
  <si>
    <t>1.4 Egyéb önkorm. sajátos műk.bev.</t>
  </si>
  <si>
    <t>2. Önkor. Sajátos felhalmozási célú bev.</t>
  </si>
  <si>
    <t>III. TÁMOGAT.TÁM.ÉRTÉKŰ BEV.,KIEG.</t>
  </si>
  <si>
    <t>1.1 Önkorm. költségv. tám. össz.</t>
  </si>
  <si>
    <t>1.1.1 normatív állami hozzájárulás</t>
  </si>
  <si>
    <t>1.1.2 Normatív kötött felhaszn.tám.</t>
  </si>
  <si>
    <t>1.1.3 központosított előirányzat</t>
  </si>
  <si>
    <t>1.1.4 fejl.célú támogatás</t>
  </si>
  <si>
    <t>1.2. Támogatásértékű működési bevétel</t>
  </si>
  <si>
    <t>1.3 Támogatásértékű felhalmozási bev.</t>
  </si>
  <si>
    <t>1.4. Kiegészítések, visszatérülések</t>
  </si>
  <si>
    <t>IV. FELHALM.ÉS TŐKE JELL. BEVÉT.</t>
  </si>
  <si>
    <t>1. Tárgyi eszköz értékesítés</t>
  </si>
  <si>
    <t>2. Pü.-i befektet. bevételei</t>
  </si>
  <si>
    <t>3. Felhalm.célú átvét.álh.tart.kívülről</t>
  </si>
  <si>
    <t>V. HITEL.ÉRTÉKPAP,TÁM.KÖLCSÖN</t>
  </si>
  <si>
    <t>VISSATÉR.PÉNZFORG.NÉLKÜLI BEV</t>
  </si>
  <si>
    <t>1. Tám.kölcsön visszatér. össz.</t>
  </si>
  <si>
    <t>2. Pénzforg.nélküli bevétel-előző évi pénzm.</t>
  </si>
  <si>
    <t>3. Hitelfelvétel összesen</t>
  </si>
  <si>
    <t xml:space="preserve">3.1 Rövidlejáratú hitel </t>
  </si>
  <si>
    <t xml:space="preserve">3.2 Hosszúlejáratú hitel  (fejlesztési célú) </t>
  </si>
  <si>
    <t>3.3 Likviditási célú hitel</t>
  </si>
  <si>
    <t>4. Értékpapír bevételek</t>
  </si>
  <si>
    <t>5. Továbbadási célú bev.ÁHT.belülről össz.</t>
  </si>
  <si>
    <t>6. Továbbadási célú bev.ÁHT kívülről össz.</t>
  </si>
  <si>
    <t>BEVÉTELEK ÖSSZESEN</t>
  </si>
  <si>
    <t>beruházások</t>
  </si>
  <si>
    <t>vagyonnal kapcsolatos jogi kiadások</t>
  </si>
  <si>
    <t>fennálló tőke</t>
  </si>
  <si>
    <t>7/1 melléklet az Európai Úniós fejlesztésekről</t>
  </si>
  <si>
    <t>A.</t>
  </si>
  <si>
    <t>ÁROP 3.A.2-2013-2013-0047</t>
  </si>
  <si>
    <t>Bevételek</t>
  </si>
  <si>
    <t>Kiadások</t>
  </si>
  <si>
    <t>Project menedzsment költségek</t>
  </si>
  <si>
    <t>Szakértői Díjak</t>
  </si>
  <si>
    <t>nyilvánosság</t>
  </si>
  <si>
    <t>szakmai megvalósítás egyéb költságei</t>
  </si>
  <si>
    <t>közbeszerzés</t>
  </si>
  <si>
    <t>önerő</t>
  </si>
  <si>
    <t>Szervezetfejlesztés Ráckeve Város Önkormányzata számára</t>
  </si>
  <si>
    <t>Ft</t>
  </si>
  <si>
    <t xml:space="preserve">B. </t>
  </si>
  <si>
    <t>KEOP 1-3.0/09-11</t>
  </si>
  <si>
    <t>Ivóvízminőség javítás (benyújtott, nem elfogadott)</t>
  </si>
  <si>
    <t>pályázott összeg</t>
  </si>
  <si>
    <t>elszámolható költség</t>
  </si>
  <si>
    <t>C. Elektronikus helyi közigazgatás fejlesztése</t>
  </si>
  <si>
    <t>KMOP-4.7.1-13</t>
  </si>
  <si>
    <t xml:space="preserve">        2014. ÉVI  KIADÁSI ELÕIRÁNYZAT CÍMREND SZERINT</t>
  </si>
  <si>
    <t>Működési kiadások 2014</t>
  </si>
  <si>
    <t>Önkormányzati és Polgármesteri Hivatal feladati részletezve</t>
  </si>
  <si>
    <t>konyha beruházások</t>
  </si>
  <si>
    <t>lakáskorszerűsítési tám</t>
  </si>
  <si>
    <t>Családsegítő társulás</t>
  </si>
  <si>
    <t>2014 év</t>
  </si>
  <si>
    <t>Adósságot keletkeztető ügyletek</t>
  </si>
  <si>
    <t>7/b. melléklet</t>
  </si>
  <si>
    <r>
      <t xml:space="preserve">1.2.1 </t>
    </r>
    <r>
      <rPr>
        <sz val="8"/>
        <rFont val="Arial"/>
        <family val="2"/>
      </rPr>
      <t>ebből: társadalombiztosítási alaptól</t>
    </r>
  </si>
  <si>
    <t>Sportorvoslásra</t>
  </si>
  <si>
    <t>közbiztonsági eszközök</t>
  </si>
  <si>
    <t>városszépítő alap</t>
  </si>
  <si>
    <t>Városszépítő alap</t>
  </si>
  <si>
    <t>függő kötelezettség szigetek ivóvíz kamat</t>
  </si>
  <si>
    <t>új hitel tőke  57194</t>
  </si>
  <si>
    <t>függő kötelezettség szigetek ivóvíz tőke 381.000 e ft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</si>
</sst>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\ _F_t_-;\-* #,##0.0\ _F_t_-;_-* &quot;-&quot;?\ _F_t_-;_-@_-"/>
    <numFmt numFmtId="173" formatCode="0.0E+00"/>
    <numFmt numFmtId="174" formatCode="#,##0.0"/>
    <numFmt numFmtId="175" formatCode="0.0"/>
    <numFmt numFmtId="176" formatCode="#,##0_ ;[Red]\-#,##0\ 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#,##0.00_ ;[Red]\-#,##0.00\ "/>
    <numFmt numFmtId="181" formatCode="0.0000"/>
  </numFmts>
  <fonts count="90">
    <font>
      <sz val="10"/>
      <name val="Arial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b/>
      <u val="single"/>
      <sz val="12"/>
      <color indexed="8"/>
      <name val="Arial CE"/>
      <family val="2"/>
    </font>
    <font>
      <sz val="10"/>
      <color indexed="8"/>
      <name val="Arial"/>
      <family val="0"/>
    </font>
    <font>
      <b/>
      <sz val="12"/>
      <color indexed="8"/>
      <name val="Arial CE"/>
      <family val="0"/>
    </font>
    <font>
      <sz val="12"/>
      <color indexed="8"/>
      <name val="Arial CE"/>
      <family val="2"/>
    </font>
    <font>
      <b/>
      <sz val="11"/>
      <color indexed="8"/>
      <name val="Arial CE"/>
      <family val="0"/>
    </font>
    <font>
      <sz val="11"/>
      <color indexed="8"/>
      <name val="Arial CE"/>
      <family val="2"/>
    </font>
    <font>
      <b/>
      <sz val="10"/>
      <name val="Arial"/>
      <family val="2"/>
    </font>
    <font>
      <b/>
      <u val="single"/>
      <sz val="10"/>
      <color indexed="8"/>
      <name val="Arial"/>
      <family val="2"/>
    </font>
    <font>
      <i/>
      <sz val="12"/>
      <color indexed="8"/>
      <name val="Arial CE"/>
      <family val="0"/>
    </font>
    <font>
      <i/>
      <sz val="10"/>
      <color indexed="8"/>
      <name val="Arial CE"/>
      <family val="0"/>
    </font>
    <font>
      <b/>
      <sz val="11"/>
      <color indexed="8"/>
      <name val="Albany"/>
      <family val="2"/>
    </font>
    <font>
      <sz val="10"/>
      <color indexed="8"/>
      <name val="Albany"/>
      <family val="2"/>
    </font>
    <font>
      <b/>
      <sz val="12"/>
      <color indexed="8"/>
      <name val="Albany"/>
      <family val="0"/>
    </font>
    <font>
      <b/>
      <sz val="11"/>
      <name val="Arial"/>
      <family val="2"/>
    </font>
    <font>
      <sz val="9"/>
      <name val="Arial"/>
      <family val="0"/>
    </font>
    <font>
      <b/>
      <u val="single"/>
      <sz val="10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"/>
      <family val="0"/>
    </font>
    <font>
      <b/>
      <sz val="13"/>
      <name val="Arial"/>
      <family val="2"/>
    </font>
    <font>
      <sz val="9"/>
      <color indexed="8"/>
      <name val="Arial CE"/>
      <family val="0"/>
    </font>
    <font>
      <sz val="8"/>
      <color indexed="8"/>
      <name val="Arial CE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b/>
      <sz val="10.5"/>
      <name val="Arial"/>
      <family val="2"/>
    </font>
    <font>
      <b/>
      <sz val="12"/>
      <name val="Albany"/>
      <family val="2"/>
    </font>
    <font>
      <b/>
      <sz val="10"/>
      <name val="Albany"/>
      <family val="2"/>
    </font>
    <font>
      <b/>
      <sz val="11"/>
      <name val="Albany"/>
      <family val="2"/>
    </font>
    <font>
      <sz val="11"/>
      <name val="Albany"/>
      <family val="2"/>
    </font>
    <font>
      <sz val="10"/>
      <name val="Albany"/>
      <family val="0"/>
    </font>
    <font>
      <b/>
      <i/>
      <sz val="10"/>
      <name val="Albany"/>
      <family val="0"/>
    </font>
    <font>
      <b/>
      <sz val="11"/>
      <color indexed="10"/>
      <name val="Arial CE"/>
      <family val="2"/>
    </font>
    <font>
      <sz val="10"/>
      <color indexed="10"/>
      <name val="Arial CE"/>
      <family val="2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Arial CE"/>
      <family val="2"/>
    </font>
    <font>
      <b/>
      <i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name val="Arial CE"/>
      <family val="2"/>
    </font>
    <font>
      <sz val="10"/>
      <name val="Arial CE"/>
      <family val="0"/>
    </font>
    <font>
      <b/>
      <sz val="10"/>
      <name val="Arial CE"/>
      <family val="0"/>
    </font>
    <font>
      <b/>
      <u val="single"/>
      <sz val="11"/>
      <name val="Arial CE"/>
      <family val="0"/>
    </font>
    <font>
      <u val="single"/>
      <sz val="11"/>
      <name val="Arial CE"/>
      <family val="2"/>
    </font>
    <font>
      <sz val="11"/>
      <name val="Arial CE"/>
      <family val="2"/>
    </font>
    <font>
      <sz val="10"/>
      <color indexed="12"/>
      <name val="Arial CE"/>
      <family val="0"/>
    </font>
    <font>
      <b/>
      <sz val="12"/>
      <name val="Arial CE"/>
      <family val="2"/>
    </font>
    <font>
      <i/>
      <sz val="11"/>
      <name val="Arial"/>
      <family val="2"/>
    </font>
    <font>
      <i/>
      <sz val="11"/>
      <name val="Arial CE"/>
      <family val="0"/>
    </font>
    <font>
      <b/>
      <i/>
      <sz val="11"/>
      <name val="Arial CE"/>
      <family val="2"/>
    </font>
    <font>
      <sz val="8"/>
      <name val="Albany"/>
      <family val="0"/>
    </font>
    <font>
      <b/>
      <sz val="10"/>
      <color indexed="48"/>
      <name val="Arial"/>
      <family val="0"/>
    </font>
    <font>
      <sz val="10"/>
      <color indexed="48"/>
      <name val="Arial"/>
      <family val="0"/>
    </font>
    <font>
      <b/>
      <sz val="8"/>
      <color indexed="48"/>
      <name val="Arial"/>
      <family val="0"/>
    </font>
    <font>
      <sz val="8"/>
      <color indexed="48"/>
      <name val="Arial"/>
      <family val="0"/>
    </font>
    <font>
      <sz val="11"/>
      <color indexed="10"/>
      <name val="Arial"/>
      <family val="0"/>
    </font>
    <font>
      <sz val="11"/>
      <color indexed="10"/>
      <name val="Arial CE"/>
      <family val="2"/>
    </font>
    <font>
      <b/>
      <sz val="10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ck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/>
      <bottom style="thin"/>
    </border>
    <border>
      <left style="medium">
        <color indexed="8"/>
      </left>
      <right style="thick">
        <color indexed="8"/>
      </right>
      <top style="thin"/>
      <bottom>
        <color indexed="63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ck">
        <color indexed="8"/>
      </right>
      <top style="hair">
        <color indexed="8"/>
      </top>
      <bottom style="thin"/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thin"/>
    </border>
    <border>
      <left style="medium"/>
      <right style="thin"/>
      <top style="medium"/>
      <bottom style="thin"/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ck"/>
      <top style="medium"/>
      <bottom style="thick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>
        <color indexed="8"/>
      </top>
      <bottom>
        <color indexed="63"/>
      </bottom>
    </border>
    <border>
      <left style="medium">
        <color indexed="8"/>
      </left>
      <right style="medium"/>
      <top style="thin"/>
      <bottom>
        <color indexed="63"/>
      </bottom>
    </border>
    <border>
      <left style="medium">
        <color indexed="8"/>
      </left>
      <right style="medium"/>
      <top style="thin">
        <color indexed="8"/>
      </top>
      <bottom style="thin"/>
    </border>
    <border>
      <left style="medium">
        <color indexed="8"/>
      </left>
      <right style="medium"/>
      <top style="medium">
        <color indexed="8"/>
      </top>
      <bottom>
        <color indexed="8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thin"/>
      <bottom style="medium"/>
    </border>
    <border>
      <left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8"/>
      </left>
      <right style="medium">
        <color indexed="8"/>
      </right>
      <top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>
        <color indexed="8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8"/>
      </left>
      <right style="medium"/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thick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5" borderId="0" applyNumberFormat="0" applyBorder="0" applyAlignment="0" applyProtection="0"/>
    <xf numFmtId="0" fontId="86" fillId="8" borderId="0" applyNumberFormat="0" applyBorder="0" applyAlignment="0" applyProtection="0"/>
    <xf numFmtId="0" fontId="86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77" fillId="7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81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0" fillId="17" borderId="7" applyNumberFormat="0" applyFont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21" borderId="0" applyNumberFormat="0" applyBorder="0" applyAlignment="0" applyProtection="0"/>
    <xf numFmtId="0" fontId="74" fillId="4" borderId="0" applyNumberFormat="0" applyBorder="0" applyAlignment="0" applyProtection="0"/>
    <xf numFmtId="0" fontId="78" fillId="22" borderId="8" applyNumberFormat="0" applyAlignment="0" applyProtection="0"/>
    <xf numFmtId="0" fontId="8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3" borderId="0" applyNumberFormat="0" applyBorder="0" applyAlignment="0" applyProtection="0"/>
    <xf numFmtId="0" fontId="76" fillId="23" borderId="0" applyNumberFormat="0" applyBorder="0" applyAlignment="0" applyProtection="0"/>
    <xf numFmtId="0" fontId="79" fillId="22" borderId="1" applyNumberFormat="0" applyAlignment="0" applyProtection="0"/>
    <xf numFmtId="9" fontId="0" fillId="0" borderId="0" applyFont="0" applyFill="0" applyBorder="0" applyAlignment="0" applyProtection="0"/>
  </cellStyleXfs>
  <cellXfs count="9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3" fontId="6" fillId="0" borderId="17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3" fontId="2" fillId="0" borderId="17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3" fontId="5" fillId="0" borderId="18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5" xfId="0" applyFont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9" fillId="0" borderId="21" xfId="0" applyFont="1" applyBorder="1" applyAlignment="1">
      <alignment/>
    </xf>
    <xf numFmtId="0" fontId="0" fillId="0" borderId="22" xfId="0" applyBorder="1" applyAlignment="1">
      <alignment/>
    </xf>
    <xf numFmtId="49" fontId="0" fillId="0" borderId="15" xfId="0" applyNumberFormat="1" applyBorder="1" applyAlignment="1">
      <alignment horizontal="right"/>
    </xf>
    <xf numFmtId="3" fontId="6" fillId="0" borderId="16" xfId="0" applyNumberFormat="1" applyFont="1" applyBorder="1" applyAlignment="1">
      <alignment/>
    </xf>
    <xf numFmtId="0" fontId="0" fillId="0" borderId="23" xfId="0" applyBorder="1" applyAlignment="1">
      <alignment/>
    </xf>
    <xf numFmtId="0" fontId="2" fillId="0" borderId="19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9" fontId="0" fillId="0" borderId="18" xfId="0" applyNumberForma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0" borderId="0" xfId="0" applyFont="1" applyBorder="1" applyAlignment="1">
      <alignment/>
    </xf>
    <xf numFmtId="3" fontId="5" fillId="0" borderId="15" xfId="0" applyNumberFormat="1" applyFont="1" applyBorder="1" applyAlignment="1">
      <alignment/>
    </xf>
    <xf numFmtId="3" fontId="8" fillId="0" borderId="30" xfId="0" applyNumberFormat="1" applyFont="1" applyFill="1" applyBorder="1" applyAlignment="1">
      <alignment/>
    </xf>
    <xf numFmtId="3" fontId="8" fillId="0" borderId="31" xfId="0" applyNumberFormat="1" applyFont="1" applyBorder="1" applyAlignment="1">
      <alignment/>
    </xf>
    <xf numFmtId="49" fontId="0" fillId="0" borderId="32" xfId="0" applyNumberFormat="1" applyBorder="1" applyAlignment="1">
      <alignment horizontal="righ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5" xfId="0" applyBorder="1" applyAlignment="1">
      <alignment/>
    </xf>
    <xf numFmtId="0" fontId="0" fillId="0" borderId="35" xfId="0" applyBorder="1" applyAlignment="1">
      <alignment/>
    </xf>
    <xf numFmtId="49" fontId="0" fillId="0" borderId="36" xfId="0" applyNumberFormat="1" applyBorder="1" applyAlignment="1">
      <alignment horizontal="right"/>
    </xf>
    <xf numFmtId="3" fontId="11" fillId="0" borderId="17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3" fontId="0" fillId="0" borderId="37" xfId="0" applyNumberFormat="1" applyBorder="1" applyAlignment="1">
      <alignment/>
    </xf>
    <xf numFmtId="3" fontId="0" fillId="0" borderId="0" xfId="0" applyNumberFormat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20" xfId="0" applyFont="1" applyBorder="1" applyAlignment="1">
      <alignment/>
    </xf>
    <xf numFmtId="0" fontId="13" fillId="0" borderId="20" xfId="0" applyFont="1" applyBorder="1" applyAlignment="1">
      <alignment/>
    </xf>
    <xf numFmtId="0" fontId="1" fillId="0" borderId="10" xfId="0" applyFont="1" applyBorder="1" applyAlignment="1">
      <alignment/>
    </xf>
    <xf numFmtId="0" fontId="14" fillId="0" borderId="16" xfId="0" applyFont="1" applyBorder="1" applyAlignment="1">
      <alignment/>
    </xf>
    <xf numFmtId="14" fontId="1" fillId="0" borderId="38" xfId="0" applyNumberFormat="1" applyFont="1" applyBorder="1" applyAlignment="1">
      <alignment/>
    </xf>
    <xf numFmtId="0" fontId="1" fillId="0" borderId="38" xfId="0" applyFont="1" applyBorder="1" applyAlignment="1">
      <alignment/>
    </xf>
    <xf numFmtId="0" fontId="14" fillId="0" borderId="39" xfId="0" applyFont="1" applyBorder="1" applyAlignment="1">
      <alignment/>
    </xf>
    <xf numFmtId="0" fontId="2" fillId="0" borderId="38" xfId="0" applyFont="1" applyBorder="1" applyAlignment="1">
      <alignment/>
    </xf>
    <xf numFmtId="0" fontId="9" fillId="0" borderId="18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9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9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38" xfId="0" applyFont="1" applyBorder="1" applyAlignment="1">
      <alignment/>
    </xf>
    <xf numFmtId="0" fontId="12" fillId="0" borderId="43" xfId="0" applyFont="1" applyBorder="1" applyAlignment="1">
      <alignment/>
    </xf>
    <xf numFmtId="0" fontId="2" fillId="0" borderId="28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0" xfId="0" applyFont="1" applyBorder="1" applyAlignment="1">
      <alignment/>
    </xf>
    <xf numFmtId="0" fontId="1" fillId="24" borderId="43" xfId="0" applyFont="1" applyFill="1" applyBorder="1" applyAlignment="1">
      <alignment/>
    </xf>
    <xf numFmtId="0" fontId="1" fillId="0" borderId="12" xfId="0" applyFont="1" applyBorder="1" applyAlignment="1">
      <alignment/>
    </xf>
    <xf numFmtId="3" fontId="2" fillId="0" borderId="1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7" fillId="0" borderId="0" xfId="0" applyFont="1" applyAlignment="1">
      <alignment/>
    </xf>
    <xf numFmtId="3" fontId="15" fillId="0" borderId="45" xfId="0" applyNumberFormat="1" applyFont="1" applyFill="1" applyBorder="1" applyAlignment="1">
      <alignment/>
    </xf>
    <xf numFmtId="3" fontId="15" fillId="0" borderId="46" xfId="0" applyNumberFormat="1" applyFont="1" applyFill="1" applyBorder="1" applyAlignment="1">
      <alignment/>
    </xf>
    <xf numFmtId="3" fontId="15" fillId="0" borderId="47" xfId="0" applyNumberFormat="1" applyFont="1" applyFill="1" applyBorder="1" applyAlignment="1">
      <alignment/>
    </xf>
    <xf numFmtId="0" fontId="29" fillId="0" borderId="0" xfId="0" applyFont="1" applyAlignment="1">
      <alignment/>
    </xf>
    <xf numFmtId="3" fontId="9" fillId="0" borderId="48" xfId="0" applyNumberFormat="1" applyFont="1" applyBorder="1" applyAlignment="1">
      <alignment/>
    </xf>
    <xf numFmtId="0" fontId="2" fillId="0" borderId="49" xfId="0" applyFont="1" applyBorder="1" applyAlignment="1">
      <alignment/>
    </xf>
    <xf numFmtId="0" fontId="32" fillId="0" borderId="0" xfId="0" applyFont="1" applyAlignment="1">
      <alignment/>
    </xf>
    <xf numFmtId="3" fontId="16" fillId="0" borderId="0" xfId="0" applyNumberFormat="1" applyFont="1" applyAlignment="1">
      <alignment/>
    </xf>
    <xf numFmtId="0" fontId="0" fillId="0" borderId="37" xfId="0" applyBorder="1" applyAlignment="1">
      <alignment/>
    </xf>
    <xf numFmtId="0" fontId="9" fillId="0" borderId="37" xfId="0" applyFont="1" applyBorder="1" applyAlignment="1">
      <alignment/>
    </xf>
    <xf numFmtId="3" fontId="0" fillId="0" borderId="28" xfId="0" applyNumberFormat="1" applyBorder="1" applyAlignment="1">
      <alignment/>
    </xf>
    <xf numFmtId="3" fontId="6" fillId="0" borderId="16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  <xf numFmtId="0" fontId="0" fillId="0" borderId="0" xfId="0" applyFont="1" applyAlignment="1">
      <alignment/>
    </xf>
    <xf numFmtId="3" fontId="9" fillId="0" borderId="37" xfId="0" applyNumberFormat="1" applyFont="1" applyBorder="1" applyAlignment="1">
      <alignment/>
    </xf>
    <xf numFmtId="4" fontId="0" fillId="0" borderId="37" xfId="0" applyNumberFormat="1" applyBorder="1" applyAlignment="1">
      <alignment/>
    </xf>
    <xf numFmtId="4" fontId="9" fillId="0" borderId="37" xfId="0" applyNumberFormat="1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50" xfId="0" applyFont="1" applyBorder="1" applyAlignment="1">
      <alignment/>
    </xf>
    <xf numFmtId="0" fontId="9" fillId="0" borderId="51" xfId="0" applyFont="1" applyBorder="1" applyAlignment="1">
      <alignment/>
    </xf>
    <xf numFmtId="0" fontId="9" fillId="0" borderId="52" xfId="0" applyFont="1" applyBorder="1" applyAlignment="1">
      <alignment/>
    </xf>
    <xf numFmtId="0" fontId="9" fillId="0" borderId="0" xfId="0" applyFont="1" applyBorder="1" applyAlignment="1">
      <alignment/>
    </xf>
    <xf numFmtId="16" fontId="9" fillId="0" borderId="0" xfId="0" applyNumberFormat="1" applyFont="1" applyBorder="1" applyAlignment="1">
      <alignment/>
    </xf>
    <xf numFmtId="0" fontId="9" fillId="0" borderId="22" xfId="0" applyFont="1" applyBorder="1" applyAlignment="1">
      <alignment/>
    </xf>
    <xf numFmtId="0" fontId="9" fillId="0" borderId="53" xfId="0" applyFont="1" applyBorder="1" applyAlignment="1">
      <alignment/>
    </xf>
    <xf numFmtId="0" fontId="9" fillId="0" borderId="54" xfId="0" applyFont="1" applyBorder="1" applyAlignment="1">
      <alignment/>
    </xf>
    <xf numFmtId="0" fontId="9" fillId="0" borderId="5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3" fontId="9" fillId="0" borderId="56" xfId="0" applyNumberFormat="1" applyFont="1" applyBorder="1" applyAlignment="1">
      <alignment/>
    </xf>
    <xf numFmtId="0" fontId="0" fillId="0" borderId="53" xfId="0" applyFont="1" applyBorder="1" applyAlignment="1">
      <alignment/>
    </xf>
    <xf numFmtId="0" fontId="0" fillId="0" borderId="22" xfId="0" applyNumberFormat="1" applyFont="1" applyBorder="1" applyAlignment="1">
      <alignment horizontal="right"/>
    </xf>
    <xf numFmtId="3" fontId="9" fillId="0" borderId="57" xfId="0" applyNumberFormat="1" applyFont="1" applyBorder="1" applyAlignment="1">
      <alignment/>
    </xf>
    <xf numFmtId="3" fontId="9" fillId="0" borderId="58" xfId="0" applyNumberFormat="1" applyFont="1" applyBorder="1" applyAlignment="1">
      <alignment/>
    </xf>
    <xf numFmtId="175" fontId="9" fillId="0" borderId="0" xfId="0" applyNumberFormat="1" applyFont="1" applyBorder="1" applyAlignment="1">
      <alignment/>
    </xf>
    <xf numFmtId="3" fontId="9" fillId="0" borderId="59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9" fontId="0" fillId="0" borderId="22" xfId="0" applyNumberFormat="1" applyFont="1" applyBorder="1" applyAlignment="1">
      <alignment/>
    </xf>
    <xf numFmtId="3" fontId="9" fillId="0" borderId="60" xfId="0" applyNumberFormat="1" applyFont="1" applyBorder="1" applyAlignment="1">
      <alignment/>
    </xf>
    <xf numFmtId="3" fontId="9" fillId="0" borderId="61" xfId="0" applyNumberFormat="1" applyFont="1" applyBorder="1" applyAlignment="1">
      <alignment/>
    </xf>
    <xf numFmtId="3" fontId="9" fillId="0" borderId="62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53" xfId="0" applyNumberFormat="1" applyFont="1" applyBorder="1" applyAlignment="1">
      <alignment/>
    </xf>
    <xf numFmtId="3" fontId="9" fillId="0" borderId="63" xfId="0" applyNumberFormat="1" applyFont="1" applyBorder="1" applyAlignment="1">
      <alignment/>
    </xf>
    <xf numFmtId="3" fontId="35" fillId="0" borderId="63" xfId="0" applyNumberFormat="1" applyFont="1" applyBorder="1" applyAlignment="1">
      <alignment/>
    </xf>
    <xf numFmtId="3" fontId="35" fillId="0" borderId="62" xfId="0" applyNumberFormat="1" applyFont="1" applyBorder="1" applyAlignment="1">
      <alignment/>
    </xf>
    <xf numFmtId="3" fontId="35" fillId="0" borderId="60" xfId="0" applyNumberFormat="1" applyFont="1" applyBorder="1" applyAlignment="1">
      <alignment/>
    </xf>
    <xf numFmtId="3" fontId="35" fillId="0" borderId="61" xfId="0" applyNumberFormat="1" applyFont="1" applyBorder="1" applyAlignment="1">
      <alignment/>
    </xf>
    <xf numFmtId="3" fontId="36" fillId="0" borderId="0" xfId="0" applyNumberFormat="1" applyFont="1" applyBorder="1" applyAlignment="1">
      <alignment/>
    </xf>
    <xf numFmtId="3" fontId="36" fillId="0" borderId="53" xfId="0" applyNumberFormat="1" applyFont="1" applyBorder="1" applyAlignment="1">
      <alignment/>
    </xf>
    <xf numFmtId="175" fontId="36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22" xfId="0" applyNumberFormat="1" applyFont="1" applyBorder="1" applyAlignment="1">
      <alignment/>
    </xf>
    <xf numFmtId="3" fontId="9" fillId="0" borderId="64" xfId="0" applyNumberFormat="1" applyFont="1" applyBorder="1" applyAlignment="1">
      <alignment/>
    </xf>
    <xf numFmtId="3" fontId="9" fillId="0" borderId="65" xfId="0" applyNumberFormat="1" applyFont="1" applyBorder="1" applyAlignment="1">
      <alignment/>
    </xf>
    <xf numFmtId="49" fontId="0" fillId="0" borderId="25" xfId="0" applyNumberFormat="1" applyFont="1" applyBorder="1" applyAlignment="1">
      <alignment horizontal="right"/>
    </xf>
    <xf numFmtId="49" fontId="0" fillId="0" borderId="22" xfId="0" applyNumberFormat="1" applyFont="1" applyBorder="1" applyAlignment="1">
      <alignment horizontal="right"/>
    </xf>
    <xf numFmtId="3" fontId="9" fillId="0" borderId="66" xfId="0" applyNumberFormat="1" applyFont="1" applyBorder="1" applyAlignment="1">
      <alignment/>
    </xf>
    <xf numFmtId="3" fontId="9" fillId="0" borderId="67" xfId="0" applyNumberFormat="1" applyFont="1" applyBorder="1" applyAlignment="1">
      <alignment/>
    </xf>
    <xf numFmtId="16" fontId="0" fillId="0" borderId="22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3" fontId="36" fillId="0" borderId="64" xfId="0" applyNumberFormat="1" applyFont="1" applyBorder="1" applyAlignment="1">
      <alignment/>
    </xf>
    <xf numFmtId="3" fontId="36" fillId="0" borderId="65" xfId="0" applyNumberFormat="1" applyFont="1" applyBorder="1" applyAlignment="1">
      <alignment/>
    </xf>
    <xf numFmtId="3" fontId="9" fillId="0" borderId="68" xfId="0" applyNumberFormat="1" applyFont="1" applyBorder="1" applyAlignment="1">
      <alignment/>
    </xf>
    <xf numFmtId="3" fontId="9" fillId="0" borderId="69" xfId="0" applyNumberFormat="1" applyFont="1" applyBorder="1" applyAlignment="1">
      <alignment/>
    </xf>
    <xf numFmtId="3" fontId="9" fillId="0" borderId="70" xfId="0" applyNumberFormat="1" applyFont="1" applyBorder="1" applyAlignment="1">
      <alignment/>
    </xf>
    <xf numFmtId="3" fontId="9" fillId="0" borderId="71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175" fontId="9" fillId="0" borderId="72" xfId="0" applyNumberFormat="1" applyFont="1" applyBorder="1" applyAlignment="1">
      <alignment/>
    </xf>
    <xf numFmtId="0" fontId="0" fillId="0" borderId="63" xfId="0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9" fillId="0" borderId="73" xfId="0" applyFont="1" applyBorder="1" applyAlignment="1">
      <alignment/>
    </xf>
    <xf numFmtId="0" fontId="9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9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9" fillId="0" borderId="22" xfId="0" applyFont="1" applyBorder="1" applyAlignment="1">
      <alignment horizontal="right"/>
    </xf>
    <xf numFmtId="3" fontId="31" fillId="0" borderId="57" xfId="0" applyNumberFormat="1" applyFont="1" applyBorder="1" applyAlignment="1">
      <alignment/>
    </xf>
    <xf numFmtId="3" fontId="36" fillId="0" borderId="63" xfId="0" applyNumberFormat="1" applyFont="1" applyBorder="1" applyAlignment="1">
      <alignment/>
    </xf>
    <xf numFmtId="3" fontId="17" fillId="0" borderId="63" xfId="0" applyNumberFormat="1" applyFont="1" applyBorder="1" applyAlignment="1">
      <alignment/>
    </xf>
    <xf numFmtId="3" fontId="31" fillId="0" borderId="63" xfId="0" applyNumberFormat="1" applyFont="1" applyBorder="1" applyAlignment="1">
      <alignment/>
    </xf>
    <xf numFmtId="49" fontId="9" fillId="0" borderId="73" xfId="0" applyNumberFormat="1" applyFont="1" applyBorder="1" applyAlignment="1">
      <alignment/>
    </xf>
    <xf numFmtId="4" fontId="38" fillId="0" borderId="0" xfId="0" applyNumberFormat="1" applyFont="1" applyAlignment="1">
      <alignment wrapText="1"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39" fillId="0" borderId="74" xfId="0" applyFont="1" applyBorder="1" applyAlignment="1">
      <alignment/>
    </xf>
    <xf numFmtId="0" fontId="0" fillId="0" borderId="0" xfId="0" applyFont="1" applyAlignment="1">
      <alignment/>
    </xf>
    <xf numFmtId="0" fontId="41" fillId="0" borderId="37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39" fillId="0" borderId="75" xfId="0" applyNumberFormat="1" applyFont="1" applyBorder="1" applyAlignment="1">
      <alignment wrapText="1"/>
    </xf>
    <xf numFmtId="3" fontId="39" fillId="0" borderId="37" xfId="0" applyNumberFormat="1" applyFont="1" applyBorder="1" applyAlignment="1">
      <alignment/>
    </xf>
    <xf numFmtId="3" fontId="42" fillId="0" borderId="37" xfId="0" applyNumberFormat="1" applyFont="1" applyBorder="1" applyAlignment="1">
      <alignment/>
    </xf>
    <xf numFmtId="4" fontId="43" fillId="0" borderId="75" xfId="0" applyNumberFormat="1" applyFont="1" applyBorder="1" applyAlignment="1">
      <alignment wrapText="1"/>
    </xf>
    <xf numFmtId="3" fontId="43" fillId="0" borderId="37" xfId="0" applyNumberFormat="1" applyFont="1" applyFill="1" applyBorder="1" applyAlignment="1">
      <alignment/>
    </xf>
    <xf numFmtId="3" fontId="39" fillId="0" borderId="37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 wrapText="1"/>
    </xf>
    <xf numFmtId="4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3" fontId="21" fillId="23" borderId="37" xfId="0" applyNumberFormat="1" applyFont="1" applyFill="1" applyBorder="1" applyAlignment="1">
      <alignment horizontal="right" vertical="top" wrapText="1"/>
    </xf>
    <xf numFmtId="3" fontId="23" fillId="25" borderId="37" xfId="0" applyNumberFormat="1" applyFont="1" applyFill="1" applyBorder="1" applyAlignment="1">
      <alignment/>
    </xf>
    <xf numFmtId="2" fontId="7" fillId="0" borderId="0" xfId="0" applyNumberFormat="1" applyFont="1" applyAlignment="1">
      <alignment wrapText="1"/>
    </xf>
    <xf numFmtId="2" fontId="7" fillId="0" borderId="0" xfId="0" applyNumberFormat="1" applyFont="1" applyAlignment="1">
      <alignment wrapText="1"/>
    </xf>
    <xf numFmtId="2" fontId="1" fillId="0" borderId="0" xfId="0" applyNumberFormat="1" applyFont="1" applyAlignment="1">
      <alignment wrapText="1"/>
    </xf>
    <xf numFmtId="2" fontId="7" fillId="0" borderId="76" xfId="0" applyNumberFormat="1" applyFont="1" applyBorder="1" applyAlignment="1">
      <alignment horizontal="center" wrapText="1"/>
    </xf>
    <xf numFmtId="2" fontId="7" fillId="0" borderId="77" xfId="0" applyNumberFormat="1" applyFont="1" applyBorder="1" applyAlignment="1">
      <alignment wrapText="1"/>
    </xf>
    <xf numFmtId="2" fontId="2" fillId="0" borderId="76" xfId="0" applyNumberFormat="1" applyFont="1" applyBorder="1" applyAlignment="1">
      <alignment wrapText="1"/>
    </xf>
    <xf numFmtId="2" fontId="2" fillId="0" borderId="78" xfId="0" applyNumberFormat="1" applyFont="1" applyBorder="1" applyAlignment="1">
      <alignment wrapText="1"/>
    </xf>
    <xf numFmtId="2" fontId="27" fillId="0" borderId="78" xfId="0" applyNumberFormat="1" applyFont="1" applyBorder="1" applyAlignment="1">
      <alignment wrapText="1"/>
    </xf>
    <xf numFmtId="2" fontId="27" fillId="0" borderId="79" xfId="0" applyNumberFormat="1" applyFont="1" applyBorder="1" applyAlignment="1">
      <alignment wrapText="1"/>
    </xf>
    <xf numFmtId="2" fontId="27" fillId="0" borderId="80" xfId="0" applyNumberFormat="1" applyFont="1" applyBorder="1" applyAlignment="1">
      <alignment wrapText="1"/>
    </xf>
    <xf numFmtId="2" fontId="2" fillId="0" borderId="81" xfId="0" applyNumberFormat="1" applyFont="1" applyBorder="1" applyAlignment="1">
      <alignment wrapText="1"/>
    </xf>
    <xf numFmtId="2" fontId="2" fillId="0" borderId="78" xfId="0" applyNumberFormat="1" applyFont="1" applyBorder="1" applyAlignment="1">
      <alignment wrapText="1"/>
    </xf>
    <xf numFmtId="2" fontId="2" fillId="0" borderId="82" xfId="0" applyNumberFormat="1" applyFont="1" applyBorder="1" applyAlignment="1">
      <alignment wrapText="1"/>
    </xf>
    <xf numFmtId="2" fontId="2" fillId="0" borderId="83" xfId="0" applyNumberFormat="1" applyFont="1" applyBorder="1" applyAlignment="1">
      <alignment wrapText="1"/>
    </xf>
    <xf numFmtId="2" fontId="2" fillId="0" borderId="79" xfId="0" applyNumberFormat="1" applyFont="1" applyBorder="1" applyAlignment="1">
      <alignment wrapText="1"/>
    </xf>
    <xf numFmtId="2" fontId="2" fillId="0" borderId="84" xfId="0" applyNumberFormat="1" applyFont="1" applyBorder="1" applyAlignment="1">
      <alignment wrapText="1"/>
    </xf>
    <xf numFmtId="2" fontId="2" fillId="0" borderId="85" xfId="0" applyNumberFormat="1" applyFont="1" applyBorder="1" applyAlignment="1">
      <alignment wrapText="1"/>
    </xf>
    <xf numFmtId="2" fontId="28" fillId="0" borderId="78" xfId="0" applyNumberFormat="1" applyFont="1" applyBorder="1" applyAlignment="1">
      <alignment wrapText="1"/>
    </xf>
    <xf numFmtId="2" fontId="2" fillId="0" borderId="86" xfId="0" applyNumberFormat="1" applyFont="1" applyBorder="1" applyAlignment="1">
      <alignment wrapText="1"/>
    </xf>
    <xf numFmtId="2" fontId="2" fillId="0" borderId="87" xfId="0" applyNumberFormat="1" applyFont="1" applyBorder="1" applyAlignment="1">
      <alignment wrapText="1"/>
    </xf>
    <xf numFmtId="2" fontId="1" fillId="0" borderId="76" xfId="0" applyNumberFormat="1" applyFont="1" applyBorder="1" applyAlignment="1">
      <alignment wrapText="1"/>
    </xf>
    <xf numFmtId="2" fontId="2" fillId="24" borderId="85" xfId="0" applyNumberFormat="1" applyFont="1" applyFill="1" applyBorder="1" applyAlignment="1">
      <alignment wrapText="1"/>
    </xf>
    <xf numFmtId="2" fontId="2" fillId="0" borderId="12" xfId="0" applyNumberFormat="1" applyFont="1" applyBorder="1" applyAlignment="1">
      <alignment wrapText="1"/>
    </xf>
    <xf numFmtId="2" fontId="2" fillId="0" borderId="0" xfId="0" applyNumberFormat="1" applyFont="1" applyBorder="1" applyAlignment="1">
      <alignment wrapText="1"/>
    </xf>
    <xf numFmtId="2" fontId="0" fillId="0" borderId="0" xfId="0" applyNumberFormat="1" applyBorder="1" applyAlignment="1">
      <alignment wrapText="1"/>
    </xf>
    <xf numFmtId="2" fontId="0" fillId="0" borderId="0" xfId="0" applyNumberFormat="1" applyAlignment="1">
      <alignment wrapText="1"/>
    </xf>
    <xf numFmtId="3" fontId="8" fillId="0" borderId="16" xfId="0" applyNumberFormat="1" applyFont="1" applyBorder="1" applyAlignment="1">
      <alignment/>
    </xf>
    <xf numFmtId="0" fontId="2" fillId="0" borderId="88" xfId="0" applyFont="1" applyBorder="1" applyAlignment="1">
      <alignment/>
    </xf>
    <xf numFmtId="0" fontId="0" fillId="0" borderId="89" xfId="0" applyBorder="1" applyAlignment="1">
      <alignment/>
    </xf>
    <xf numFmtId="0" fontId="0" fillId="0" borderId="74" xfId="0" applyBorder="1" applyAlignment="1">
      <alignment/>
    </xf>
    <xf numFmtId="3" fontId="0" fillId="0" borderId="74" xfId="0" applyNumberFormat="1" applyBorder="1" applyAlignment="1">
      <alignment/>
    </xf>
    <xf numFmtId="0" fontId="9" fillId="0" borderId="75" xfId="0" applyFont="1" applyBorder="1" applyAlignment="1">
      <alignment/>
    </xf>
    <xf numFmtId="3" fontId="9" fillId="0" borderId="75" xfId="0" applyNumberFormat="1" applyFont="1" applyBorder="1" applyAlignment="1">
      <alignment/>
    </xf>
    <xf numFmtId="3" fontId="9" fillId="0" borderId="37" xfId="0" applyNumberFormat="1" applyFont="1" applyFill="1" applyBorder="1" applyAlignment="1">
      <alignment/>
    </xf>
    <xf numFmtId="3" fontId="30" fillId="0" borderId="37" xfId="0" applyNumberFormat="1" applyFont="1" applyBorder="1" applyAlignment="1">
      <alignment/>
    </xf>
    <xf numFmtId="3" fontId="30" fillId="0" borderId="48" xfId="0" applyNumberFormat="1" applyFont="1" applyBorder="1" applyAlignment="1">
      <alignment/>
    </xf>
    <xf numFmtId="4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90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90" xfId="0" applyFont="1" applyBorder="1" applyAlignment="1">
      <alignment/>
    </xf>
    <xf numFmtId="0" fontId="5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8" fillId="0" borderId="91" xfId="0" applyFont="1" applyBorder="1" applyAlignment="1">
      <alignment/>
    </xf>
    <xf numFmtId="0" fontId="8" fillId="0" borderId="92" xfId="0" applyFont="1" applyBorder="1" applyAlignment="1">
      <alignment/>
    </xf>
    <xf numFmtId="0" fontId="2" fillId="0" borderId="17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64" xfId="0" applyFont="1" applyBorder="1" applyAlignment="1">
      <alignment/>
    </xf>
    <xf numFmtId="0" fontId="2" fillId="0" borderId="93" xfId="0" applyFont="1" applyBorder="1" applyAlignment="1">
      <alignment/>
    </xf>
    <xf numFmtId="0" fontId="7" fillId="0" borderId="90" xfId="0" applyFont="1" applyBorder="1" applyAlignment="1">
      <alignment/>
    </xf>
    <xf numFmtId="0" fontId="7" fillId="0" borderId="13" xfId="0" applyFont="1" applyBorder="1" applyAlignment="1">
      <alignment/>
    </xf>
    <xf numFmtId="0" fontId="2" fillId="0" borderId="14" xfId="0" applyFont="1" applyBorder="1" applyAlignment="1">
      <alignment/>
    </xf>
    <xf numFmtId="3" fontId="44" fillId="0" borderId="94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95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90" xfId="0" applyFont="1" applyBorder="1" applyAlignment="1">
      <alignment/>
    </xf>
    <xf numFmtId="0" fontId="5" fillId="0" borderId="13" xfId="0" applyFont="1" applyBorder="1" applyAlignment="1">
      <alignment/>
    </xf>
    <xf numFmtId="3" fontId="8" fillId="0" borderId="38" xfId="0" applyNumberFormat="1" applyFont="1" applyBorder="1" applyAlignment="1">
      <alignment/>
    </xf>
    <xf numFmtId="3" fontId="8" fillId="0" borderId="28" xfId="0" applyNumberFormat="1" applyFont="1" applyFill="1" applyBorder="1" applyAlignment="1">
      <alignment/>
    </xf>
    <xf numFmtId="0" fontId="8" fillId="0" borderId="38" xfId="0" applyFont="1" applyBorder="1" applyAlignment="1">
      <alignment/>
    </xf>
    <xf numFmtId="0" fontId="8" fillId="0" borderId="13" xfId="0" applyFont="1" applyBorder="1" applyAlignment="1">
      <alignment/>
    </xf>
    <xf numFmtId="3" fontId="7" fillId="0" borderId="43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3" xfId="0" applyFont="1" applyBorder="1" applyAlignment="1">
      <alignment/>
    </xf>
    <xf numFmtId="3" fontId="6" fillId="0" borderId="13" xfId="0" applyNumberFormat="1" applyFont="1" applyBorder="1" applyAlignment="1">
      <alignment/>
    </xf>
    <xf numFmtId="0" fontId="6" fillId="0" borderId="90" xfId="0" applyFont="1" applyBorder="1" applyAlignment="1">
      <alignment/>
    </xf>
    <xf numFmtId="0" fontId="8" fillId="0" borderId="96" xfId="0" applyFont="1" applyBorder="1" applyAlignment="1">
      <alignment/>
    </xf>
    <xf numFmtId="0" fontId="8" fillId="0" borderId="97" xfId="0" applyFont="1" applyBorder="1" applyAlignment="1">
      <alignment/>
    </xf>
    <xf numFmtId="0" fontId="2" fillId="0" borderId="97" xfId="0" applyFont="1" applyBorder="1" applyAlignment="1">
      <alignment/>
    </xf>
    <xf numFmtId="0" fontId="2" fillId="0" borderId="92" xfId="0" applyFont="1" applyBorder="1" applyAlignment="1">
      <alignment/>
    </xf>
    <xf numFmtId="0" fontId="1" fillId="0" borderId="90" xfId="0" applyFont="1" applyBorder="1" applyAlignment="1">
      <alignment/>
    </xf>
    <xf numFmtId="0" fontId="2" fillId="0" borderId="98" xfId="0" applyFont="1" applyBorder="1" applyAlignment="1">
      <alignment/>
    </xf>
    <xf numFmtId="0" fontId="5" fillId="0" borderId="12" xfId="0" applyFont="1" applyBorder="1" applyAlignment="1">
      <alignment/>
    </xf>
    <xf numFmtId="3" fontId="2" fillId="0" borderId="98" xfId="0" applyNumberFormat="1" applyFont="1" applyBorder="1" applyAlignment="1">
      <alignment/>
    </xf>
    <xf numFmtId="3" fontId="2" fillId="0" borderId="88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91" xfId="0" applyNumberFormat="1" applyFont="1" applyBorder="1" applyAlignment="1">
      <alignment/>
    </xf>
    <xf numFmtId="3" fontId="1" fillId="0" borderId="98" xfId="0" applyNumberFormat="1" applyFont="1" applyBorder="1" applyAlignment="1">
      <alignment/>
    </xf>
    <xf numFmtId="3" fontId="1" fillId="0" borderId="90" xfId="0" applyNumberFormat="1" applyFont="1" applyBorder="1" applyAlignment="1">
      <alignment/>
    </xf>
    <xf numFmtId="0" fontId="32" fillId="0" borderId="37" xfId="0" applyFont="1" applyBorder="1" applyAlignment="1">
      <alignment/>
    </xf>
    <xf numFmtId="3" fontId="26" fillId="0" borderId="70" xfId="0" applyNumberFormat="1" applyFont="1" applyBorder="1" applyAlignment="1">
      <alignment/>
    </xf>
    <xf numFmtId="0" fontId="48" fillId="0" borderId="38" xfId="0" applyFont="1" applyBorder="1" applyAlignment="1">
      <alignment/>
    </xf>
    <xf numFmtId="3" fontId="49" fillId="0" borderId="37" xfId="0" applyNumberFormat="1" applyFont="1" applyBorder="1" applyAlignment="1">
      <alignment horizontal="right" vertical="top" wrapText="1"/>
    </xf>
    <xf numFmtId="2" fontId="45" fillId="0" borderId="84" xfId="0" applyNumberFormat="1" applyFont="1" applyBorder="1" applyAlignment="1">
      <alignment wrapText="1"/>
    </xf>
    <xf numFmtId="49" fontId="0" fillId="0" borderId="33" xfId="0" applyNumberFormat="1" applyBorder="1" applyAlignment="1">
      <alignment horizontal="right"/>
    </xf>
    <xf numFmtId="3" fontId="15" fillId="0" borderId="0" xfId="0" applyNumberFormat="1" applyFont="1" applyFill="1" applyBorder="1" applyAlignment="1">
      <alignment/>
    </xf>
    <xf numFmtId="3" fontId="9" fillId="0" borderId="0" xfId="0" applyNumberFormat="1" applyFont="1" applyAlignment="1">
      <alignment/>
    </xf>
    <xf numFmtId="3" fontId="47" fillId="0" borderId="37" xfId="0" applyNumberFormat="1" applyFont="1" applyFill="1" applyBorder="1" applyAlignment="1">
      <alignment horizontal="right" vertical="top" wrapText="1"/>
    </xf>
    <xf numFmtId="3" fontId="46" fillId="0" borderId="37" xfId="0" applyNumberFormat="1" applyFont="1" applyFill="1" applyBorder="1" applyAlignment="1">
      <alignment/>
    </xf>
    <xf numFmtId="0" fontId="42" fillId="0" borderId="48" xfId="0" applyFont="1" applyBorder="1" applyAlignment="1">
      <alignment wrapText="1"/>
    </xf>
    <xf numFmtId="2" fontId="9" fillId="0" borderId="0" xfId="0" applyNumberFormat="1" applyFont="1" applyAlignment="1">
      <alignment wrapText="1"/>
    </xf>
    <xf numFmtId="2" fontId="16" fillId="0" borderId="0" xfId="0" applyNumberFormat="1" applyFont="1" applyAlignment="1">
      <alignment wrapText="1"/>
    </xf>
    <xf numFmtId="2" fontId="19" fillId="0" borderId="0" xfId="0" applyNumberFormat="1" applyFont="1" applyAlignment="1">
      <alignment wrapText="1"/>
    </xf>
    <xf numFmtId="2" fontId="16" fillId="0" borderId="37" xfId="0" applyNumberFormat="1" applyFont="1" applyBorder="1" applyAlignment="1">
      <alignment wrapText="1"/>
    </xf>
    <xf numFmtId="2" fontId="19" fillId="0" borderId="37" xfId="0" applyNumberFormat="1" applyFont="1" applyBorder="1" applyAlignment="1">
      <alignment wrapText="1"/>
    </xf>
    <xf numFmtId="2" fontId="46" fillId="0" borderId="37" xfId="0" applyNumberFormat="1" applyFont="1" applyFill="1" applyBorder="1" applyAlignment="1">
      <alignment vertical="top" wrapText="1"/>
    </xf>
    <xf numFmtId="2" fontId="46" fillId="0" borderId="37" xfId="0" applyNumberFormat="1" applyFont="1" applyFill="1" applyBorder="1" applyAlignment="1">
      <alignment wrapText="1"/>
    </xf>
    <xf numFmtId="2" fontId="50" fillId="0" borderId="37" xfId="0" applyNumberFormat="1" applyFont="1" applyBorder="1" applyAlignment="1">
      <alignment vertical="top" wrapText="1"/>
    </xf>
    <xf numFmtId="2" fontId="20" fillId="23" borderId="37" xfId="0" applyNumberFormat="1" applyFont="1" applyFill="1" applyBorder="1" applyAlignment="1">
      <alignment vertical="top" wrapText="1"/>
    </xf>
    <xf numFmtId="2" fontId="16" fillId="25" borderId="37" xfId="0" applyNumberFormat="1" applyFont="1" applyFill="1" applyBorder="1" applyAlignment="1">
      <alignment wrapText="1"/>
    </xf>
    <xf numFmtId="2" fontId="0" fillId="0" borderId="0" xfId="0" applyNumberFormat="1" applyFont="1" applyAlignment="1">
      <alignment wrapText="1"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0" xfId="0" applyFont="1" applyAlignment="1">
      <alignment/>
    </xf>
    <xf numFmtId="0" fontId="53" fillId="0" borderId="15" xfId="0" applyFont="1" applyBorder="1" applyAlignment="1">
      <alignment/>
    </xf>
    <xf numFmtId="3" fontId="51" fillId="0" borderId="99" xfId="0" applyNumberFormat="1" applyFont="1" applyBorder="1" applyAlignment="1">
      <alignment horizontal="right"/>
    </xf>
    <xf numFmtId="0" fontId="56" fillId="0" borderId="0" xfId="0" applyFont="1" applyAlignment="1">
      <alignment/>
    </xf>
    <xf numFmtId="0" fontId="57" fillId="0" borderId="16" xfId="0" applyFont="1" applyBorder="1" applyAlignment="1">
      <alignment/>
    </xf>
    <xf numFmtId="0" fontId="57" fillId="0" borderId="33" xfId="0" applyFont="1" applyBorder="1" applyAlignment="1">
      <alignment/>
    </xf>
    <xf numFmtId="0" fontId="57" fillId="0" borderId="100" xfId="0" applyFont="1" applyBorder="1" applyAlignment="1">
      <alignment/>
    </xf>
    <xf numFmtId="0" fontId="57" fillId="0" borderId="101" xfId="0" applyFont="1" applyBorder="1" applyAlignment="1">
      <alignment/>
    </xf>
    <xf numFmtId="0" fontId="57" fillId="0" borderId="102" xfId="0" applyFont="1" applyBorder="1" applyAlignment="1">
      <alignment/>
    </xf>
    <xf numFmtId="0" fontId="57" fillId="0" borderId="38" xfId="0" applyFont="1" applyBorder="1" applyAlignment="1">
      <alignment/>
    </xf>
    <xf numFmtId="0" fontId="57" fillId="0" borderId="0" xfId="0" applyFont="1" applyBorder="1" applyAlignment="1">
      <alignment/>
    </xf>
    <xf numFmtId="0" fontId="0" fillId="0" borderId="103" xfId="0" applyBorder="1" applyAlignment="1">
      <alignment/>
    </xf>
    <xf numFmtId="0" fontId="0" fillId="0" borderId="104" xfId="0" applyBorder="1" applyAlignment="1">
      <alignment/>
    </xf>
    <xf numFmtId="0" fontId="0" fillId="0" borderId="105" xfId="0" applyBorder="1" applyAlignment="1">
      <alignment/>
    </xf>
    <xf numFmtId="0" fontId="0" fillId="0" borderId="106" xfId="0" applyBorder="1" applyAlignment="1">
      <alignment/>
    </xf>
    <xf numFmtId="0" fontId="0" fillId="0" borderId="107" xfId="0" applyBorder="1" applyAlignment="1">
      <alignment/>
    </xf>
    <xf numFmtId="0" fontId="0" fillId="0" borderId="108" xfId="0" applyBorder="1" applyAlignment="1">
      <alignment/>
    </xf>
    <xf numFmtId="0" fontId="57" fillId="0" borderId="99" xfId="0" applyFont="1" applyBorder="1" applyAlignment="1">
      <alignment/>
    </xf>
    <xf numFmtId="3" fontId="0" fillId="0" borderId="37" xfId="0" applyNumberFormat="1" applyFont="1" applyBorder="1" applyAlignment="1">
      <alignment/>
    </xf>
    <xf numFmtId="3" fontId="26" fillId="0" borderId="37" xfId="0" applyNumberFormat="1" applyFont="1" applyBorder="1" applyAlignment="1">
      <alignment/>
    </xf>
    <xf numFmtId="3" fontId="26" fillId="0" borderId="69" xfId="0" applyNumberFormat="1" applyFont="1" applyBorder="1" applyAlignment="1">
      <alignment/>
    </xf>
    <xf numFmtId="3" fontId="19" fillId="0" borderId="37" xfId="0" applyNumberFormat="1" applyFont="1" applyBorder="1" applyAlignment="1">
      <alignment/>
    </xf>
    <xf numFmtId="0" fontId="25" fillId="0" borderId="37" xfId="0" applyFont="1" applyBorder="1" applyAlignment="1">
      <alignment/>
    </xf>
    <xf numFmtId="3" fontId="19" fillId="0" borderId="37" xfId="0" applyNumberFormat="1" applyFont="1" applyBorder="1" applyAlignment="1">
      <alignment/>
    </xf>
    <xf numFmtId="0" fontId="38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39" fillId="0" borderId="0" xfId="0" applyFont="1" applyBorder="1" applyAlignment="1">
      <alignment wrapText="1"/>
    </xf>
    <xf numFmtId="0" fontId="40" fillId="0" borderId="109" xfId="0" applyFont="1" applyBorder="1" applyAlignment="1">
      <alignment wrapText="1"/>
    </xf>
    <xf numFmtId="0" fontId="41" fillId="0" borderId="48" xfId="0" applyFont="1" applyBorder="1" applyAlignment="1">
      <alignment wrapText="1"/>
    </xf>
    <xf numFmtId="4" fontId="39" fillId="26" borderId="75" xfId="0" applyNumberFormat="1" applyFont="1" applyFill="1" applyBorder="1" applyAlignment="1">
      <alignment wrapText="1"/>
    </xf>
    <xf numFmtId="3" fontId="39" fillId="26" borderId="37" xfId="0" applyNumberFormat="1" applyFont="1" applyFill="1" applyBorder="1" applyAlignment="1">
      <alignment/>
    </xf>
    <xf numFmtId="0" fontId="42" fillId="26" borderId="48" xfId="0" applyFont="1" applyFill="1" applyBorder="1" applyAlignment="1">
      <alignment wrapText="1"/>
    </xf>
    <xf numFmtId="4" fontId="39" fillId="25" borderId="75" xfId="0" applyNumberFormat="1" applyFont="1" applyFill="1" applyBorder="1" applyAlignment="1">
      <alignment wrapText="1"/>
    </xf>
    <xf numFmtId="3" fontId="39" fillId="25" borderId="37" xfId="0" applyNumberFormat="1" applyFont="1" applyFill="1" applyBorder="1" applyAlignment="1">
      <alignment/>
    </xf>
    <xf numFmtId="175" fontId="9" fillId="25" borderId="0" xfId="0" applyNumberFormat="1" applyFont="1" applyFill="1" applyBorder="1" applyAlignment="1">
      <alignment/>
    </xf>
    <xf numFmtId="3" fontId="37" fillId="25" borderId="66" xfId="0" applyNumberFormat="1" applyFont="1" applyFill="1" applyBorder="1" applyAlignment="1">
      <alignment/>
    </xf>
    <xf numFmtId="3" fontId="37" fillId="25" borderId="110" xfId="0" applyNumberFormat="1" applyFont="1" applyFill="1" applyBorder="1" applyAlignment="1">
      <alignment/>
    </xf>
    <xf numFmtId="175" fontId="9" fillId="25" borderId="0" xfId="0" applyNumberFormat="1" applyFont="1" applyFill="1" applyBorder="1" applyAlignment="1">
      <alignment/>
    </xf>
    <xf numFmtId="0" fontId="9" fillId="25" borderId="0" xfId="0" applyFont="1" applyFill="1" applyBorder="1" applyAlignment="1">
      <alignment/>
    </xf>
    <xf numFmtId="0" fontId="9" fillId="25" borderId="0" xfId="0" applyFont="1" applyFill="1" applyAlignment="1">
      <alignment/>
    </xf>
    <xf numFmtId="49" fontId="0" fillId="25" borderId="24" xfId="0" applyNumberFormat="1" applyFont="1" applyFill="1" applyBorder="1" applyAlignment="1">
      <alignment horizontal="right"/>
    </xf>
    <xf numFmtId="3" fontId="9" fillId="25" borderId="63" xfId="0" applyNumberFormat="1" applyFont="1" applyFill="1" applyBorder="1" applyAlignment="1">
      <alignment/>
    </xf>
    <xf numFmtId="3" fontId="9" fillId="25" borderId="62" xfId="0" applyNumberFormat="1" applyFont="1" applyFill="1" applyBorder="1" applyAlignment="1">
      <alignment/>
    </xf>
    <xf numFmtId="0" fontId="0" fillId="25" borderId="0" xfId="0" applyFont="1" applyFill="1" applyBorder="1" applyAlignment="1">
      <alignment/>
    </xf>
    <xf numFmtId="3" fontId="0" fillId="25" borderId="0" xfId="0" applyNumberFormat="1" applyFont="1" applyFill="1" applyBorder="1" applyAlignment="1">
      <alignment/>
    </xf>
    <xf numFmtId="0" fontId="0" fillId="25" borderId="0" xfId="0" applyFont="1" applyFill="1" applyAlignment="1">
      <alignment/>
    </xf>
    <xf numFmtId="0" fontId="0" fillId="25" borderId="89" xfId="0" applyFill="1" applyBorder="1" applyAlignment="1">
      <alignment/>
    </xf>
    <xf numFmtId="0" fontId="0" fillId="25" borderId="74" xfId="0" applyFill="1" applyBorder="1" applyAlignment="1">
      <alignment/>
    </xf>
    <xf numFmtId="3" fontId="0" fillId="25" borderId="74" xfId="0" applyNumberFormat="1" applyFill="1" applyBorder="1" applyAlignment="1">
      <alignment/>
    </xf>
    <xf numFmtId="0" fontId="0" fillId="25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53" fillId="27" borderId="43" xfId="0" applyFont="1" applyFill="1" applyBorder="1" applyAlignment="1">
      <alignment/>
    </xf>
    <xf numFmtId="3" fontId="53" fillId="27" borderId="43" xfId="0" applyNumberFormat="1" applyFont="1" applyFill="1" applyBorder="1" applyAlignment="1">
      <alignment/>
    </xf>
    <xf numFmtId="2" fontId="52" fillId="27" borderId="85" xfId="0" applyNumberFormat="1" applyFont="1" applyFill="1" applyBorder="1" applyAlignment="1">
      <alignment wrapText="1"/>
    </xf>
    <xf numFmtId="0" fontId="1" fillId="27" borderId="43" xfId="0" applyFont="1" applyFill="1" applyBorder="1" applyAlignment="1">
      <alignment/>
    </xf>
    <xf numFmtId="2" fontId="2" fillId="27" borderId="85" xfId="0" applyNumberFormat="1" applyFont="1" applyFill="1" applyBorder="1" applyAlignment="1">
      <alignment wrapText="1"/>
    </xf>
    <xf numFmtId="3" fontId="8" fillId="23" borderId="30" xfId="0" applyNumberFormat="1" applyFont="1" applyFill="1" applyBorder="1" applyAlignment="1">
      <alignment/>
    </xf>
    <xf numFmtId="0" fontId="0" fillId="23" borderId="111" xfId="0" applyFill="1" applyBorder="1" applyAlignment="1">
      <alignment/>
    </xf>
    <xf numFmtId="49" fontId="0" fillId="23" borderId="112" xfId="0" applyNumberFormat="1" applyFill="1" applyBorder="1" applyAlignment="1">
      <alignment/>
    </xf>
    <xf numFmtId="0" fontId="1" fillId="28" borderId="113" xfId="0" applyFont="1" applyFill="1" applyBorder="1" applyAlignment="1">
      <alignment/>
    </xf>
    <xf numFmtId="3" fontId="6" fillId="23" borderId="112" xfId="0" applyNumberFormat="1" applyFont="1" applyFill="1" applyBorder="1" applyAlignment="1">
      <alignment/>
    </xf>
    <xf numFmtId="0" fontId="0" fillId="23" borderId="114" xfId="0" applyFill="1" applyBorder="1" applyAlignment="1">
      <alignment/>
    </xf>
    <xf numFmtId="49" fontId="0" fillId="23" borderId="94" xfId="0" applyNumberFormat="1" applyFill="1" applyBorder="1" applyAlignment="1">
      <alignment/>
    </xf>
    <xf numFmtId="0" fontId="1" fillId="28" borderId="115" xfId="0" applyFont="1" applyFill="1" applyBorder="1" applyAlignment="1">
      <alignment/>
    </xf>
    <xf numFmtId="3" fontId="7" fillId="28" borderId="43" xfId="0" applyNumberFormat="1" applyFont="1" applyFill="1" applyBorder="1" applyAlignment="1">
      <alignment/>
    </xf>
    <xf numFmtId="0" fontId="0" fillId="23" borderId="22" xfId="0" applyFill="1" applyBorder="1" applyAlignment="1">
      <alignment/>
    </xf>
    <xf numFmtId="0" fontId="0" fillId="23" borderId="15" xfId="0" applyFill="1" applyBorder="1" applyAlignment="1">
      <alignment/>
    </xf>
    <xf numFmtId="0" fontId="1" fillId="28" borderId="33" xfId="0" applyFont="1" applyFill="1" applyBorder="1" applyAlignment="1">
      <alignment/>
    </xf>
    <xf numFmtId="3" fontId="5" fillId="28" borderId="16" xfId="0" applyNumberFormat="1" applyFont="1" applyFill="1" applyBorder="1" applyAlignment="1">
      <alignment/>
    </xf>
    <xf numFmtId="3" fontId="7" fillId="28" borderId="16" xfId="0" applyNumberFormat="1" applyFont="1" applyFill="1" applyBorder="1" applyAlignment="1">
      <alignment/>
    </xf>
    <xf numFmtId="3" fontId="5" fillId="28" borderId="30" xfId="0" applyNumberFormat="1" applyFont="1" applyFill="1" applyBorder="1" applyAlignment="1">
      <alignment/>
    </xf>
    <xf numFmtId="49" fontId="0" fillId="23" borderId="116" xfId="0" applyNumberFormat="1" applyFill="1" applyBorder="1" applyAlignment="1">
      <alignment/>
    </xf>
    <xf numFmtId="0" fontId="1" fillId="28" borderId="117" xfId="0" applyFont="1" applyFill="1" applyBorder="1" applyAlignment="1">
      <alignment/>
    </xf>
    <xf numFmtId="3" fontId="5" fillId="28" borderId="118" xfId="0" applyNumberFormat="1" applyFont="1" applyFill="1" applyBorder="1" applyAlignment="1">
      <alignment/>
    </xf>
    <xf numFmtId="3" fontId="5" fillId="28" borderId="43" xfId="0" applyNumberFormat="1" applyFont="1" applyFill="1" applyBorder="1" applyAlignment="1">
      <alignment/>
    </xf>
    <xf numFmtId="0" fontId="16" fillId="0" borderId="37" xfId="0" applyFont="1" applyBorder="1" applyAlignment="1">
      <alignment/>
    </xf>
    <xf numFmtId="0" fontId="7" fillId="29" borderId="90" xfId="0" applyFont="1" applyFill="1" applyBorder="1" applyAlignment="1">
      <alignment/>
    </xf>
    <xf numFmtId="0" fontId="7" fillId="29" borderId="13" xfId="0" applyFont="1" applyFill="1" applyBorder="1" applyAlignment="1">
      <alignment/>
    </xf>
    <xf numFmtId="3" fontId="1" fillId="29" borderId="98" xfId="0" applyNumberFormat="1" applyFont="1" applyFill="1" applyBorder="1" applyAlignment="1">
      <alignment/>
    </xf>
    <xf numFmtId="0" fontId="7" fillId="29" borderId="111" xfId="0" applyFont="1" applyFill="1" applyBorder="1" applyAlignment="1">
      <alignment/>
    </xf>
    <xf numFmtId="0" fontId="19" fillId="30" borderId="59" xfId="0" applyFont="1" applyFill="1" applyBorder="1" applyAlignment="1">
      <alignment/>
    </xf>
    <xf numFmtId="0" fontId="0" fillId="30" borderId="59" xfId="0" applyFill="1" applyBorder="1" applyAlignment="1">
      <alignment/>
    </xf>
    <xf numFmtId="0" fontId="9" fillId="30" borderId="13" xfId="0" applyFont="1" applyFill="1" applyBorder="1" applyAlignment="1">
      <alignment/>
    </xf>
    <xf numFmtId="0" fontId="0" fillId="0" borderId="37" xfId="0" applyFont="1" applyBorder="1" applyAlignment="1">
      <alignment/>
    </xf>
    <xf numFmtId="175" fontId="51" fillId="0" borderId="14" xfId="0" applyNumberFormat="1" applyFont="1" applyBorder="1" applyAlignment="1">
      <alignment/>
    </xf>
    <xf numFmtId="3" fontId="19" fillId="23" borderId="37" xfId="0" applyNumberFormat="1" applyFont="1" applyFill="1" applyBorder="1" applyAlignment="1">
      <alignment/>
    </xf>
    <xf numFmtId="3" fontId="19" fillId="23" borderId="48" xfId="0" applyNumberFormat="1" applyFont="1" applyFill="1" applyBorder="1" applyAlignment="1">
      <alignment/>
    </xf>
    <xf numFmtId="3" fontId="56" fillId="0" borderId="37" xfId="0" applyNumberFormat="1" applyFont="1" applyBorder="1" applyAlignment="1">
      <alignment horizontal="center"/>
    </xf>
    <xf numFmtId="3" fontId="56" fillId="0" borderId="37" xfId="0" applyNumberFormat="1" applyFont="1" applyBorder="1" applyAlignment="1">
      <alignment horizontal="right"/>
    </xf>
    <xf numFmtId="3" fontId="56" fillId="28" borderId="37" xfId="0" applyNumberFormat="1" applyFont="1" applyFill="1" applyBorder="1" applyAlignment="1">
      <alignment/>
    </xf>
    <xf numFmtId="3" fontId="56" fillId="28" borderId="48" xfId="0" applyNumberFormat="1" applyFont="1" applyFill="1" applyBorder="1" applyAlignment="1">
      <alignment/>
    </xf>
    <xf numFmtId="3" fontId="56" fillId="0" borderId="37" xfId="0" applyNumberFormat="1" applyFont="1" applyBorder="1" applyAlignment="1">
      <alignment/>
    </xf>
    <xf numFmtId="3" fontId="60" fillId="0" borderId="37" xfId="0" applyNumberFormat="1" applyFont="1" applyBorder="1" applyAlignment="1">
      <alignment/>
    </xf>
    <xf numFmtId="3" fontId="60" fillId="0" borderId="37" xfId="0" applyNumberFormat="1" applyFont="1" applyBorder="1" applyAlignment="1">
      <alignment horizontal="right"/>
    </xf>
    <xf numFmtId="175" fontId="56" fillId="28" borderId="37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56" fillId="0" borderId="0" xfId="0" applyFont="1" applyAlignment="1">
      <alignment/>
    </xf>
    <xf numFmtId="0" fontId="19" fillId="0" borderId="0" xfId="0" applyFont="1" applyAlignment="1">
      <alignment/>
    </xf>
    <xf numFmtId="0" fontId="56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19" fillId="0" borderId="89" xfId="0" applyFont="1" applyBorder="1" applyAlignment="1">
      <alignment/>
    </xf>
    <xf numFmtId="0" fontId="19" fillId="0" borderId="74" xfId="0" applyFont="1" applyBorder="1" applyAlignment="1">
      <alignment/>
    </xf>
    <xf numFmtId="0" fontId="56" fillId="0" borderId="74" xfId="0" applyFont="1" applyBorder="1" applyAlignment="1">
      <alignment/>
    </xf>
    <xf numFmtId="0" fontId="56" fillId="0" borderId="74" xfId="0" applyFont="1" applyBorder="1" applyAlignment="1">
      <alignment/>
    </xf>
    <xf numFmtId="0" fontId="56" fillId="0" borderId="109" xfId="0" applyFont="1" applyBorder="1" applyAlignment="1">
      <alignment/>
    </xf>
    <xf numFmtId="0" fontId="51" fillId="0" borderId="11" xfId="0" applyFont="1" applyBorder="1" applyAlignment="1">
      <alignment/>
    </xf>
    <xf numFmtId="0" fontId="19" fillId="0" borderId="75" xfId="0" applyFont="1" applyBorder="1" applyAlignment="1">
      <alignment/>
    </xf>
    <xf numFmtId="0" fontId="19" fillId="0" borderId="37" xfId="0" applyFont="1" applyBorder="1" applyAlignment="1">
      <alignment/>
    </xf>
    <xf numFmtId="0" fontId="56" fillId="0" borderId="37" xfId="0" applyFont="1" applyBorder="1" applyAlignment="1">
      <alignment/>
    </xf>
    <xf numFmtId="0" fontId="56" fillId="0" borderId="37" xfId="0" applyFont="1" applyBorder="1" applyAlignment="1">
      <alignment/>
    </xf>
    <xf numFmtId="0" fontId="56" fillId="0" borderId="48" xfId="0" applyFont="1" applyBorder="1" applyAlignment="1">
      <alignment/>
    </xf>
    <xf numFmtId="0" fontId="51" fillId="0" borderId="16" xfId="0" applyFont="1" applyBorder="1" applyAlignment="1">
      <alignment/>
    </xf>
    <xf numFmtId="0" fontId="56" fillId="0" borderId="37" xfId="0" applyFont="1" applyBorder="1" applyAlignment="1">
      <alignment horizontal="center"/>
    </xf>
    <xf numFmtId="0" fontId="56" fillId="0" borderId="48" xfId="0" applyFont="1" applyBorder="1" applyAlignment="1">
      <alignment horizontal="center"/>
    </xf>
    <xf numFmtId="0" fontId="51" fillId="0" borderId="119" xfId="0" applyFont="1" applyBorder="1" applyAlignment="1">
      <alignment/>
    </xf>
    <xf numFmtId="0" fontId="19" fillId="0" borderId="75" xfId="0" applyFont="1" applyBorder="1" applyAlignment="1">
      <alignment/>
    </xf>
    <xf numFmtId="0" fontId="19" fillId="0" borderId="37" xfId="0" applyFont="1" applyBorder="1" applyAlignment="1">
      <alignment/>
    </xf>
    <xf numFmtId="0" fontId="56" fillId="0" borderId="37" xfId="0" applyFont="1" applyBorder="1" applyAlignment="1">
      <alignment/>
    </xf>
    <xf numFmtId="175" fontId="56" fillId="0" borderId="37" xfId="0" applyNumberFormat="1" applyFont="1" applyBorder="1" applyAlignment="1">
      <alignment horizontal="center"/>
    </xf>
    <xf numFmtId="1" fontId="56" fillId="0" borderId="37" xfId="0" applyNumberFormat="1" applyFont="1" applyBorder="1" applyAlignment="1">
      <alignment horizontal="right"/>
    </xf>
    <xf numFmtId="175" fontId="56" fillId="0" borderId="37" xfId="0" applyNumberFormat="1" applyFont="1" applyBorder="1" applyAlignment="1">
      <alignment horizontal="right"/>
    </xf>
    <xf numFmtId="175" fontId="51" fillId="0" borderId="120" xfId="0" applyNumberFormat="1" applyFont="1" applyBorder="1" applyAlignment="1">
      <alignment horizontal="right"/>
    </xf>
    <xf numFmtId="3" fontId="19" fillId="0" borderId="0" xfId="0" applyNumberFormat="1" applyFont="1" applyAlignment="1">
      <alignment/>
    </xf>
    <xf numFmtId="49" fontId="19" fillId="0" borderId="37" xfId="0" applyNumberFormat="1" applyFont="1" applyBorder="1" applyAlignment="1">
      <alignment/>
    </xf>
    <xf numFmtId="0" fontId="19" fillId="0" borderId="37" xfId="0" applyNumberFormat="1" applyFont="1" applyBorder="1" applyAlignment="1">
      <alignment horizontal="right"/>
    </xf>
    <xf numFmtId="175" fontId="56" fillId="0" borderId="37" xfId="0" applyNumberFormat="1" applyFont="1" applyBorder="1" applyAlignment="1">
      <alignment/>
    </xf>
    <xf numFmtId="49" fontId="19" fillId="0" borderId="37" xfId="0" applyNumberFormat="1" applyFont="1" applyBorder="1" applyAlignment="1">
      <alignment horizontal="right"/>
    </xf>
    <xf numFmtId="0" fontId="19" fillId="23" borderId="75" xfId="0" applyFont="1" applyFill="1" applyBorder="1" applyAlignment="1">
      <alignment/>
    </xf>
    <xf numFmtId="49" fontId="19" fillId="23" borderId="37" xfId="0" applyNumberFormat="1" applyFont="1" applyFill="1" applyBorder="1" applyAlignment="1">
      <alignment/>
    </xf>
    <xf numFmtId="0" fontId="56" fillId="28" borderId="37" xfId="0" applyFont="1" applyFill="1" applyBorder="1" applyAlignment="1">
      <alignment/>
    </xf>
    <xf numFmtId="1" fontId="56" fillId="28" borderId="37" xfId="0" applyNumberFormat="1" applyFont="1" applyFill="1" applyBorder="1" applyAlignment="1">
      <alignment/>
    </xf>
    <xf numFmtId="175" fontId="51" fillId="28" borderId="121" xfId="0" applyNumberFormat="1" applyFont="1" applyFill="1" applyBorder="1" applyAlignment="1">
      <alignment horizontal="right"/>
    </xf>
    <xf numFmtId="175" fontId="56" fillId="0" borderId="37" xfId="0" applyNumberFormat="1" applyFont="1" applyBorder="1" applyAlignment="1">
      <alignment/>
    </xf>
    <xf numFmtId="1" fontId="56" fillId="0" borderId="37" xfId="0" applyNumberFormat="1" applyFont="1" applyBorder="1" applyAlignment="1">
      <alignment/>
    </xf>
    <xf numFmtId="175" fontId="51" fillId="0" borderId="17" xfId="0" applyNumberFormat="1" applyFont="1" applyBorder="1" applyAlignment="1">
      <alignment/>
    </xf>
    <xf numFmtId="0" fontId="60" fillId="0" borderId="37" xfId="0" applyFont="1" applyBorder="1" applyAlignment="1">
      <alignment/>
    </xf>
    <xf numFmtId="175" fontId="60" fillId="0" borderId="37" xfId="0" applyNumberFormat="1" applyFont="1" applyBorder="1" applyAlignment="1">
      <alignment/>
    </xf>
    <xf numFmtId="1" fontId="60" fillId="0" borderId="37" xfId="0" applyNumberFormat="1" applyFont="1" applyBorder="1" applyAlignment="1">
      <alignment/>
    </xf>
    <xf numFmtId="175" fontId="61" fillId="0" borderId="17" xfId="0" applyNumberFormat="1" applyFont="1" applyBorder="1" applyAlignment="1">
      <alignment/>
    </xf>
    <xf numFmtId="175" fontId="51" fillId="0" borderId="16" xfId="0" applyNumberFormat="1" applyFont="1" applyBorder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3" fontId="56" fillId="0" borderId="37" xfId="0" applyNumberFormat="1" applyFont="1" applyBorder="1" applyAlignment="1">
      <alignment/>
    </xf>
    <xf numFmtId="3" fontId="56" fillId="0" borderId="122" xfId="0" applyNumberFormat="1" applyFont="1" applyBorder="1" applyAlignment="1">
      <alignment/>
    </xf>
    <xf numFmtId="0" fontId="19" fillId="23" borderId="75" xfId="0" applyFont="1" applyFill="1" applyBorder="1" applyAlignment="1">
      <alignment/>
    </xf>
    <xf numFmtId="49" fontId="19" fillId="23" borderId="37" xfId="0" applyNumberFormat="1" applyFont="1" applyFill="1" applyBorder="1" applyAlignment="1">
      <alignment/>
    </xf>
    <xf numFmtId="0" fontId="56" fillId="28" borderId="37" xfId="0" applyFont="1" applyFill="1" applyBorder="1" applyAlignment="1">
      <alignment/>
    </xf>
    <xf numFmtId="175" fontId="56" fillId="28" borderId="37" xfId="0" applyNumberFormat="1" applyFont="1" applyFill="1" applyBorder="1" applyAlignment="1">
      <alignment horizontal="center"/>
    </xf>
    <xf numFmtId="175" fontId="51" fillId="28" borderId="119" xfId="0" applyNumberFormat="1" applyFont="1" applyFill="1" applyBorder="1" applyAlignment="1">
      <alignment/>
    </xf>
    <xf numFmtId="0" fontId="56" fillId="0" borderId="15" xfId="0" applyFont="1" applyFill="1" applyBorder="1" applyAlignment="1">
      <alignment/>
    </xf>
    <xf numFmtId="0" fontId="16" fillId="0" borderId="0" xfId="0" applyFont="1" applyAlignment="1">
      <alignment/>
    </xf>
    <xf numFmtId="175" fontId="19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32" fillId="0" borderId="37" xfId="0" applyFont="1" applyBorder="1" applyAlignment="1">
      <alignment/>
    </xf>
    <xf numFmtId="174" fontId="0" fillId="0" borderId="37" xfId="0" applyNumberFormat="1" applyFont="1" applyBorder="1" applyAlignment="1">
      <alignment/>
    </xf>
    <xf numFmtId="3" fontId="32" fillId="0" borderId="37" xfId="0" applyNumberFormat="1" applyFont="1" applyBorder="1" applyAlignment="1">
      <alignment/>
    </xf>
    <xf numFmtId="0" fontId="24" fillId="0" borderId="37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25" borderId="37" xfId="0" applyFont="1" applyFill="1" applyBorder="1" applyAlignment="1">
      <alignment/>
    </xf>
    <xf numFmtId="3" fontId="0" fillId="25" borderId="37" xfId="0" applyNumberFormat="1" applyFont="1" applyFill="1" applyBorder="1" applyAlignment="1">
      <alignment/>
    </xf>
    <xf numFmtId="174" fontId="0" fillId="25" borderId="37" xfId="0" applyNumberFormat="1" applyFont="1" applyFill="1" applyBorder="1" applyAlignment="1">
      <alignment/>
    </xf>
    <xf numFmtId="3" fontId="24" fillId="0" borderId="37" xfId="0" applyNumberFormat="1" applyFont="1" applyBorder="1" applyAlignment="1">
      <alignment/>
    </xf>
    <xf numFmtId="0" fontId="9" fillId="0" borderId="37" xfId="0" applyFont="1" applyBorder="1" applyAlignment="1">
      <alignment horizontal="center"/>
    </xf>
    <xf numFmtId="9" fontId="9" fillId="0" borderId="37" xfId="0" applyNumberFormat="1" applyFont="1" applyBorder="1" applyAlignment="1">
      <alignment/>
    </xf>
    <xf numFmtId="170" fontId="0" fillId="0" borderId="37" xfId="57" applyFont="1" applyFill="1" applyBorder="1" applyAlignment="1">
      <alignment/>
    </xf>
    <xf numFmtId="0" fontId="23" fillId="0" borderId="37" xfId="0" applyFont="1" applyBorder="1" applyAlignment="1">
      <alignment/>
    </xf>
    <xf numFmtId="0" fontId="23" fillId="30" borderId="37" xfId="0" applyFont="1" applyFill="1" applyBorder="1" applyAlignment="1">
      <alignment/>
    </xf>
    <xf numFmtId="3" fontId="26" fillId="30" borderId="37" xfId="0" applyNumberFormat="1" applyFont="1" applyFill="1" applyBorder="1" applyAlignment="1">
      <alignment/>
    </xf>
    <xf numFmtId="3" fontId="23" fillId="0" borderId="37" xfId="0" applyNumberFormat="1" applyFont="1" applyBorder="1" applyAlignment="1">
      <alignment/>
    </xf>
    <xf numFmtId="0" fontId="0" fillId="0" borderId="37" xfId="0" applyFont="1" applyBorder="1" applyAlignment="1">
      <alignment wrapText="1"/>
    </xf>
    <xf numFmtId="0" fontId="58" fillId="0" borderId="0" xfId="0" applyFont="1" applyAlignment="1">
      <alignment/>
    </xf>
    <xf numFmtId="0" fontId="41" fillId="0" borderId="48" xfId="0" applyFont="1" applyBorder="1" applyAlignment="1">
      <alignment wrapText="1"/>
    </xf>
    <xf numFmtId="0" fontId="62" fillId="0" borderId="48" xfId="0" applyFont="1" applyBorder="1" applyAlignment="1">
      <alignment wrapText="1"/>
    </xf>
    <xf numFmtId="3" fontId="56" fillId="26" borderId="37" xfId="0" applyNumberFormat="1" applyFont="1" applyFill="1" applyBorder="1" applyAlignment="1">
      <alignment horizontal="center"/>
    </xf>
    <xf numFmtId="0" fontId="56" fillId="26" borderId="37" xfId="0" applyFont="1" applyFill="1" applyBorder="1" applyAlignment="1">
      <alignment horizontal="right"/>
    </xf>
    <xf numFmtId="3" fontId="56" fillId="26" borderId="37" xfId="0" applyNumberFormat="1" applyFont="1" applyFill="1" applyBorder="1" applyAlignment="1">
      <alignment/>
    </xf>
    <xf numFmtId="3" fontId="19" fillId="25" borderId="37" xfId="0" applyNumberFormat="1" applyFont="1" applyFill="1" applyBorder="1" applyAlignment="1">
      <alignment/>
    </xf>
    <xf numFmtId="3" fontId="59" fillId="25" borderId="37" xfId="0" applyNumberFormat="1" applyFont="1" applyFill="1" applyBorder="1" applyAlignment="1">
      <alignment/>
    </xf>
    <xf numFmtId="0" fontId="19" fillId="25" borderId="37" xfId="0" applyFont="1" applyFill="1" applyBorder="1" applyAlignment="1">
      <alignment/>
    </xf>
    <xf numFmtId="3" fontId="19" fillId="25" borderId="37" xfId="0" applyNumberFormat="1" applyFont="1" applyFill="1" applyBorder="1" applyAlignment="1">
      <alignment/>
    </xf>
    <xf numFmtId="3" fontId="60" fillId="26" borderId="37" xfId="0" applyNumberFormat="1" applyFont="1" applyFill="1" applyBorder="1" applyAlignment="1">
      <alignment/>
    </xf>
    <xf numFmtId="3" fontId="56" fillId="26" borderId="37" xfId="0" applyNumberFormat="1" applyFont="1" applyFill="1" applyBorder="1" applyAlignment="1">
      <alignment horizontal="right"/>
    </xf>
    <xf numFmtId="3" fontId="56" fillId="26" borderId="48" xfId="0" applyNumberFormat="1" applyFont="1" applyFill="1" applyBorder="1" applyAlignment="1">
      <alignment horizontal="right"/>
    </xf>
    <xf numFmtId="3" fontId="60" fillId="26" borderId="48" xfId="0" applyNumberFormat="1" applyFont="1" applyFill="1" applyBorder="1" applyAlignment="1">
      <alignment horizontal="right"/>
    </xf>
    <xf numFmtId="49" fontId="19" fillId="23" borderId="123" xfId="0" applyNumberFormat="1" applyFont="1" applyFill="1" applyBorder="1" applyAlignment="1">
      <alignment/>
    </xf>
    <xf numFmtId="0" fontId="19" fillId="23" borderId="124" xfId="0" applyFont="1" applyFill="1" applyBorder="1" applyAlignment="1">
      <alignment/>
    </xf>
    <xf numFmtId="0" fontId="56" fillId="28" borderId="124" xfId="0" applyFont="1" applyFill="1" applyBorder="1" applyAlignment="1">
      <alignment/>
    </xf>
    <xf numFmtId="3" fontId="56" fillId="28" borderId="124" xfId="0" applyNumberFormat="1" applyFont="1" applyFill="1" applyBorder="1" applyAlignment="1">
      <alignment/>
    </xf>
    <xf numFmtId="175" fontId="56" fillId="28" borderId="124" xfId="0" applyNumberFormat="1" applyFont="1" applyFill="1" applyBorder="1" applyAlignment="1">
      <alignment/>
    </xf>
    <xf numFmtId="3" fontId="56" fillId="28" borderId="124" xfId="0" applyNumberFormat="1" applyFont="1" applyFill="1" applyBorder="1" applyAlignment="1">
      <alignment horizontal="right"/>
    </xf>
    <xf numFmtId="3" fontId="56" fillId="28" borderId="125" xfId="0" applyNumberFormat="1" applyFont="1" applyFill="1" applyBorder="1" applyAlignment="1">
      <alignment horizontal="right"/>
    </xf>
    <xf numFmtId="0" fontId="63" fillId="0" borderId="22" xfId="0" applyFont="1" applyBorder="1" applyAlignment="1">
      <alignment/>
    </xf>
    <xf numFmtId="3" fontId="64" fillId="0" borderId="37" xfId="0" applyNumberFormat="1" applyFont="1" applyBorder="1" applyAlignment="1">
      <alignment/>
    </xf>
    <xf numFmtId="3" fontId="65" fillId="0" borderId="60" xfId="0" applyNumberFormat="1" applyFont="1" applyBorder="1" applyAlignment="1">
      <alignment/>
    </xf>
    <xf numFmtId="3" fontId="63" fillId="0" borderId="60" xfId="0" applyNumberFormat="1" applyFont="1" applyBorder="1" applyAlignment="1">
      <alignment/>
    </xf>
    <xf numFmtId="3" fontId="63" fillId="0" borderId="68" xfId="0" applyNumberFormat="1" applyFont="1" applyBorder="1" applyAlignment="1">
      <alignment/>
    </xf>
    <xf numFmtId="175" fontId="63" fillId="0" borderId="0" xfId="0" applyNumberFormat="1" applyFont="1" applyBorder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Alignment="1">
      <alignment/>
    </xf>
    <xf numFmtId="0" fontId="63" fillId="0" borderId="75" xfId="0" applyFont="1" applyBorder="1" applyAlignment="1">
      <alignment/>
    </xf>
    <xf numFmtId="4" fontId="63" fillId="0" borderId="37" xfId="0" applyNumberFormat="1" applyFont="1" applyBorder="1" applyAlignment="1">
      <alignment/>
    </xf>
    <xf numFmtId="3" fontId="63" fillId="0" borderId="37" xfId="0" applyNumberFormat="1" applyFont="1" applyBorder="1" applyAlignment="1">
      <alignment/>
    </xf>
    <xf numFmtId="3" fontId="63" fillId="0" borderId="48" xfId="0" applyNumberFormat="1" applyFont="1" applyBorder="1" applyAlignment="1">
      <alignment/>
    </xf>
    <xf numFmtId="0" fontId="64" fillId="0" borderId="0" xfId="0" applyFont="1" applyAlignment="1">
      <alignment/>
    </xf>
    <xf numFmtId="0" fontId="63" fillId="0" borderId="24" xfId="0" applyFont="1" applyBorder="1" applyAlignment="1">
      <alignment/>
    </xf>
    <xf numFmtId="3" fontId="63" fillId="25" borderId="0" xfId="0" applyNumberFormat="1" applyFont="1" applyFill="1" applyBorder="1" applyAlignment="1">
      <alignment/>
    </xf>
    <xf numFmtId="3" fontId="63" fillId="25" borderId="69" xfId="0" applyNumberFormat="1" applyFont="1" applyFill="1" applyBorder="1" applyAlignment="1">
      <alignment/>
    </xf>
    <xf numFmtId="175" fontId="63" fillId="25" borderId="0" xfId="0" applyNumberFormat="1" applyFont="1" applyFill="1" applyBorder="1" applyAlignment="1">
      <alignment/>
    </xf>
    <xf numFmtId="0" fontId="63" fillId="25" borderId="0" xfId="0" applyFont="1" applyFill="1" applyBorder="1" applyAlignment="1">
      <alignment/>
    </xf>
    <xf numFmtId="0" fontId="63" fillId="25" borderId="0" xfId="0" applyFont="1" applyFill="1" applyAlignment="1">
      <alignment/>
    </xf>
    <xf numFmtId="3" fontId="63" fillId="0" borderId="63" xfId="0" applyNumberFormat="1" applyFont="1" applyBorder="1" applyAlignment="1">
      <alignment/>
    </xf>
    <xf numFmtId="3" fontId="63" fillId="0" borderId="70" xfId="0" applyNumberFormat="1" applyFont="1" applyBorder="1" applyAlignment="1">
      <alignment/>
    </xf>
    <xf numFmtId="0" fontId="63" fillId="0" borderId="37" xfId="0" applyFont="1" applyBorder="1" applyAlignment="1">
      <alignment/>
    </xf>
    <xf numFmtId="0" fontId="64" fillId="0" borderId="37" xfId="0" applyFont="1" applyBorder="1" applyAlignment="1">
      <alignment/>
    </xf>
    <xf numFmtId="3" fontId="65" fillId="0" borderId="63" xfId="0" applyNumberFormat="1" applyFont="1" applyBorder="1" applyAlignment="1">
      <alignment/>
    </xf>
    <xf numFmtId="3" fontId="63" fillId="0" borderId="62" xfId="0" applyNumberFormat="1" applyFont="1" applyBorder="1" applyAlignment="1">
      <alignment/>
    </xf>
    <xf numFmtId="3" fontId="63" fillId="0" borderId="126" xfId="0" applyNumberFormat="1" applyFont="1" applyBorder="1" applyAlignment="1">
      <alignment/>
    </xf>
    <xf numFmtId="3" fontId="63" fillId="0" borderId="127" xfId="0" applyNumberFormat="1" applyFont="1" applyBorder="1" applyAlignment="1">
      <alignment/>
    </xf>
    <xf numFmtId="0" fontId="63" fillId="0" borderId="0" xfId="0" applyFont="1" applyFill="1" applyBorder="1" applyAlignment="1">
      <alignment/>
    </xf>
    <xf numFmtId="3" fontId="64" fillId="0" borderId="0" xfId="0" applyNumberFormat="1" applyFont="1" applyAlignment="1">
      <alignment/>
    </xf>
    <xf numFmtId="3" fontId="63" fillId="0" borderId="64" xfId="0" applyNumberFormat="1" applyFont="1" applyBorder="1" applyAlignment="1">
      <alignment/>
    </xf>
    <xf numFmtId="3" fontId="63" fillId="0" borderId="65" xfId="0" applyNumberFormat="1" applyFont="1" applyBorder="1" applyAlignment="1">
      <alignment/>
    </xf>
    <xf numFmtId="0" fontId="64" fillId="0" borderId="22" xfId="0" applyFont="1" applyBorder="1" applyAlignment="1">
      <alignment/>
    </xf>
    <xf numFmtId="3" fontId="65" fillId="0" borderId="64" xfId="0" applyNumberFormat="1" applyFont="1" applyBorder="1" applyAlignment="1">
      <alignment/>
    </xf>
    <xf numFmtId="0" fontId="64" fillId="0" borderId="0" xfId="0" applyFont="1" applyBorder="1" applyAlignment="1">
      <alignment/>
    </xf>
    <xf numFmtId="4" fontId="64" fillId="0" borderId="37" xfId="0" applyNumberFormat="1" applyFont="1" applyBorder="1" applyAlignment="1">
      <alignment/>
    </xf>
    <xf numFmtId="0" fontId="64" fillId="0" borderId="123" xfId="0" applyFont="1" applyBorder="1" applyAlignment="1">
      <alignment/>
    </xf>
    <xf numFmtId="0" fontId="64" fillId="0" borderId="124" xfId="0" applyFont="1" applyBorder="1" applyAlignment="1">
      <alignment/>
    </xf>
    <xf numFmtId="3" fontId="64" fillId="0" borderId="124" xfId="0" applyNumberFormat="1" applyFont="1" applyBorder="1" applyAlignment="1">
      <alignment/>
    </xf>
    <xf numFmtId="3" fontId="64" fillId="0" borderId="48" xfId="0" applyNumberFormat="1" applyFont="1" applyBorder="1" applyAlignment="1">
      <alignment/>
    </xf>
    <xf numFmtId="4" fontId="64" fillId="0" borderId="0" xfId="0" applyNumberFormat="1" applyFont="1" applyAlignment="1">
      <alignment/>
    </xf>
    <xf numFmtId="3" fontId="66" fillId="0" borderId="0" xfId="0" applyNumberFormat="1" applyFont="1" applyBorder="1" applyAlignment="1">
      <alignment/>
    </xf>
    <xf numFmtId="0" fontId="64" fillId="0" borderId="89" xfId="0" applyFont="1" applyBorder="1" applyAlignment="1">
      <alignment/>
    </xf>
    <xf numFmtId="0" fontId="64" fillId="0" borderId="74" xfId="0" applyFont="1" applyBorder="1" applyAlignment="1">
      <alignment/>
    </xf>
    <xf numFmtId="3" fontId="64" fillId="0" borderId="109" xfId="0" applyNumberFormat="1" applyFont="1" applyBorder="1" applyAlignment="1">
      <alignment/>
    </xf>
    <xf numFmtId="3" fontId="63" fillId="0" borderId="59" xfId="0" applyNumberFormat="1" applyFont="1" applyBorder="1" applyAlignment="1">
      <alignment/>
    </xf>
    <xf numFmtId="3" fontId="63" fillId="0" borderId="56" xfId="0" applyNumberFormat="1" applyFont="1" applyBorder="1" applyAlignment="1">
      <alignment/>
    </xf>
    <xf numFmtId="3" fontId="63" fillId="0" borderId="61" xfId="0" applyNumberFormat="1" applyFont="1" applyBorder="1" applyAlignment="1">
      <alignment/>
    </xf>
    <xf numFmtId="3" fontId="63" fillId="0" borderId="75" xfId="0" applyNumberFormat="1" applyFont="1" applyBorder="1" applyAlignment="1">
      <alignment/>
    </xf>
    <xf numFmtId="0" fontId="64" fillId="0" borderId="24" xfId="0" applyFont="1" applyBorder="1" applyAlignment="1">
      <alignment/>
    </xf>
    <xf numFmtId="3" fontId="64" fillId="0" borderId="63" xfId="0" applyNumberFormat="1" applyFont="1" applyBorder="1" applyAlignment="1">
      <alignment/>
    </xf>
    <xf numFmtId="175" fontId="64" fillId="0" borderId="0" xfId="0" applyNumberFormat="1" applyFont="1" applyBorder="1" applyAlignment="1">
      <alignment/>
    </xf>
    <xf numFmtId="0" fontId="64" fillId="0" borderId="73" xfId="0" applyFont="1" applyBorder="1" applyAlignment="1">
      <alignment/>
    </xf>
    <xf numFmtId="3" fontId="65" fillId="0" borderId="128" xfId="0" applyNumberFormat="1" applyFont="1" applyBorder="1" applyAlignment="1">
      <alignment/>
    </xf>
    <xf numFmtId="3" fontId="63" fillId="0" borderId="128" xfId="0" applyNumberFormat="1" applyFont="1" applyBorder="1" applyAlignment="1">
      <alignment/>
    </xf>
    <xf numFmtId="3" fontId="63" fillId="0" borderId="129" xfId="0" applyNumberFormat="1" applyFont="1" applyBorder="1" applyAlignment="1">
      <alignment/>
    </xf>
    <xf numFmtId="3" fontId="58" fillId="28" borderId="16" xfId="0" applyNumberFormat="1" applyFont="1" applyFill="1" applyBorder="1" applyAlignment="1">
      <alignment/>
    </xf>
    <xf numFmtId="0" fontId="53" fillId="0" borderId="14" xfId="0" applyFont="1" applyBorder="1" applyAlignment="1">
      <alignment/>
    </xf>
    <xf numFmtId="0" fontId="53" fillId="0" borderId="94" xfId="0" applyFont="1" applyBorder="1" applyAlignment="1">
      <alignment/>
    </xf>
    <xf numFmtId="3" fontId="56" fillId="0" borderId="130" xfId="0" applyNumberFormat="1" applyFont="1" applyBorder="1" applyAlignment="1">
      <alignment/>
    </xf>
    <xf numFmtId="3" fontId="56" fillId="0" borderId="131" xfId="0" applyNumberFormat="1" applyFont="1" applyBorder="1" applyAlignment="1">
      <alignment/>
    </xf>
    <xf numFmtId="3" fontId="56" fillId="0" borderId="132" xfId="0" applyNumberFormat="1" applyFont="1" applyBorder="1" applyAlignment="1">
      <alignment/>
    </xf>
    <xf numFmtId="3" fontId="56" fillId="0" borderId="100" xfId="0" applyNumberFormat="1" applyFont="1" applyBorder="1" applyAlignment="1">
      <alignment/>
    </xf>
    <xf numFmtId="3" fontId="56" fillId="0" borderId="133" xfId="0" applyNumberFormat="1" applyFont="1" applyFill="1" applyBorder="1" applyAlignment="1">
      <alignment/>
    </xf>
    <xf numFmtId="3" fontId="51" fillId="0" borderId="94" xfId="0" applyNumberFormat="1" applyFont="1" applyBorder="1" applyAlignment="1">
      <alignment/>
    </xf>
    <xf numFmtId="3" fontId="52" fillId="0" borderId="12" xfId="0" applyNumberFormat="1" applyFont="1" applyBorder="1" applyAlignment="1">
      <alignment/>
    </xf>
    <xf numFmtId="3" fontId="52" fillId="0" borderId="0" xfId="0" applyNumberFormat="1" applyFont="1" applyBorder="1" applyAlignment="1">
      <alignment/>
    </xf>
    <xf numFmtId="3" fontId="53" fillId="0" borderId="94" xfId="0" applyNumberFormat="1" applyFont="1" applyBorder="1" applyAlignment="1">
      <alignment/>
    </xf>
    <xf numFmtId="3" fontId="9" fillId="30" borderId="43" xfId="0" applyNumberFormat="1" applyFont="1" applyFill="1" applyBorder="1" applyAlignment="1">
      <alignment/>
    </xf>
    <xf numFmtId="0" fontId="53" fillId="0" borderId="94" xfId="0" applyFont="1" applyBorder="1" applyAlignment="1">
      <alignment/>
    </xf>
    <xf numFmtId="3" fontId="52" fillId="0" borderId="130" xfId="0" applyNumberFormat="1" applyFont="1" applyBorder="1" applyAlignment="1">
      <alignment/>
    </xf>
    <xf numFmtId="3" fontId="52" fillId="0" borderId="100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53" fillId="0" borderId="134" xfId="0" applyNumberFormat="1" applyFont="1" applyBorder="1" applyAlignment="1">
      <alignment/>
    </xf>
    <xf numFmtId="3" fontId="53" fillId="0" borderId="94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15" xfId="0" applyFont="1" applyBorder="1" applyAlignment="1">
      <alignment/>
    </xf>
    <xf numFmtId="3" fontId="0" fillId="0" borderId="13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136" xfId="0" applyNumberFormat="1" applyFont="1" applyBorder="1" applyAlignment="1">
      <alignment/>
    </xf>
    <xf numFmtId="3" fontId="0" fillId="0" borderId="114" xfId="0" applyNumberFormat="1" applyFont="1" applyBorder="1" applyAlignment="1">
      <alignment/>
    </xf>
    <xf numFmtId="3" fontId="9" fillId="0" borderId="116" xfId="0" applyNumberFormat="1" applyFont="1" applyBorder="1" applyAlignment="1">
      <alignment/>
    </xf>
    <xf numFmtId="3" fontId="9" fillId="30" borderId="116" xfId="0" applyNumberFormat="1" applyFont="1" applyFill="1" applyBorder="1" applyAlignment="1">
      <alignment/>
    </xf>
    <xf numFmtId="3" fontId="16" fillId="30" borderId="116" xfId="0" applyNumberFormat="1" applyFont="1" applyFill="1" applyBorder="1" applyAlignment="1">
      <alignment/>
    </xf>
    <xf numFmtId="0" fontId="0" fillId="0" borderId="37" xfId="0" applyFont="1" applyFill="1" applyBorder="1" applyAlignment="1">
      <alignment/>
    </xf>
    <xf numFmtId="3" fontId="0" fillId="0" borderId="37" xfId="0" applyNumberFormat="1" applyFont="1" applyBorder="1" applyAlignment="1">
      <alignment/>
    </xf>
    <xf numFmtId="174" fontId="0" fillId="0" borderId="37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24" fillId="0" borderId="37" xfId="0" applyFont="1" applyFill="1" applyBorder="1" applyAlignment="1">
      <alignment/>
    </xf>
    <xf numFmtId="174" fontId="0" fillId="0" borderId="37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24" fillId="0" borderId="37" xfId="0" applyNumberFormat="1" applyFont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7" xfId="0" applyFont="1" applyBorder="1" applyAlignment="1">
      <alignment/>
    </xf>
    <xf numFmtId="0" fontId="0" fillId="25" borderId="37" xfId="0" applyFont="1" applyFill="1" applyBorder="1" applyAlignment="1">
      <alignment/>
    </xf>
    <xf numFmtId="174" fontId="0" fillId="25" borderId="37" xfId="0" applyNumberFormat="1" applyFont="1" applyFill="1" applyBorder="1" applyAlignment="1">
      <alignment/>
    </xf>
    <xf numFmtId="3" fontId="0" fillId="25" borderId="37" xfId="0" applyNumberFormat="1" applyFont="1" applyFill="1" applyBorder="1" applyAlignment="1">
      <alignment/>
    </xf>
    <xf numFmtId="4" fontId="38" fillId="0" borderId="89" xfId="0" applyNumberFormat="1" applyFont="1" applyBorder="1" applyAlignment="1">
      <alignment wrapText="1"/>
    </xf>
    <xf numFmtId="4" fontId="40" fillId="0" borderId="75" xfId="0" applyNumberFormat="1" applyFont="1" applyBorder="1" applyAlignment="1">
      <alignment wrapText="1"/>
    </xf>
    <xf numFmtId="3" fontId="53" fillId="0" borderId="15" xfId="0" applyNumberFormat="1" applyFont="1" applyFill="1" applyBorder="1" applyAlignment="1">
      <alignment/>
    </xf>
    <xf numFmtId="3" fontId="53" fillId="0" borderId="40" xfId="0" applyNumberFormat="1" applyFont="1" applyBorder="1" applyAlignment="1">
      <alignment/>
    </xf>
    <xf numFmtId="0" fontId="9" fillId="0" borderId="38" xfId="0" applyFont="1" applyBorder="1" applyAlignment="1">
      <alignment/>
    </xf>
    <xf numFmtId="3" fontId="53" fillId="0" borderId="38" xfId="0" applyNumberFormat="1" applyFont="1" applyBorder="1" applyAlignment="1">
      <alignment/>
    </xf>
    <xf numFmtId="3" fontId="53" fillId="0" borderId="18" xfId="0" applyNumberFormat="1" applyFont="1" applyBorder="1" applyAlignment="1">
      <alignment/>
    </xf>
    <xf numFmtId="3" fontId="53" fillId="0" borderId="14" xfId="0" applyNumberFormat="1" applyFont="1" applyBorder="1" applyAlignment="1">
      <alignment/>
    </xf>
    <xf numFmtId="3" fontId="53" fillId="27" borderId="14" xfId="0" applyNumberFormat="1" applyFont="1" applyFill="1" applyBorder="1" applyAlignment="1">
      <alignment/>
    </xf>
    <xf numFmtId="3" fontId="53" fillId="0" borderId="16" xfId="0" applyNumberFormat="1" applyFont="1" applyBorder="1" applyAlignment="1">
      <alignment/>
    </xf>
    <xf numFmtId="3" fontId="53" fillId="0" borderId="17" xfId="0" applyNumberFormat="1" applyFont="1" applyBorder="1" applyAlignment="1">
      <alignment/>
    </xf>
    <xf numFmtId="3" fontId="53" fillId="0" borderId="16" xfId="0" applyNumberFormat="1" applyFont="1" applyFill="1" applyBorder="1" applyAlignment="1">
      <alignment/>
    </xf>
    <xf numFmtId="3" fontId="53" fillId="0" borderId="18" xfId="0" applyNumberFormat="1" applyFont="1" applyFill="1" applyBorder="1" applyAlignment="1">
      <alignment/>
    </xf>
    <xf numFmtId="3" fontId="53" fillId="0" borderId="137" xfId="0" applyNumberFormat="1" applyFont="1" applyFill="1" applyBorder="1" applyAlignment="1">
      <alignment/>
    </xf>
    <xf numFmtId="3" fontId="48" fillId="0" borderId="43" xfId="0" applyNumberFormat="1" applyFont="1" applyFill="1" applyBorder="1" applyAlignment="1">
      <alignment/>
    </xf>
    <xf numFmtId="3" fontId="53" fillId="0" borderId="138" xfId="0" applyNumberFormat="1" applyFont="1" applyFill="1" applyBorder="1" applyAlignment="1">
      <alignment/>
    </xf>
    <xf numFmtId="3" fontId="48" fillId="0" borderId="14" xfId="0" applyNumberFormat="1" applyFont="1" applyFill="1" applyBorder="1" applyAlignment="1">
      <alignment/>
    </xf>
    <xf numFmtId="3" fontId="53" fillId="0" borderId="14" xfId="0" applyNumberFormat="1" applyFont="1" applyBorder="1" applyAlignment="1">
      <alignment horizontal="right"/>
    </xf>
    <xf numFmtId="3" fontId="52" fillId="0" borderId="14" xfId="0" applyNumberFormat="1" applyFont="1" applyBorder="1" applyAlignment="1">
      <alignment horizontal="right"/>
    </xf>
    <xf numFmtId="3" fontId="52" fillId="0" borderId="139" xfId="0" applyNumberFormat="1" applyFont="1" applyBorder="1" applyAlignment="1">
      <alignment/>
    </xf>
    <xf numFmtId="3" fontId="53" fillId="0" borderId="14" xfId="0" applyNumberFormat="1" applyFont="1" applyBorder="1" applyAlignment="1">
      <alignment horizontal="right"/>
    </xf>
    <xf numFmtId="3" fontId="58" fillId="24" borderId="14" xfId="0" applyNumberFormat="1" applyFont="1" applyFill="1" applyBorder="1" applyAlignment="1">
      <alignment horizontal="right"/>
    </xf>
    <xf numFmtId="0" fontId="9" fillId="25" borderId="37" xfId="0" applyFont="1" applyFill="1" applyBorder="1" applyAlignment="1">
      <alignment wrapText="1"/>
    </xf>
    <xf numFmtId="2" fontId="27" fillId="0" borderId="84" xfId="0" applyNumberFormat="1" applyFont="1" applyBorder="1" applyAlignment="1">
      <alignment wrapText="1"/>
    </xf>
    <xf numFmtId="0" fontId="67" fillId="23" borderId="75" xfId="0" applyFont="1" applyFill="1" applyBorder="1" applyAlignment="1">
      <alignment/>
    </xf>
    <xf numFmtId="0" fontId="67" fillId="23" borderId="37" xfId="0" applyFont="1" applyFill="1" applyBorder="1" applyAlignment="1">
      <alignment/>
    </xf>
    <xf numFmtId="0" fontId="68" fillId="28" borderId="37" xfId="0" applyFont="1" applyFill="1" applyBorder="1" applyAlignment="1">
      <alignment/>
    </xf>
    <xf numFmtId="3" fontId="67" fillId="23" borderId="37" xfId="0" applyNumberFormat="1" applyFont="1" applyFill="1" applyBorder="1" applyAlignment="1">
      <alignment/>
    </xf>
    <xf numFmtId="175" fontId="68" fillId="28" borderId="37" xfId="0" applyNumberFormat="1" applyFont="1" applyFill="1" applyBorder="1" applyAlignment="1">
      <alignment/>
    </xf>
    <xf numFmtId="1" fontId="68" fillId="28" borderId="37" xfId="0" applyNumberFormat="1" applyFont="1" applyFill="1" applyBorder="1" applyAlignment="1">
      <alignment/>
    </xf>
    <xf numFmtId="3" fontId="68" fillId="28" borderId="37" xfId="0" applyNumberFormat="1" applyFont="1" applyFill="1" applyBorder="1" applyAlignment="1">
      <alignment horizontal="right"/>
    </xf>
    <xf numFmtId="3" fontId="68" fillId="28" borderId="48" xfId="0" applyNumberFormat="1" applyFont="1" applyFill="1" applyBorder="1" applyAlignment="1">
      <alignment horizontal="right"/>
    </xf>
    <xf numFmtId="175" fontId="44" fillId="28" borderId="140" xfId="0" applyNumberFormat="1" applyFont="1" applyFill="1" applyBorder="1" applyAlignment="1">
      <alignment/>
    </xf>
    <xf numFmtId="0" fontId="67" fillId="0" borderId="0" xfId="0" applyFont="1" applyAlignment="1">
      <alignment/>
    </xf>
    <xf numFmtId="3" fontId="67" fillId="0" borderId="0" xfId="0" applyNumberFormat="1" applyFont="1" applyAlignment="1">
      <alignment/>
    </xf>
    <xf numFmtId="0" fontId="0" fillId="25" borderId="37" xfId="0" applyFill="1" applyBorder="1" applyAlignment="1">
      <alignment/>
    </xf>
    <xf numFmtId="0" fontId="0" fillId="25" borderId="37" xfId="0" applyFill="1" applyBorder="1" applyAlignment="1">
      <alignment wrapText="1"/>
    </xf>
    <xf numFmtId="0" fontId="41" fillId="26" borderId="37" xfId="0" applyFont="1" applyFill="1" applyBorder="1" applyAlignment="1">
      <alignment/>
    </xf>
    <xf numFmtId="0" fontId="42" fillId="0" borderId="37" xfId="0" applyFont="1" applyFill="1" applyBorder="1" applyAlignment="1">
      <alignment wrapText="1"/>
    </xf>
    <xf numFmtId="0" fontId="0" fillId="0" borderId="37" xfId="0" applyFont="1" applyFill="1" applyBorder="1" applyAlignment="1">
      <alignment wrapText="1"/>
    </xf>
    <xf numFmtId="4" fontId="41" fillId="26" borderId="75" xfId="0" applyNumberFormat="1" applyFont="1" applyFill="1" applyBorder="1" applyAlignment="1">
      <alignment wrapText="1"/>
    </xf>
    <xf numFmtId="3" fontId="32" fillId="0" borderId="37" xfId="0" applyNumberFormat="1" applyFont="1" applyBorder="1" applyAlignment="1">
      <alignment/>
    </xf>
    <xf numFmtId="0" fontId="45" fillId="0" borderId="38" xfId="0" applyFont="1" applyBorder="1" applyAlignment="1">
      <alignment/>
    </xf>
    <xf numFmtId="3" fontId="69" fillId="0" borderId="16" xfId="0" applyNumberFormat="1" applyFont="1" applyFill="1" applyBorder="1" applyAlignment="1">
      <alignment/>
    </xf>
    <xf numFmtId="3" fontId="69" fillId="0" borderId="38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3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136" xfId="0" applyNumberFormat="1" applyFont="1" applyBorder="1" applyAlignment="1">
      <alignment/>
    </xf>
    <xf numFmtId="3" fontId="0" fillId="0" borderId="114" xfId="0" applyNumberFormat="1" applyFont="1" applyBorder="1" applyAlignment="1">
      <alignment/>
    </xf>
    <xf numFmtId="0" fontId="7" fillId="0" borderId="74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2" fontId="7" fillId="0" borderId="37" xfId="0" applyNumberFormat="1" applyFont="1" applyBorder="1" applyAlignment="1">
      <alignment horizontal="center" wrapText="1"/>
    </xf>
    <xf numFmtId="0" fontId="1" fillId="0" borderId="37" xfId="0" applyFont="1" applyBorder="1" applyAlignment="1">
      <alignment horizontal="center"/>
    </xf>
    <xf numFmtId="3" fontId="19" fillId="8" borderId="37" xfId="0" applyNumberFormat="1" applyFont="1" applyFill="1" applyBorder="1" applyAlignment="1">
      <alignment/>
    </xf>
    <xf numFmtId="3" fontId="19" fillId="8" borderId="48" xfId="0" applyNumberFormat="1" applyFont="1" applyFill="1" applyBorder="1" applyAlignment="1">
      <alignment/>
    </xf>
    <xf numFmtId="3" fontId="19" fillId="0" borderId="48" xfId="0" applyNumberFormat="1" applyFont="1" applyBorder="1" applyAlignment="1">
      <alignment/>
    </xf>
    <xf numFmtId="0" fontId="9" fillId="0" borderId="141" xfId="0" applyFont="1" applyBorder="1" applyAlignment="1">
      <alignment/>
    </xf>
    <xf numFmtId="176" fontId="0" fillId="0" borderId="37" xfId="0" applyNumberFormat="1" applyBorder="1" applyAlignment="1">
      <alignment/>
    </xf>
    <xf numFmtId="176" fontId="9" fillId="0" borderId="37" xfId="0" applyNumberFormat="1" applyFont="1" applyBorder="1" applyAlignment="1">
      <alignment/>
    </xf>
    <xf numFmtId="0" fontId="0" fillId="0" borderId="0" xfId="0" applyAlignment="1">
      <alignment wrapText="1"/>
    </xf>
    <xf numFmtId="3" fontId="9" fillId="0" borderId="0" xfId="0" applyNumberFormat="1" applyFont="1" applyFill="1" applyAlignment="1">
      <alignment/>
    </xf>
    <xf numFmtId="3" fontId="53" fillId="0" borderId="139" xfId="0" applyNumberFormat="1" applyFont="1" applyBorder="1" applyAlignment="1">
      <alignment/>
    </xf>
    <xf numFmtId="0" fontId="9" fillId="0" borderId="0" xfId="0" applyFont="1" applyAlignment="1">
      <alignment wrapText="1"/>
    </xf>
    <xf numFmtId="0" fontId="1" fillId="0" borderId="0" xfId="0" applyAlignment="1">
      <alignment/>
    </xf>
    <xf numFmtId="0" fontId="4" fillId="0" borderId="0" xfId="0" applyAlignment="1">
      <alignment/>
    </xf>
    <xf numFmtId="0" fontId="2" fillId="0" borderId="0" xfId="0" applyAlignment="1">
      <alignment/>
    </xf>
    <xf numFmtId="0" fontId="30" fillId="0" borderId="0" xfId="0" applyFont="1" applyAlignment="1">
      <alignment/>
    </xf>
    <xf numFmtId="176" fontId="4" fillId="0" borderId="0" xfId="0" applyNumberFormat="1" applyAlignment="1">
      <alignment/>
    </xf>
    <xf numFmtId="176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9" fillId="0" borderId="142" xfId="0" applyFont="1" applyBorder="1" applyAlignment="1">
      <alignment/>
    </xf>
    <xf numFmtId="0" fontId="1" fillId="0" borderId="10" xfId="0" applyAlignment="1">
      <alignment/>
    </xf>
    <xf numFmtId="0" fontId="7" fillId="0" borderId="11" xfId="0" applyFont="1" applyAlignment="1">
      <alignment horizontal="center"/>
    </xf>
    <xf numFmtId="0" fontId="1" fillId="0" borderId="12" xfId="0" applyFont="1" applyAlignment="1">
      <alignment/>
    </xf>
    <xf numFmtId="176" fontId="9" fillId="0" borderId="143" xfId="0" applyNumberFormat="1" applyFont="1" applyBorder="1" applyAlignment="1">
      <alignment/>
    </xf>
    <xf numFmtId="0" fontId="9" fillId="0" borderId="144" xfId="0" applyFont="1" applyBorder="1" applyAlignment="1">
      <alignment/>
    </xf>
    <xf numFmtId="0" fontId="1" fillId="0" borderId="15" xfId="0" applyAlignment="1">
      <alignment/>
    </xf>
    <xf numFmtId="0" fontId="7" fillId="0" borderId="145" xfId="0" applyFont="1" applyBorder="1" applyAlignment="1">
      <alignment horizontal="center"/>
    </xf>
    <xf numFmtId="0" fontId="1" fillId="0" borderId="0" xfId="0" applyFont="1" applyAlignment="1">
      <alignment/>
    </xf>
    <xf numFmtId="176" fontId="9" fillId="0" borderId="146" xfId="0" applyNumberFormat="1" applyFont="1" applyBorder="1" applyAlignment="1">
      <alignment/>
    </xf>
    <xf numFmtId="0" fontId="1" fillId="0" borderId="147" xfId="0" applyBorder="1" applyAlignment="1">
      <alignment/>
    </xf>
    <xf numFmtId="0" fontId="1" fillId="0" borderId="148" xfId="0" applyBorder="1" applyAlignment="1">
      <alignment horizontal="center"/>
    </xf>
    <xf numFmtId="0" fontId="1" fillId="0" borderId="0" xfId="0" applyBorder="1" applyAlignment="1">
      <alignment/>
    </xf>
    <xf numFmtId="176" fontId="9" fillId="0" borderId="149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50" xfId="0" applyFont="1" applyBorder="1" applyAlignment="1">
      <alignment/>
    </xf>
    <xf numFmtId="3" fontId="19" fillId="0" borderId="151" xfId="0" applyNumberFormat="1" applyFont="1" applyBorder="1" applyAlignment="1">
      <alignment/>
    </xf>
    <xf numFmtId="3" fontId="8" fillId="0" borderId="140" xfId="0" applyFont="1" applyBorder="1" applyAlignment="1">
      <alignment/>
    </xf>
    <xf numFmtId="176" fontId="0" fillId="0" borderId="152" xfId="0" applyNumberFormat="1" applyBorder="1" applyAlignment="1">
      <alignment/>
    </xf>
    <xf numFmtId="49" fontId="0" fillId="0" borderId="18" xfId="0" applyNumberFormat="1" applyBorder="1" applyAlignment="1">
      <alignment/>
    </xf>
    <xf numFmtId="0" fontId="2" fillId="0" borderId="153" xfId="0" applyFont="1" applyBorder="1" applyAlignment="1">
      <alignment/>
    </xf>
    <xf numFmtId="49" fontId="0" fillId="0" borderId="144" xfId="0" applyNumberFormat="1" applyBorder="1" applyAlignment="1">
      <alignment horizontal="right"/>
    </xf>
    <xf numFmtId="0" fontId="2" fillId="0" borderId="49" xfId="0" applyFont="1" applyBorder="1" applyAlignment="1">
      <alignment/>
    </xf>
    <xf numFmtId="0" fontId="0" fillId="0" borderId="154" xfId="0" applyBorder="1" applyAlignment="1">
      <alignment/>
    </xf>
    <xf numFmtId="49" fontId="0" fillId="0" borderId="155" xfId="0" applyNumberFormat="1" applyBorder="1" applyAlignment="1">
      <alignment horizontal="right"/>
    </xf>
    <xf numFmtId="0" fontId="2" fillId="0" borderId="136" xfId="0" applyFont="1" applyBorder="1" applyAlignment="1">
      <alignment/>
    </xf>
    <xf numFmtId="0" fontId="0" fillId="30" borderId="73" xfId="0" applyFill="1" applyBorder="1" applyAlignment="1">
      <alignment/>
    </xf>
    <xf numFmtId="49" fontId="0" fillId="30" borderId="148" xfId="0" applyNumberFormat="1" applyFill="1" applyBorder="1" applyAlignment="1">
      <alignment/>
    </xf>
    <xf numFmtId="0" fontId="1" fillId="29" borderId="113" xfId="0" applyFont="1" applyFill="1" applyBorder="1" applyAlignment="1">
      <alignment/>
    </xf>
    <xf numFmtId="3" fontId="19" fillId="30" borderId="151" xfId="0" applyNumberFormat="1" applyFont="1" applyFill="1" applyBorder="1" applyAlignment="1">
      <alignment/>
    </xf>
    <xf numFmtId="176" fontId="0" fillId="30" borderId="152" xfId="0" applyNumberFormat="1" applyFill="1" applyBorder="1" applyAlignment="1">
      <alignment/>
    </xf>
    <xf numFmtId="0" fontId="52" fillId="0" borderId="100" xfId="0" applyFont="1" applyBorder="1" applyAlignment="1">
      <alignment/>
    </xf>
    <xf numFmtId="0" fontId="52" fillId="0" borderId="38" xfId="0" applyFont="1" applyAlignment="1">
      <alignment/>
    </xf>
    <xf numFmtId="0" fontId="52" fillId="0" borderId="102" xfId="0" applyFont="1" applyBorder="1" applyAlignment="1">
      <alignment/>
    </xf>
    <xf numFmtId="0" fontId="53" fillId="0" borderId="144" xfId="0" applyFont="1" applyBorder="1" applyAlignment="1">
      <alignment/>
    </xf>
    <xf numFmtId="0" fontId="0" fillId="0" borderId="49" xfId="0" applyBorder="1" applyAlignment="1">
      <alignment/>
    </xf>
    <xf numFmtId="0" fontId="52" fillId="0" borderId="156" xfId="0" applyFont="1" applyBorder="1" applyAlignment="1">
      <alignment/>
    </xf>
    <xf numFmtId="49" fontId="0" fillId="0" borderId="18" xfId="0" applyNumberFormat="1" applyBorder="1" applyAlignment="1">
      <alignment horizontal="right"/>
    </xf>
    <xf numFmtId="0" fontId="52" fillId="0" borderId="0" xfId="0" applyFont="1" applyBorder="1" applyAlignment="1">
      <alignment/>
    </xf>
    <xf numFmtId="49" fontId="0" fillId="0" borderId="49" xfId="0" applyNumberFormat="1" applyBorder="1" applyAlignment="1">
      <alignment horizontal="right"/>
    </xf>
    <xf numFmtId="0" fontId="52" fillId="0" borderId="33" xfId="0" applyFont="1" applyBorder="1" applyAlignment="1">
      <alignment/>
    </xf>
    <xf numFmtId="0" fontId="52" fillId="0" borderId="101" xfId="0" applyFont="1" applyBorder="1" applyAlignment="1">
      <alignment/>
    </xf>
    <xf numFmtId="0" fontId="52" fillId="0" borderId="22" xfId="0" applyFont="1" applyBorder="1" applyAlignment="1">
      <alignment/>
    </xf>
    <xf numFmtId="0" fontId="0" fillId="30" borderId="26" xfId="0" applyFill="1" applyBorder="1" applyAlignment="1">
      <alignment/>
    </xf>
    <xf numFmtId="49" fontId="0" fillId="30" borderId="49" xfId="0" applyNumberFormat="1" applyFill="1" applyBorder="1" applyAlignment="1">
      <alignment/>
    </xf>
    <xf numFmtId="0" fontId="1" fillId="29" borderId="157" xfId="0" applyFont="1" applyFill="1" applyBorder="1" applyAlignment="1">
      <alignment/>
    </xf>
    <xf numFmtId="0" fontId="0" fillId="30" borderId="22" xfId="0" applyFill="1" applyBorder="1" applyAlignment="1">
      <alignment/>
    </xf>
    <xf numFmtId="0" fontId="0" fillId="30" borderId="138" xfId="0" applyFill="1" applyBorder="1" applyAlignment="1">
      <alignment/>
    </xf>
    <xf numFmtId="0" fontId="1" fillId="29" borderId="158" xfId="0" applyFont="1" applyFill="1" applyBorder="1" applyAlignment="1">
      <alignment/>
    </xf>
    <xf numFmtId="49" fontId="0" fillId="8" borderId="116" xfId="0" applyNumberFormat="1" applyFill="1" applyBorder="1" applyAlignment="1">
      <alignment/>
    </xf>
    <xf numFmtId="0" fontId="0" fillId="8" borderId="114" xfId="0" applyFill="1" applyBorder="1" applyAlignment="1">
      <alignment/>
    </xf>
    <xf numFmtId="0" fontId="1" fillId="31" borderId="159" xfId="0" applyFont="1" applyFill="1" applyBorder="1" applyAlignment="1">
      <alignment/>
    </xf>
    <xf numFmtId="3" fontId="19" fillId="8" borderId="151" xfId="0" applyNumberFormat="1" applyFont="1" applyFill="1" applyBorder="1" applyAlignment="1">
      <alignment/>
    </xf>
    <xf numFmtId="176" fontId="0" fillId="8" borderId="152" xfId="0" applyNumberFormat="1" applyFill="1" applyBorder="1" applyAlignment="1">
      <alignment/>
    </xf>
    <xf numFmtId="176" fontId="0" fillId="0" borderId="151" xfId="0" applyNumberFormat="1" applyBorder="1" applyAlignment="1">
      <alignment/>
    </xf>
    <xf numFmtId="16" fontId="9" fillId="0" borderId="0" xfId="0" applyNumberFormat="1" applyFont="1" applyAlignment="1">
      <alignment/>
    </xf>
    <xf numFmtId="0" fontId="22" fillId="0" borderId="0" xfId="0" applyFont="1" applyAlignment="1">
      <alignment/>
    </xf>
    <xf numFmtId="0" fontId="9" fillId="23" borderId="89" xfId="0" applyFont="1" applyFill="1" applyBorder="1" applyAlignment="1">
      <alignment wrapText="1"/>
    </xf>
    <xf numFmtId="0" fontId="9" fillId="8" borderId="74" xfId="0" applyFont="1" applyFill="1" applyBorder="1" applyAlignment="1">
      <alignment wrapText="1"/>
    </xf>
    <xf numFmtId="0" fontId="9" fillId="8" borderId="109" xfId="0" applyFont="1" applyFill="1" applyBorder="1" applyAlignment="1">
      <alignment wrapText="1"/>
    </xf>
    <xf numFmtId="4" fontId="40" fillId="28" borderId="75" xfId="0" applyNumberFormat="1" applyFont="1" applyFill="1" applyBorder="1" applyAlignment="1">
      <alignment wrapText="1"/>
    </xf>
    <xf numFmtId="0" fontId="0" fillId="0" borderId="48" xfId="0" applyBorder="1" applyAlignment="1">
      <alignment/>
    </xf>
    <xf numFmtId="1" fontId="0" fillId="0" borderId="37" xfId="0" applyNumberFormat="1" applyBorder="1" applyAlignment="1">
      <alignment/>
    </xf>
    <xf numFmtId="0" fontId="9" fillId="23" borderId="123" xfId="0" applyFont="1" applyFill="1" applyBorder="1" applyAlignment="1">
      <alignment/>
    </xf>
    <xf numFmtId="3" fontId="9" fillId="8" borderId="124" xfId="0" applyNumberFormat="1" applyFont="1" applyFill="1" applyBorder="1" applyAlignment="1">
      <alignment/>
    </xf>
    <xf numFmtId="4" fontId="16" fillId="23" borderId="75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4" fontId="16" fillId="23" borderId="122" xfId="0" applyNumberFormat="1" applyFont="1" applyFill="1" applyBorder="1" applyAlignment="1">
      <alignment/>
    </xf>
    <xf numFmtId="4" fontId="40" fillId="28" borderId="122" xfId="0" applyNumberFormat="1" applyFont="1" applyFill="1" applyBorder="1" applyAlignment="1">
      <alignment wrapText="1"/>
    </xf>
    <xf numFmtId="0" fontId="16" fillId="0" borderId="160" xfId="0" applyFont="1" applyBorder="1" applyAlignment="1">
      <alignment horizontal="center"/>
    </xf>
    <xf numFmtId="0" fontId="35" fillId="0" borderId="161" xfId="0" applyFont="1" applyBorder="1" applyAlignment="1">
      <alignment horizontal="center"/>
    </xf>
    <xf numFmtId="0" fontId="16" fillId="0" borderId="162" xfId="0" applyFont="1" applyBorder="1" applyAlignment="1">
      <alignment horizontal="center"/>
    </xf>
    <xf numFmtId="0" fontId="16" fillId="0" borderId="163" xfId="0" applyFont="1" applyBorder="1" applyAlignment="1">
      <alignment horizontal="center"/>
    </xf>
    <xf numFmtId="0" fontId="16" fillId="0" borderId="164" xfId="0" applyFont="1" applyBorder="1" applyAlignment="1">
      <alignment horizontal="center"/>
    </xf>
    <xf numFmtId="0" fontId="9" fillId="0" borderId="7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6" fillId="0" borderId="165" xfId="0" applyFont="1" applyBorder="1" applyAlignment="1">
      <alignment/>
    </xf>
    <xf numFmtId="0" fontId="16" fillId="0" borderId="69" xfId="0" applyFont="1" applyBorder="1" applyAlignment="1">
      <alignment/>
    </xf>
    <xf numFmtId="0" fontId="0" fillId="0" borderId="166" xfId="0" applyBorder="1" applyAlignment="1">
      <alignment/>
    </xf>
    <xf numFmtId="1" fontId="0" fillId="0" borderId="103" xfId="0" applyNumberFormat="1" applyBorder="1" applyAlignment="1">
      <alignment/>
    </xf>
    <xf numFmtId="0" fontId="0" fillId="0" borderId="167" xfId="0" applyBorder="1" applyAlignment="1">
      <alignment/>
    </xf>
    <xf numFmtId="0" fontId="0" fillId="0" borderId="72" xfId="0" applyBorder="1" applyAlignment="1">
      <alignment/>
    </xf>
    <xf numFmtId="0" fontId="0" fillId="0" borderId="168" xfId="0" applyBorder="1" applyAlignment="1">
      <alignment/>
    </xf>
    <xf numFmtId="0" fontId="0" fillId="0" borderId="141" xfId="0" applyBorder="1" applyAlignment="1">
      <alignment/>
    </xf>
    <xf numFmtId="0" fontId="9" fillId="0" borderId="168" xfId="0" applyFont="1" applyBorder="1" applyAlignment="1">
      <alignment/>
    </xf>
    <xf numFmtId="0" fontId="9" fillId="0" borderId="72" xfId="0" applyFont="1" applyBorder="1" applyAlignment="1">
      <alignment/>
    </xf>
    <xf numFmtId="0" fontId="9" fillId="0" borderId="107" xfId="0" applyFont="1" applyBorder="1" applyAlignment="1">
      <alignment/>
    </xf>
    <xf numFmtId="0" fontId="16" fillId="0" borderId="168" xfId="0" applyFont="1" applyBorder="1" applyAlignment="1">
      <alignment/>
    </xf>
    <xf numFmtId="0" fontId="16" fillId="0" borderId="63" xfId="0" applyFont="1" applyBorder="1" applyAlignment="1">
      <alignment/>
    </xf>
    <xf numFmtId="3" fontId="16" fillId="0" borderId="37" xfId="0" applyNumberFormat="1" applyFont="1" applyBorder="1" applyAlignment="1">
      <alignment/>
    </xf>
    <xf numFmtId="0" fontId="9" fillId="0" borderId="167" xfId="0" applyFont="1" applyBorder="1" applyAlignment="1">
      <alignment/>
    </xf>
    <xf numFmtId="0" fontId="0" fillId="0" borderId="72" xfId="0" applyFont="1" applyBorder="1" applyAlignment="1">
      <alignment/>
    </xf>
    <xf numFmtId="0" fontId="19" fillId="0" borderId="105" xfId="0" applyFont="1" applyBorder="1" applyAlignment="1">
      <alignment/>
    </xf>
    <xf numFmtId="0" fontId="9" fillId="0" borderId="169" xfId="0" applyFont="1" applyBorder="1" applyAlignment="1">
      <alignment/>
    </xf>
    <xf numFmtId="0" fontId="0" fillId="0" borderId="170" xfId="0" applyFont="1" applyBorder="1" applyAlignment="1">
      <alignment/>
    </xf>
    <xf numFmtId="0" fontId="9" fillId="0" borderId="171" xfId="0" applyFont="1" applyBorder="1" applyAlignment="1">
      <alignment/>
    </xf>
    <xf numFmtId="0" fontId="0" fillId="0" borderId="172" xfId="0" applyFont="1" applyBorder="1" applyAlignment="1">
      <alignment/>
    </xf>
    <xf numFmtId="1" fontId="18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1" fontId="23" fillId="0" borderId="0" xfId="0" applyNumberFormat="1" applyFont="1" applyAlignment="1">
      <alignment horizontal="right"/>
    </xf>
    <xf numFmtId="1" fontId="0" fillId="0" borderId="0" xfId="0" applyNumberFormat="1" applyBorder="1" applyAlignment="1">
      <alignment horizontal="right"/>
    </xf>
    <xf numFmtId="0" fontId="9" fillId="0" borderId="89" xfId="0" applyFont="1" applyFill="1" applyBorder="1" applyAlignment="1">
      <alignment/>
    </xf>
    <xf numFmtId="1" fontId="9" fillId="0" borderId="109" xfId="0" applyNumberFormat="1" applyFont="1" applyFill="1" applyBorder="1" applyAlignment="1">
      <alignment horizontal="right"/>
    </xf>
    <xf numFmtId="0" fontId="0" fillId="0" borderId="58" xfId="0" applyBorder="1" applyAlignment="1">
      <alignment/>
    </xf>
    <xf numFmtId="0" fontId="0" fillId="0" borderId="75" xfId="0" applyFill="1" applyBorder="1" applyAlignment="1">
      <alignment/>
    </xf>
    <xf numFmtId="1" fontId="9" fillId="0" borderId="48" xfId="0" applyNumberFormat="1" applyFont="1" applyFill="1" applyBorder="1" applyAlignment="1">
      <alignment horizontal="right"/>
    </xf>
    <xf numFmtId="0" fontId="0" fillId="0" borderId="55" xfId="0" applyBorder="1" applyAlignment="1">
      <alignment/>
    </xf>
    <xf numFmtId="0" fontId="16" fillId="0" borderId="75" xfId="0" applyFont="1" applyFill="1" applyBorder="1" applyAlignment="1">
      <alignment/>
    </xf>
    <xf numFmtId="1" fontId="0" fillId="0" borderId="48" xfId="0" applyNumberFormat="1" applyFill="1" applyBorder="1" applyAlignment="1">
      <alignment horizontal="right"/>
    </xf>
    <xf numFmtId="0" fontId="0" fillId="0" borderId="61" xfId="0" applyBorder="1" applyAlignment="1">
      <alignment/>
    </xf>
    <xf numFmtId="0" fontId="9" fillId="0" borderId="75" xfId="0" applyFont="1" applyFill="1" applyBorder="1" applyAlignment="1">
      <alignment/>
    </xf>
    <xf numFmtId="0" fontId="0" fillId="0" borderId="62" xfId="0" applyBorder="1" applyAlignment="1">
      <alignment/>
    </xf>
    <xf numFmtId="0" fontId="0" fillId="0" borderId="53" xfId="0" applyBorder="1" applyAlignment="1">
      <alignment/>
    </xf>
    <xf numFmtId="3" fontId="0" fillId="0" borderId="62" xfId="0" applyNumberFormat="1" applyBorder="1" applyAlignment="1">
      <alignment/>
    </xf>
    <xf numFmtId="0" fontId="0" fillId="0" borderId="65" xfId="0" applyBorder="1" applyAlignment="1">
      <alignment/>
    </xf>
    <xf numFmtId="0" fontId="0" fillId="0" borderId="122" xfId="0" applyBorder="1" applyAlignment="1">
      <alignment/>
    </xf>
    <xf numFmtId="0" fontId="16" fillId="0" borderId="123" xfId="0" applyFont="1" applyFill="1" applyBorder="1" applyAlignment="1">
      <alignment/>
    </xf>
    <xf numFmtId="1" fontId="16" fillId="0" borderId="125" xfId="0" applyNumberFormat="1" applyFont="1" applyFill="1" applyBorder="1" applyAlignment="1">
      <alignment horizontal="right"/>
    </xf>
    <xf numFmtId="0" fontId="0" fillId="0" borderId="56" xfId="0" applyBorder="1" applyAlignment="1">
      <alignment/>
    </xf>
    <xf numFmtId="0" fontId="5" fillId="0" borderId="0" xfId="0" applyFont="1" applyAlignment="1">
      <alignment/>
    </xf>
    <xf numFmtId="0" fontId="87" fillId="0" borderId="89" xfId="0" applyFont="1" applyBorder="1" applyAlignment="1">
      <alignment horizontal="center" vertical="top" wrapText="1"/>
    </xf>
    <xf numFmtId="0" fontId="87" fillId="0" borderId="74" xfId="0" applyFont="1" applyBorder="1" applyAlignment="1">
      <alignment horizontal="center" vertical="top" wrapText="1"/>
    </xf>
    <xf numFmtId="0" fontId="87" fillId="0" borderId="74" xfId="0" applyFont="1" applyFill="1" applyBorder="1" applyAlignment="1">
      <alignment horizontal="center" vertical="top" wrapText="1"/>
    </xf>
    <xf numFmtId="0" fontId="87" fillId="0" borderId="37" xfId="0" applyFont="1" applyBorder="1" applyAlignment="1">
      <alignment horizontal="center" vertical="top" wrapText="1"/>
    </xf>
    <xf numFmtId="0" fontId="47" fillId="0" borderId="37" xfId="0" applyFont="1" applyBorder="1" applyAlignment="1">
      <alignment horizontal="right" vertical="top" wrapText="1"/>
    </xf>
    <xf numFmtId="0" fontId="47" fillId="0" borderId="37" xfId="0" applyFont="1" applyBorder="1" applyAlignment="1">
      <alignment horizontal="center" vertical="center" wrapText="1"/>
    </xf>
    <xf numFmtId="0" fontId="47" fillId="0" borderId="37" xfId="0" applyFont="1" applyFill="1" applyBorder="1" applyAlignment="1">
      <alignment horizontal="center" vertical="center" wrapText="1"/>
    </xf>
    <xf numFmtId="0" fontId="9" fillId="30" borderId="75" xfId="0" applyFont="1" applyFill="1" applyBorder="1" applyAlignment="1">
      <alignment/>
    </xf>
    <xf numFmtId="0" fontId="9" fillId="30" borderId="37" xfId="0" applyFont="1" applyFill="1" applyBorder="1" applyAlignment="1">
      <alignment/>
    </xf>
    <xf numFmtId="3" fontId="9" fillId="30" borderId="37" xfId="0" applyNumberFormat="1" applyFont="1" applyFill="1" applyBorder="1" applyAlignment="1">
      <alignment/>
    </xf>
    <xf numFmtId="0" fontId="9" fillId="30" borderId="123" xfId="0" applyFont="1" applyFill="1" applyBorder="1" applyAlignment="1">
      <alignment/>
    </xf>
    <xf numFmtId="0" fontId="9" fillId="30" borderId="124" xfId="0" applyFont="1" applyFill="1" applyBorder="1" applyAlignment="1">
      <alignment/>
    </xf>
    <xf numFmtId="0" fontId="87" fillId="0" borderId="37" xfId="0" applyFont="1" applyFill="1" applyBorder="1" applyAlignment="1">
      <alignment horizontal="center" vertical="top" wrapText="1"/>
    </xf>
    <xf numFmtId="0" fontId="88" fillId="0" borderId="37" xfId="0" applyFont="1" applyBorder="1" applyAlignment="1">
      <alignment horizontal="right" vertical="top" wrapText="1"/>
    </xf>
    <xf numFmtId="0" fontId="88" fillId="0" borderId="37" xfId="0" applyFont="1" applyBorder="1" applyAlignment="1">
      <alignment horizontal="center" vertical="center" wrapText="1"/>
    </xf>
    <xf numFmtId="3" fontId="9" fillId="0" borderId="37" xfId="0" applyNumberFormat="1" applyFont="1" applyBorder="1" applyAlignment="1">
      <alignment/>
    </xf>
    <xf numFmtId="0" fontId="88" fillId="0" borderId="37" xfId="0" applyFont="1" applyFill="1" applyBorder="1" applyAlignment="1">
      <alignment horizontal="center" vertical="center" wrapText="1"/>
    </xf>
    <xf numFmtId="0" fontId="87" fillId="0" borderId="173" xfId="0" applyFont="1" applyFill="1" applyBorder="1" applyAlignment="1">
      <alignment horizontal="center" vertical="top" wrapText="1"/>
    </xf>
    <xf numFmtId="0" fontId="47" fillId="0" borderId="122" xfId="0" applyFont="1" applyBorder="1" applyAlignment="1">
      <alignment horizontal="center" vertical="center" wrapText="1"/>
    </xf>
    <xf numFmtId="3" fontId="9" fillId="30" borderId="122" xfId="0" applyNumberFormat="1" applyFont="1" applyFill="1" applyBorder="1" applyAlignment="1">
      <alignment/>
    </xf>
    <xf numFmtId="0" fontId="9" fillId="0" borderId="122" xfId="0" applyFont="1" applyBorder="1" applyAlignment="1">
      <alignment/>
    </xf>
    <xf numFmtId="0" fontId="47" fillId="0" borderId="37" xfId="0" applyFont="1" applyBorder="1" applyAlignment="1">
      <alignment horizontal="left" vertical="top" wrapText="1"/>
    </xf>
    <xf numFmtId="0" fontId="88" fillId="0" borderId="37" xfId="0" applyFont="1" applyBorder="1" applyAlignment="1">
      <alignment horizontal="left" vertical="top" wrapText="1"/>
    </xf>
    <xf numFmtId="0" fontId="0" fillId="30" borderId="37" xfId="0" applyFill="1" applyBorder="1" applyAlignment="1">
      <alignment/>
    </xf>
    <xf numFmtId="4" fontId="0" fillId="0" borderId="48" xfId="0" applyNumberFormat="1" applyBorder="1" applyAlignment="1">
      <alignment/>
    </xf>
    <xf numFmtId="4" fontId="16" fillId="23" borderId="104" xfId="0" applyNumberFormat="1" applyFont="1" applyFill="1" applyBorder="1" applyAlignment="1">
      <alignment/>
    </xf>
    <xf numFmtId="0" fontId="0" fillId="0" borderId="174" xfId="0" applyBorder="1" applyAlignment="1">
      <alignment/>
    </xf>
    <xf numFmtId="176" fontId="9" fillId="0" borderId="122" xfId="0" applyNumberFormat="1" applyFont="1" applyBorder="1" applyAlignment="1">
      <alignment wrapText="1"/>
    </xf>
    <xf numFmtId="3" fontId="0" fillId="0" borderId="122" xfId="0" applyNumberFormat="1" applyBorder="1" applyAlignment="1">
      <alignment/>
    </xf>
    <xf numFmtId="0" fontId="53" fillId="0" borderId="89" xfId="0" applyFont="1" applyBorder="1" applyAlignment="1">
      <alignment/>
    </xf>
    <xf numFmtId="0" fontId="53" fillId="0" borderId="75" xfId="0" applyFont="1" applyBorder="1" applyAlignment="1">
      <alignment/>
    </xf>
    <xf numFmtId="0" fontId="52" fillId="0" borderId="75" xfId="0" applyFont="1" applyBorder="1" applyAlignment="1">
      <alignment/>
    </xf>
    <xf numFmtId="0" fontId="53" fillId="31" borderId="75" xfId="0" applyFont="1" applyFill="1" applyBorder="1" applyAlignment="1">
      <alignment/>
    </xf>
    <xf numFmtId="0" fontId="52" fillId="0" borderId="75" xfId="0" applyFont="1" applyBorder="1" applyAlignment="1">
      <alignment/>
    </xf>
    <xf numFmtId="0" fontId="52" fillId="0" borderId="75" xfId="0" applyFont="1" applyBorder="1" applyAlignment="1">
      <alignment/>
    </xf>
    <xf numFmtId="0" fontId="53" fillId="0" borderId="75" xfId="0" applyFont="1" applyBorder="1" applyAlignment="1">
      <alignment/>
    </xf>
    <xf numFmtId="0" fontId="9" fillId="0" borderId="75" xfId="0" applyFont="1" applyBorder="1" applyAlignment="1">
      <alignment/>
    </xf>
    <xf numFmtId="0" fontId="9" fillId="0" borderId="48" xfId="0" applyFont="1" applyBorder="1" applyAlignment="1">
      <alignment/>
    </xf>
    <xf numFmtId="0" fontId="9" fillId="0" borderId="123" xfId="0" applyFont="1" applyBorder="1" applyAlignment="1">
      <alignment/>
    </xf>
    <xf numFmtId="0" fontId="9" fillId="0" borderId="124" xfId="0" applyFont="1" applyBorder="1" applyAlignment="1">
      <alignment/>
    </xf>
    <xf numFmtId="3" fontId="9" fillId="0" borderId="124" xfId="0" applyNumberFormat="1" applyFont="1" applyBorder="1" applyAlignment="1">
      <alignment/>
    </xf>
    <xf numFmtId="0" fontId="9" fillId="0" borderId="125" xfId="0" applyFont="1" applyBorder="1" applyAlignment="1">
      <alignment/>
    </xf>
    <xf numFmtId="0" fontId="1" fillId="0" borderId="37" xfId="0" applyFont="1" applyBorder="1" applyAlignment="1">
      <alignment/>
    </xf>
    <xf numFmtId="3" fontId="8" fillId="0" borderId="37" xfId="0" applyNumberFormat="1" applyFont="1" applyBorder="1" applyAlignment="1">
      <alignment/>
    </xf>
    <xf numFmtId="3" fontId="8" fillId="31" borderId="37" xfId="0" applyNumberFormat="1" applyFont="1" applyFill="1" applyBorder="1" applyAlignment="1">
      <alignment/>
    </xf>
    <xf numFmtId="3" fontId="19" fillId="30" borderId="37" xfId="0" applyNumberFormat="1" applyFont="1" applyFill="1" applyBorder="1" applyAlignment="1">
      <alignment/>
    </xf>
    <xf numFmtId="0" fontId="1" fillId="0" borderId="74" xfId="0" applyFont="1" applyBorder="1" applyAlignment="1">
      <alignment/>
    </xf>
    <xf numFmtId="176" fontId="0" fillId="0" borderId="109" xfId="0" applyNumberFormat="1" applyBorder="1" applyAlignment="1">
      <alignment/>
    </xf>
    <xf numFmtId="176" fontId="9" fillId="0" borderId="48" xfId="0" applyNumberFormat="1" applyFont="1" applyBorder="1" applyAlignment="1">
      <alignment wrapText="1"/>
    </xf>
    <xf numFmtId="176" fontId="9" fillId="0" borderId="48" xfId="0" applyNumberFormat="1" applyFont="1" applyBorder="1" applyAlignment="1">
      <alignment/>
    </xf>
    <xf numFmtId="176" fontId="0" fillId="0" borderId="48" xfId="0" applyNumberFormat="1" applyFont="1" applyBorder="1" applyAlignment="1">
      <alignment/>
    </xf>
    <xf numFmtId="176" fontId="0" fillId="8" borderId="48" xfId="0" applyNumberFormat="1" applyFill="1" applyBorder="1" applyAlignment="1">
      <alignment/>
    </xf>
    <xf numFmtId="0" fontId="53" fillId="29" borderId="75" xfId="0" applyFont="1" applyFill="1" applyBorder="1" applyAlignment="1">
      <alignment/>
    </xf>
    <xf numFmtId="176" fontId="0" fillId="30" borderId="48" xfId="0" applyNumberFormat="1" applyFill="1" applyBorder="1" applyAlignment="1">
      <alignment/>
    </xf>
    <xf numFmtId="0" fontId="0" fillId="0" borderId="75" xfId="0" applyBorder="1" applyAlignment="1">
      <alignment/>
    </xf>
    <xf numFmtId="0" fontId="36" fillId="25" borderId="143" xfId="0" applyFont="1" applyFill="1" applyBorder="1" applyAlignment="1">
      <alignment horizontal="center"/>
    </xf>
    <xf numFmtId="0" fontId="31" fillId="25" borderId="111" xfId="0" applyFont="1" applyFill="1" applyBorder="1" applyAlignment="1">
      <alignment/>
    </xf>
    <xf numFmtId="0" fontId="31" fillId="25" borderId="59" xfId="0" applyFont="1" applyFill="1" applyBorder="1" applyAlignment="1">
      <alignment/>
    </xf>
    <xf numFmtId="0" fontId="36" fillId="25" borderId="59" xfId="0" applyFont="1" applyFill="1" applyBorder="1" applyAlignment="1">
      <alignment/>
    </xf>
    <xf numFmtId="0" fontId="31" fillId="25" borderId="143" xfId="0" applyFont="1" applyFill="1" applyBorder="1" applyAlignment="1">
      <alignment/>
    </xf>
    <xf numFmtId="0" fontId="36" fillId="25" borderId="149" xfId="0" applyFont="1" applyFill="1" applyBorder="1" applyAlignment="1">
      <alignment/>
    </xf>
    <xf numFmtId="0" fontId="31" fillId="25" borderId="149" xfId="0" applyFont="1" applyFill="1" applyBorder="1" applyAlignment="1">
      <alignment horizontal="center"/>
    </xf>
    <xf numFmtId="0" fontId="31" fillId="25" borderId="54" xfId="0" applyFont="1" applyFill="1" applyBorder="1" applyAlignment="1">
      <alignment horizontal="center"/>
    </xf>
    <xf numFmtId="0" fontId="31" fillId="25" borderId="116" xfId="0" applyFont="1" applyFill="1" applyBorder="1" applyAlignment="1">
      <alignment horizontal="center"/>
    </xf>
    <xf numFmtId="0" fontId="31" fillId="25" borderId="149" xfId="0" applyFont="1" applyFill="1" applyBorder="1" applyAlignment="1">
      <alignment/>
    </xf>
    <xf numFmtId="0" fontId="36" fillId="0" borderId="75" xfId="0" applyFont="1" applyBorder="1" applyAlignment="1">
      <alignment/>
    </xf>
    <xf numFmtId="3" fontId="31" fillId="0" borderId="146" xfId="0" applyNumberFormat="1" applyFont="1" applyBorder="1" applyAlignment="1">
      <alignment/>
    </xf>
    <xf numFmtId="0" fontId="31" fillId="0" borderId="175" xfId="0" applyFont="1" applyBorder="1" applyAlignment="1">
      <alignment/>
    </xf>
    <xf numFmtId="0" fontId="31" fillId="0" borderId="75" xfId="0" applyFont="1" applyBorder="1" applyAlignment="1">
      <alignment/>
    </xf>
    <xf numFmtId="3" fontId="31" fillId="0" borderId="0" xfId="0" applyNumberFormat="1" applyFont="1" applyAlignment="1">
      <alignment/>
    </xf>
    <xf numFmtId="3" fontId="31" fillId="0" borderId="63" xfId="0" applyNumberFormat="1" applyFont="1" applyBorder="1" applyAlignment="1">
      <alignment/>
    </xf>
    <xf numFmtId="3" fontId="36" fillId="0" borderId="175" xfId="0" applyNumberFormat="1" applyFont="1" applyBorder="1" applyAlignment="1">
      <alignment/>
    </xf>
    <xf numFmtId="3" fontId="31" fillId="0" borderId="175" xfId="0" applyNumberFormat="1" applyFont="1" applyBorder="1" applyAlignment="1">
      <alignment/>
    </xf>
    <xf numFmtId="0" fontId="31" fillId="0" borderId="75" xfId="0" applyFont="1" applyFill="1" applyBorder="1" applyAlignment="1">
      <alignment/>
    </xf>
    <xf numFmtId="0" fontId="89" fillId="0" borderId="75" xfId="0" applyFont="1" applyFill="1" applyBorder="1" applyAlignment="1">
      <alignment/>
    </xf>
    <xf numFmtId="0" fontId="31" fillId="0" borderId="146" xfId="0" applyFont="1" applyBorder="1" applyAlignment="1">
      <alignment/>
    </xf>
    <xf numFmtId="0" fontId="89" fillId="0" borderId="75" xfId="0" applyFont="1" applyBorder="1" applyAlignment="1">
      <alignment/>
    </xf>
    <xf numFmtId="0" fontId="36" fillId="0" borderId="75" xfId="0" applyFont="1" applyFill="1" applyBorder="1" applyAlignment="1">
      <alignment/>
    </xf>
    <xf numFmtId="3" fontId="36" fillId="0" borderId="146" xfId="0" applyNumberFormat="1" applyFont="1" applyBorder="1" applyAlignment="1">
      <alignment/>
    </xf>
    <xf numFmtId="0" fontId="36" fillId="0" borderId="123" xfId="0" applyFont="1" applyBorder="1" applyAlignment="1">
      <alignment/>
    </xf>
    <xf numFmtId="0" fontId="36" fillId="25" borderId="73" xfId="0" applyFont="1" applyFill="1" applyBorder="1" applyAlignment="1">
      <alignment horizontal="center"/>
    </xf>
    <xf numFmtId="0" fontId="36" fillId="0" borderId="22" xfId="0" applyFont="1" applyBorder="1" applyAlignment="1">
      <alignment/>
    </xf>
    <xf numFmtId="0" fontId="31" fillId="0" borderId="143" xfId="0" applyFont="1" applyBorder="1" applyAlignment="1">
      <alignment/>
    </xf>
    <xf numFmtId="0" fontId="31" fillId="0" borderId="0" xfId="0" applyFont="1" applyAlignment="1">
      <alignment/>
    </xf>
    <xf numFmtId="0" fontId="36" fillId="0" borderId="25" xfId="0" applyFont="1" applyBorder="1" applyAlignment="1">
      <alignment/>
    </xf>
    <xf numFmtId="1" fontId="36" fillId="0" borderId="175" xfId="0" applyNumberFormat="1" applyFont="1" applyBorder="1" applyAlignment="1">
      <alignment/>
    </xf>
    <xf numFmtId="0" fontId="36" fillId="0" borderId="176" xfId="0" applyFont="1" applyBorder="1" applyAlignment="1">
      <alignment/>
    </xf>
    <xf numFmtId="0" fontId="31" fillId="0" borderId="146" xfId="0" applyFont="1" applyFill="1" applyBorder="1" applyAlignment="1">
      <alignment/>
    </xf>
    <xf numFmtId="0" fontId="31" fillId="0" borderId="63" xfId="0" applyFont="1" applyBorder="1" applyAlignment="1">
      <alignment/>
    </xf>
    <xf numFmtId="0" fontId="36" fillId="0" borderId="151" xfId="0" applyFont="1" applyBorder="1" applyAlignment="1">
      <alignment/>
    </xf>
    <xf numFmtId="0" fontId="31" fillId="0" borderId="151" xfId="0" applyFont="1" applyBorder="1" applyAlignment="1">
      <alignment/>
    </xf>
    <xf numFmtId="0" fontId="31" fillId="0" borderId="60" xfId="0" applyFont="1" applyBorder="1" applyAlignment="1">
      <alignment/>
    </xf>
    <xf numFmtId="0" fontId="31" fillId="0" borderId="62" xfId="0" applyFont="1" applyBorder="1" applyAlignment="1">
      <alignment/>
    </xf>
    <xf numFmtId="0" fontId="31" fillId="0" borderId="151" xfId="0" applyFont="1" applyFill="1" applyBorder="1" applyAlignment="1">
      <alignment/>
    </xf>
    <xf numFmtId="0" fontId="36" fillId="25" borderId="177" xfId="0" applyFont="1" applyFill="1" applyBorder="1" applyAlignment="1">
      <alignment/>
    </xf>
    <xf numFmtId="1" fontId="31" fillId="25" borderId="177" xfId="0" applyNumberFormat="1" applyFont="1" applyFill="1" applyBorder="1" applyAlignment="1">
      <alignment/>
    </xf>
    <xf numFmtId="0" fontId="36" fillId="25" borderId="146" xfId="0" applyFont="1" applyFill="1" applyBorder="1" applyAlignment="1">
      <alignment/>
    </xf>
    <xf numFmtId="1" fontId="31" fillId="25" borderId="116" xfId="0" applyNumberFormat="1" applyFont="1" applyFill="1" applyBorder="1" applyAlignment="1">
      <alignment/>
    </xf>
    <xf numFmtId="0" fontId="36" fillId="25" borderId="116" xfId="0" applyFont="1" applyFill="1" applyBorder="1" applyAlignment="1">
      <alignment/>
    </xf>
    <xf numFmtId="0" fontId="31" fillId="25" borderId="116" xfId="0" applyFont="1" applyFill="1" applyBorder="1" applyAlignment="1">
      <alignment/>
    </xf>
    <xf numFmtId="1" fontId="36" fillId="25" borderId="116" xfId="0" applyNumberFormat="1" applyFont="1" applyFill="1" applyBorder="1" applyAlignment="1">
      <alignment/>
    </xf>
    <xf numFmtId="0" fontId="36" fillId="0" borderId="175" xfId="0" applyFont="1" applyBorder="1" applyAlignment="1">
      <alignment/>
    </xf>
    <xf numFmtId="0" fontId="87" fillId="0" borderId="108" xfId="0" applyFont="1" applyBorder="1" applyAlignment="1">
      <alignment horizontal="center" vertical="top" wrapText="1"/>
    </xf>
    <xf numFmtId="0" fontId="87" fillId="0" borderId="178" xfId="0" applyFont="1" applyBorder="1" applyAlignment="1">
      <alignment horizontal="center" vertical="top" wrapText="1"/>
    </xf>
    <xf numFmtId="0" fontId="87" fillId="0" borderId="178" xfId="0" applyFont="1" applyFill="1" applyBorder="1" applyAlignment="1">
      <alignment horizontal="center" vertical="top" wrapText="1"/>
    </xf>
    <xf numFmtId="0" fontId="87" fillId="0" borderId="108" xfId="0" applyFont="1" applyFill="1" applyBorder="1" applyAlignment="1">
      <alignment horizontal="center" vertical="top" wrapText="1"/>
    </xf>
    <xf numFmtId="4" fontId="38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externalLink" Target="externalLinks/externalLink6.xml" /><Relationship Id="rId29" Type="http://schemas.openxmlformats.org/officeDocument/2006/relationships/externalLink" Target="externalLinks/externalLink7.xml" /><Relationship Id="rId30" Type="http://schemas.openxmlformats.org/officeDocument/2006/relationships/externalLink" Target="externalLinks/externalLink8.xml" /><Relationship Id="rId31" Type="http://schemas.openxmlformats.org/officeDocument/2006/relationships/externalLink" Target="externalLinks/externalLink9.xml" /><Relationship Id="rId3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2152650</xdr:colOff>
      <xdr:row>29</xdr:row>
      <xdr:rowOff>76200</xdr:rowOff>
    </xdr:from>
    <xdr:to>
      <xdr:col>0</xdr:col>
      <xdr:colOff>2152650</xdr:colOff>
      <xdr:row>34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152650" y="4981575"/>
          <a:ext cx="0" cy="742950"/>
        </a:xfrm>
        <a:custGeom>
          <a:pathLst>
            <a:path h="21600" w="21600">
              <a:moveTo>
                <a:pt x="15429" y="0"/>
              </a:moveTo>
              <a:lnTo>
                <a:pt x="9257" y="6171"/>
              </a:lnTo>
              <a:lnTo>
                <a:pt x="12343" y="6171"/>
              </a:lnTo>
              <a:lnTo>
                <a:pt x="12343" y="12343"/>
              </a:lnTo>
              <a:lnTo>
                <a:pt x="6171" y="12343"/>
              </a:lnTo>
              <a:lnTo>
                <a:pt x="6171" y="9257"/>
              </a:lnTo>
              <a:lnTo>
                <a:pt x="0" y="15429"/>
              </a:lnTo>
              <a:lnTo>
                <a:pt x="6171" y="21600"/>
              </a:lnTo>
              <a:lnTo>
                <a:pt x="6171" y="18514"/>
              </a:lnTo>
              <a:lnTo>
                <a:pt x="18514" y="18514"/>
              </a:lnTo>
              <a:lnTo>
                <a:pt x="18514" y="6171"/>
              </a:lnTo>
              <a:lnTo>
                <a:pt x="21600" y="6171"/>
              </a:lnTo>
              <a:lnTo>
                <a:pt x="15429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2152650</xdr:colOff>
      <xdr:row>29</xdr:row>
      <xdr:rowOff>76200</xdr:rowOff>
    </xdr:from>
    <xdr:to>
      <xdr:col>0</xdr:col>
      <xdr:colOff>2152650</xdr:colOff>
      <xdr:row>34</xdr:row>
      <xdr:rowOff>0</xdr:rowOff>
    </xdr:to>
    <xdr:sp>
      <xdr:nvSpPr>
        <xdr:cNvPr id="2" name="AutoShape 4"/>
        <xdr:cNvSpPr>
          <a:spLocks/>
        </xdr:cNvSpPr>
      </xdr:nvSpPr>
      <xdr:spPr>
        <a:xfrm>
          <a:off x="2152650" y="4981575"/>
          <a:ext cx="0" cy="742950"/>
        </a:xfrm>
        <a:custGeom>
          <a:pathLst>
            <a:path h="21600" w="21600">
              <a:moveTo>
                <a:pt x="15429" y="0"/>
              </a:moveTo>
              <a:lnTo>
                <a:pt x="9257" y="6171"/>
              </a:lnTo>
              <a:lnTo>
                <a:pt x="12343" y="6171"/>
              </a:lnTo>
              <a:lnTo>
                <a:pt x="12343" y="12343"/>
              </a:lnTo>
              <a:lnTo>
                <a:pt x="6171" y="12343"/>
              </a:lnTo>
              <a:lnTo>
                <a:pt x="6171" y="9257"/>
              </a:lnTo>
              <a:lnTo>
                <a:pt x="0" y="15429"/>
              </a:lnTo>
              <a:lnTo>
                <a:pt x="6171" y="21600"/>
              </a:lnTo>
              <a:lnTo>
                <a:pt x="6171" y="18514"/>
              </a:lnTo>
              <a:lnTo>
                <a:pt x="18514" y="18514"/>
              </a:lnTo>
              <a:lnTo>
                <a:pt x="18514" y="6171"/>
              </a:lnTo>
              <a:lnTo>
                <a:pt x="21600" y="6171"/>
              </a:lnTo>
              <a:lnTo>
                <a:pt x="15429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0.10\ivpenzugy\K&#233;pvisel&#337;-test&#252;let%20anyagai%20nyilv&#225;nos\2011\2011_02_25\RENDELETEK\P&#233;nz&#252;gyi%20Iroda\2009%20&#233;vi%20tervez&#233;s\kiad&#225;s012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0.10\ivpenzugy\K&#233;pvisel&#337;-test&#252;let%20anyagai%20nyilv&#225;nos\2011\2011_02_25\RENDELETEK\07_%20mell%20_3%20M&#225;solat%20eredetijeKiad&#225;s%20&#246;ssz%202011%20&#233;vi%20k&#246;lts&#233;gvet&#233;s%203.%20mel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0.10\ivpenzugy\K&#233;pvisel&#337;-test&#252;let%20anyagai%20nyilv&#225;nos\2011\2011_02_25\RENDELETEK\K&#233;pvisel&#337;-test&#252;let%20anyagai\Testulet%20nyilvanos\2009.%20&#233;vi%20k&#233;pvisel&#337;-test&#252;let%20nyilv&#225;nos%20jegyz&#337;k&#246;nyvei,%20anyagai\2009.%2002.%2027\RENDELETEK\bev&#233;teli&#246;sszjav0229v&#233;gleg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&#225;solat%20eredetijeBev&#233;tel%20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Bev&#233;tel%20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K&#233;pvisel&#337;-test&#252;let%20anyagai%20nyilv&#225;nos\2013\2013_02_22_rk\RENDELET\Bev&#233;tel%20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05_mell4_bevetel_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K&#233;pvisel&#337;-test&#252;let%20anyagai%20nyilv&#225;nos\2013\2013_02_22_rk\RENDELET\kiad&#225;s201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03_mell2_bevetel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érleg"/>
      <sheetName val="polgármesteri hivatal"/>
      <sheetName val="katolikus iskolának átadás"/>
      <sheetName val="teljes kiadás"/>
      <sheetName val="beruházás és felh. célú átadás"/>
      <sheetName val="felújítások"/>
      <sheetName val="céltARTALÉK"/>
      <sheetName val="MŰKÖDÉSI"/>
      <sheetName val="pénzeszkö átadás"/>
      <sheetName val="intézmények támogatása"/>
      <sheetName val="címrend szerint"/>
      <sheetName val="EU támogatásos beruházás"/>
      <sheetName val="előirányzat felh"/>
      <sheetName val="gördülő"/>
      <sheetName val="kötelezettségvállalás"/>
      <sheetName val="Munka16"/>
    </sheetNames>
    <sheetDataSet>
      <sheetData sheetId="3">
        <row r="30">
          <cell r="F30">
            <v>95976</v>
          </cell>
          <cell r="K30">
            <v>2964226.1774999998</v>
          </cell>
        </row>
      </sheetData>
      <sheetData sheetId="7">
        <row r="31">
          <cell r="E31">
            <v>762074</v>
          </cell>
          <cell r="H31">
            <v>223346.14</v>
          </cell>
          <cell r="K31">
            <v>631123.24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érleg"/>
      <sheetName val="polgármesteri hivata2010"/>
      <sheetName val="katolikus iskolának átadás2010"/>
      <sheetName val="teljes kiadás"/>
      <sheetName val="beruházás és felh. célú átadás"/>
      <sheetName val="felújítások"/>
      <sheetName val="céltARTALÉK"/>
      <sheetName val="MŰKÖDÉSI"/>
      <sheetName val="pénzeszkö átadás2011"/>
      <sheetName val="intézmények támogatása"/>
      <sheetName val="címrend szerint"/>
      <sheetName val="előirányzat felh"/>
      <sheetName val="likviditási terv"/>
      <sheetName val="gördülő"/>
      <sheetName val="kötelezettségvállalás"/>
      <sheetName val="leader Pályázat"/>
      <sheetName val="városközpont"/>
      <sheetName val="közvetett támogatás"/>
      <sheetName val="intézményi társulás"/>
    </sheetNames>
    <sheetDataSet>
      <sheetData sheetId="3">
        <row r="30">
          <cell r="K30">
            <v>2645003.5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átvett eszköz"/>
      <sheetName val="Lórév hozzájárulása"/>
      <sheetName val="egyéb sajátos bevétel"/>
      <sheetName val="bevételi összesen"/>
      <sheetName val="állami támogatások"/>
      <sheetName val="hatósági j és egyéb"/>
      <sheetName val="szja kiegészítés"/>
      <sheetName val="létszám"/>
    </sheetNames>
    <sheetDataSet>
      <sheetData sheetId="3">
        <row r="55">
          <cell r="U55">
            <v>3180662.5696666664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vételi összesen"/>
      <sheetName val="állami támogatások2014"/>
      <sheetName val="hatósági j és egyéb2013"/>
      <sheetName val="átvett eszköz"/>
      <sheetName val="egyéb sajátos bevétel"/>
      <sheetName val="létszámok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evételi összesen"/>
      <sheetName val="állami támogatások2014"/>
      <sheetName val="hatósági j és egyéb2014"/>
      <sheetName val="átvett eszköz"/>
      <sheetName val="egyéb sajátos bevétel"/>
      <sheetName val="létszámok"/>
    </sheetNames>
    <sheetDataSet>
      <sheetData sheetId="0">
        <row r="29">
          <cell r="Q29">
            <v>12747</v>
          </cell>
        </row>
        <row r="38">
          <cell r="Q38">
            <v>918123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evételi összesen"/>
      <sheetName val="állami támogatások2013"/>
      <sheetName val="hatósági j és egyéb2013"/>
      <sheetName val="átvett eszköz"/>
      <sheetName val="Lórév téríti"/>
      <sheetName val="egyéb sajátos bevétel"/>
      <sheetName val="létszámok"/>
    </sheetNames>
    <sheetDataSet>
      <sheetData sheetId="0">
        <row r="55">
          <cell r="J55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evételi összesen"/>
      <sheetName val="állami támogatások2014"/>
      <sheetName val="hatósági j és egyéb2014"/>
      <sheetName val="átvett eszköz"/>
      <sheetName val="egyéb sajátos bevétel"/>
      <sheetName val="létszámok"/>
    </sheetNames>
    <sheetDataSet>
      <sheetData sheetId="0">
        <row r="55">
          <cell r="C55">
            <v>16358</v>
          </cell>
          <cell r="E55">
            <v>3429</v>
          </cell>
          <cell r="F55">
            <v>1049</v>
          </cell>
          <cell r="I55">
            <v>1702</v>
          </cell>
          <cell r="J55">
            <v>72651</v>
          </cell>
          <cell r="K55">
            <v>7219</v>
          </cell>
          <cell r="L55">
            <v>7165</v>
          </cell>
          <cell r="N55">
            <v>36405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érleg"/>
      <sheetName val="mérleg előzőévek"/>
      <sheetName val="teljes kiadás"/>
      <sheetName val="MŰKÖDÉSI"/>
      <sheetName val="önkormányzat"/>
      <sheetName val="címrend szerinti támogatás"/>
      <sheetName val="céltARTALÉK"/>
      <sheetName val="önkormányzati támogatás"/>
      <sheetName val="beruházás és felh. célú átadás"/>
      <sheetName val="pénzeszkö átadás2012"/>
      <sheetName val="felújítások"/>
      <sheetName val="akadálymentes"/>
      <sheetName val="levegőt"/>
      <sheetName val="vízminőség"/>
      <sheetName val="finansz"/>
      <sheetName val="adósságot keletkeztet"/>
      <sheetName val="gördülő tervezés"/>
      <sheetName val="közvetett"/>
      <sheetName val="előirányzat"/>
      <sheetName val="likviditás"/>
      <sheetName val="kötelezettség válallások"/>
      <sheetName val="adósságot keletkeztetés határa"/>
      <sheetName val="Munka1"/>
    </sheetNames>
    <sheetDataSet>
      <sheetData sheetId="0">
        <row r="32">
          <cell r="F32">
            <v>32950</v>
          </cell>
        </row>
        <row r="37">
          <cell r="F37">
            <v>3100</v>
          </cell>
        </row>
        <row r="53">
          <cell r="F53">
            <v>627949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evételi összesen"/>
      <sheetName val="állami támogatások2014"/>
      <sheetName val="hatósági j és egyéb2014"/>
      <sheetName val="átvett eszköz"/>
      <sheetName val="egyéb sajátos bevétel"/>
      <sheetName val="létszámok"/>
    </sheetNames>
    <sheetDataSet>
      <sheetData sheetId="0">
        <row r="9">
          <cell r="Q9">
            <v>185204</v>
          </cell>
        </row>
        <row r="16">
          <cell r="Q16">
            <v>403100</v>
          </cell>
        </row>
        <row r="31">
          <cell r="Q31">
            <v>678422.9456666666</v>
          </cell>
        </row>
        <row r="36">
          <cell r="Q36">
            <v>305080</v>
          </cell>
        </row>
        <row r="55">
          <cell r="Q55">
            <v>2609947.9456666666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2"/>
  <sheetViews>
    <sheetView zoomScalePageLayoutView="0" workbookViewId="0" topLeftCell="A27">
      <selection activeCell="F62" sqref="F62"/>
    </sheetView>
  </sheetViews>
  <sheetFormatPr defaultColWidth="10.8515625" defaultRowHeight="12.75"/>
  <cols>
    <col min="1" max="1" width="11.57421875" style="0" customWidth="1"/>
    <col min="2" max="2" width="13.28125" style="0" customWidth="1"/>
    <col min="3" max="3" width="26.140625" style="0" customWidth="1"/>
    <col min="4" max="4" width="11.57421875" style="0" customWidth="1"/>
    <col min="5" max="5" width="7.8515625" style="0" hidden="1" customWidth="1"/>
    <col min="6" max="6" width="18.28125" style="110" customWidth="1"/>
    <col min="7" max="8" width="10.8515625" style="0" hidden="1" customWidth="1"/>
    <col min="9" max="9" width="5.140625" style="0" hidden="1" customWidth="1"/>
    <col min="10" max="10" width="9.28125" style="259" hidden="1" customWidth="1"/>
    <col min="11" max="11" width="10.8515625" style="0" hidden="1" customWidth="1"/>
    <col min="12" max="12" width="3.57421875" style="0" hidden="1" customWidth="1"/>
    <col min="13" max="13" width="10.8515625" style="0" hidden="1" customWidth="1"/>
    <col min="14" max="14" width="9.00390625" style="0" hidden="1" customWidth="1"/>
    <col min="15" max="15" width="10.8515625" style="0" hidden="1" customWidth="1"/>
    <col min="16" max="16" width="4.140625" style="0" hidden="1" customWidth="1"/>
    <col min="17" max="22" width="10.8515625" style="0" hidden="1" customWidth="1"/>
    <col min="23" max="33" width="0" style="0" hidden="1" customWidth="1"/>
    <col min="34" max="34" width="0" style="59" hidden="1" customWidth="1"/>
    <col min="35" max="43" width="0" style="0" hidden="1" customWidth="1"/>
    <col min="44" max="44" width="20.7109375" style="692" hidden="1" customWidth="1"/>
  </cols>
  <sheetData>
    <row r="1" spans="1:6" ht="15">
      <c r="A1" s="15" t="s">
        <v>4</v>
      </c>
      <c r="B1" s="15"/>
      <c r="C1" s="258"/>
      <c r="D1" s="64"/>
      <c r="E1" s="64"/>
      <c r="F1" s="335" t="s">
        <v>278</v>
      </c>
    </row>
    <row r="2" spans="1:6" ht="15">
      <c r="A2" s="15"/>
      <c r="B2" s="258" t="s">
        <v>367</v>
      </c>
      <c r="C2" s="64"/>
      <c r="D2" s="64"/>
      <c r="E2" s="64"/>
      <c r="F2" s="337"/>
    </row>
    <row r="3" spans="1:6" ht="16.5" thickBot="1">
      <c r="A3" s="260"/>
      <c r="B3" s="260"/>
      <c r="C3" s="260"/>
      <c r="D3" s="261"/>
      <c r="E3" s="261"/>
      <c r="F3" s="513"/>
    </row>
    <row r="4" spans="1:44" ht="13.5" thickBot="1">
      <c r="A4" s="262"/>
      <c r="B4" s="263"/>
      <c r="C4" s="264" t="s">
        <v>279</v>
      </c>
      <c r="D4" s="264"/>
      <c r="E4" s="92"/>
      <c r="F4" s="590">
        <v>2014</v>
      </c>
      <c r="AH4" s="59" t="s">
        <v>338</v>
      </c>
      <c r="AI4" t="s">
        <v>182</v>
      </c>
      <c r="AP4" s="590">
        <v>2013</v>
      </c>
      <c r="AR4" s="695" t="s">
        <v>442</v>
      </c>
    </row>
    <row r="5" spans="1:42" ht="16.5" thickBot="1">
      <c r="A5" s="265" t="s">
        <v>280</v>
      </c>
      <c r="B5" s="266"/>
      <c r="C5" s="266"/>
      <c r="D5" s="267"/>
      <c r="E5" s="268" t="s">
        <v>281</v>
      </c>
      <c r="F5" s="591" t="s">
        <v>282</v>
      </c>
      <c r="AH5" s="59" t="s">
        <v>282</v>
      </c>
      <c r="AK5" t="s">
        <v>339</v>
      </c>
      <c r="AP5" s="591" t="s">
        <v>282</v>
      </c>
    </row>
    <row r="6" spans="1:44" ht="14.25">
      <c r="A6" s="269" t="s">
        <v>283</v>
      </c>
      <c r="B6" s="270"/>
      <c r="C6" s="270"/>
      <c r="D6" s="270"/>
      <c r="E6" s="271"/>
      <c r="F6" s="592">
        <f>'[9]bevételi összesen'!$Q$9</f>
        <v>185204</v>
      </c>
      <c r="I6">
        <v>108637</v>
      </c>
      <c r="J6" s="259">
        <f>F6-I6</f>
        <v>76567</v>
      </c>
      <c r="K6" t="s">
        <v>284</v>
      </c>
      <c r="L6">
        <f>F6/I6</f>
        <v>1.7047967083038007</v>
      </c>
      <c r="AH6" s="59">
        <v>174734</v>
      </c>
      <c r="AI6" s="59">
        <f>F6-AH6</f>
        <v>10470</v>
      </c>
      <c r="AK6">
        <v>146533</v>
      </c>
      <c r="AL6" s="59">
        <f>F6-104257</f>
        <v>80947</v>
      </c>
      <c r="AP6" s="592">
        <v>167998</v>
      </c>
      <c r="AQ6" s="59">
        <f>F6-AP6</f>
        <v>17206</v>
      </c>
      <c r="AR6" s="692" t="s">
        <v>446</v>
      </c>
    </row>
    <row r="7" spans="1:44" ht="14.25">
      <c r="A7" s="272" t="s">
        <v>285</v>
      </c>
      <c r="B7" s="273"/>
      <c r="C7" s="273"/>
      <c r="D7" s="273"/>
      <c r="E7" s="274"/>
      <c r="F7" s="593">
        <f>'[9]bevételi összesen'!$Q$16</f>
        <v>403100</v>
      </c>
      <c r="I7">
        <v>304828</v>
      </c>
      <c r="J7" s="259">
        <f>F7-I7</f>
        <v>98272</v>
      </c>
      <c r="K7" t="s">
        <v>286</v>
      </c>
      <c r="L7">
        <f>F7/I7</f>
        <v>1.3223850827351817</v>
      </c>
      <c r="AH7" s="59">
        <v>643222.37</v>
      </c>
      <c r="AI7" s="59">
        <f>F7-AH7</f>
        <v>-240122.37</v>
      </c>
      <c r="AK7">
        <v>660592</v>
      </c>
      <c r="AL7" s="59">
        <f>F7-369539</f>
        <v>33561</v>
      </c>
      <c r="AP7" s="593">
        <v>382539</v>
      </c>
      <c r="AQ7" s="59">
        <f>F7-AP7</f>
        <v>20561</v>
      </c>
      <c r="AR7" s="692" t="s">
        <v>430</v>
      </c>
    </row>
    <row r="8" spans="1:44" ht="25.5">
      <c r="A8" s="275" t="s">
        <v>287</v>
      </c>
      <c r="B8" s="276"/>
      <c r="C8" s="276"/>
      <c r="D8" s="276"/>
      <c r="E8" s="277"/>
      <c r="F8" s="594">
        <f>'[9]bevételi összesen'!$Q$31</f>
        <v>678422.9456666666</v>
      </c>
      <c r="J8" s="259">
        <f>F8-I8</f>
        <v>678422.9456666666</v>
      </c>
      <c r="L8" t="e">
        <f>F8/I8</f>
        <v>#DIV/0!</v>
      </c>
      <c r="AL8" s="59">
        <f>F8-539678</f>
        <v>138744.9456666666</v>
      </c>
      <c r="AP8" s="594">
        <v>547578.029645</v>
      </c>
      <c r="AQ8" s="59">
        <f>F8-AP8</f>
        <v>130844.9160216666</v>
      </c>
      <c r="AR8" s="692" t="s">
        <v>429</v>
      </c>
    </row>
    <row r="9" spans="1:42" ht="14.25">
      <c r="A9" s="269" t="s">
        <v>288</v>
      </c>
      <c r="B9" s="270"/>
      <c r="C9" s="270"/>
      <c r="D9" s="270"/>
      <c r="E9" s="271"/>
      <c r="F9" s="595"/>
      <c r="I9">
        <v>801994</v>
      </c>
      <c r="J9" s="259">
        <f>F9-I9</f>
        <v>-801994</v>
      </c>
      <c r="L9">
        <f>F9/I9</f>
        <v>0</v>
      </c>
      <c r="AH9" s="59">
        <v>491822.878</v>
      </c>
      <c r="AI9" s="59">
        <f>F8-AH9</f>
        <v>186600.06766666658</v>
      </c>
      <c r="AP9" s="595"/>
    </row>
    <row r="10" spans="1:44" ht="51">
      <c r="A10" s="269" t="s">
        <v>289</v>
      </c>
      <c r="B10" s="270"/>
      <c r="C10" s="270"/>
      <c r="D10" s="270"/>
      <c r="E10" s="271"/>
      <c r="F10" s="596">
        <f>'[9]bevételi összesen'!$Q$36</f>
        <v>305080</v>
      </c>
      <c r="I10">
        <v>336649</v>
      </c>
      <c r="J10" s="259">
        <f>F10-I10</f>
        <v>-31569</v>
      </c>
      <c r="L10">
        <f>F10/I10</f>
        <v>0.906225772243494</v>
      </c>
      <c r="AH10" s="59">
        <v>323579.5</v>
      </c>
      <c r="AI10" s="59">
        <f>F10-AH10</f>
        <v>-18499.5</v>
      </c>
      <c r="AK10">
        <v>312621</v>
      </c>
      <c r="AL10" s="59">
        <f>F10-276696</f>
        <v>28384</v>
      </c>
      <c r="AP10" s="596">
        <v>307380.3961</v>
      </c>
      <c r="AQ10" s="59">
        <f>F10-AP10</f>
        <v>-2300.3961000000127</v>
      </c>
      <c r="AR10" s="692" t="s">
        <v>443</v>
      </c>
    </row>
    <row r="11" spans="1:44" ht="38.25">
      <c r="A11" s="269" t="s">
        <v>290</v>
      </c>
      <c r="B11" s="270"/>
      <c r="C11" s="270"/>
      <c r="D11" s="270"/>
      <c r="E11" s="271"/>
      <c r="F11" s="595">
        <f>'[4]bevételi összesen'!$S$39</f>
        <v>0</v>
      </c>
      <c r="AH11" s="59">
        <v>0</v>
      </c>
      <c r="AL11" s="59">
        <f>F11</f>
        <v>0</v>
      </c>
      <c r="AP11" s="595">
        <v>10000</v>
      </c>
      <c r="AQ11" s="59">
        <f>F11-AP11</f>
        <v>-10000</v>
      </c>
      <c r="AR11" s="692" t="s">
        <v>441</v>
      </c>
    </row>
    <row r="12" spans="1:42" ht="14.25">
      <c r="A12" s="269" t="s">
        <v>291</v>
      </c>
      <c r="B12" s="270"/>
      <c r="C12" s="270"/>
      <c r="D12" s="270"/>
      <c r="E12" s="271"/>
      <c r="F12" s="596"/>
      <c r="AH12" s="59">
        <v>0</v>
      </c>
      <c r="AP12" s="596"/>
    </row>
    <row r="13" spans="1:42" ht="14.25">
      <c r="A13" s="269" t="s">
        <v>292</v>
      </c>
      <c r="B13" s="270"/>
      <c r="C13" s="270"/>
      <c r="D13" s="270"/>
      <c r="E13" s="271"/>
      <c r="F13" s="595"/>
      <c r="AP13" s="595"/>
    </row>
    <row r="14" spans="1:43" ht="15" thickBot="1">
      <c r="A14" s="269" t="s">
        <v>293</v>
      </c>
      <c r="B14" s="270"/>
      <c r="C14" s="270"/>
      <c r="D14" s="270"/>
      <c r="E14" s="271"/>
      <c r="F14" s="595">
        <v>19864</v>
      </c>
      <c r="I14">
        <v>17038</v>
      </c>
      <c r="J14" s="259">
        <f>F14-I14</f>
        <v>2826</v>
      </c>
      <c r="K14" t="s">
        <v>294</v>
      </c>
      <c r="L14">
        <f>F14/I14</f>
        <v>1.1658645380913253</v>
      </c>
      <c r="AH14" s="59">
        <v>22227</v>
      </c>
      <c r="AI14" s="59">
        <f>F14-AH14</f>
        <v>-2363</v>
      </c>
      <c r="AP14" s="595">
        <v>19067</v>
      </c>
      <c r="AQ14" s="59">
        <f>F14-AP14</f>
        <v>797</v>
      </c>
    </row>
    <row r="15" spans="1:43" ht="15.75" thickBot="1">
      <c r="A15" s="278" t="s">
        <v>295</v>
      </c>
      <c r="B15" s="279"/>
      <c r="C15" s="279"/>
      <c r="D15" s="279"/>
      <c r="E15" s="280"/>
      <c r="F15" s="597">
        <f>SUM(F6:F14)</f>
        <v>1591670.9456666666</v>
      </c>
      <c r="G15" s="59"/>
      <c r="I15" s="281">
        <f>SUM(I6:I14)</f>
        <v>1569146</v>
      </c>
      <c r="J15" s="259">
        <f>F15/I15</f>
        <v>1.0143549074889568</v>
      </c>
      <c r="L15">
        <f>F15/I15</f>
        <v>1.0143549074889568</v>
      </c>
      <c r="AH15" s="59">
        <v>1655585.7480000001</v>
      </c>
      <c r="AI15" s="59">
        <f>F15-AH15</f>
        <v>-63914.80233333353</v>
      </c>
      <c r="AL15" s="59">
        <f>1309237-F15</f>
        <v>-282433.9456666666</v>
      </c>
      <c r="AM15" s="59">
        <f>67073+AL15</f>
        <v>-215360.9456666666</v>
      </c>
      <c r="AP15" s="597">
        <v>1434562.4257450001</v>
      </c>
      <c r="AQ15" s="59">
        <f>F15-AP15</f>
        <v>157108.51992166648</v>
      </c>
    </row>
    <row r="16" spans="1:42" ht="13.5" hidden="1" thickBot="1">
      <c r="A16" s="282"/>
      <c r="B16" s="92"/>
      <c r="C16" s="92"/>
      <c r="D16" s="92"/>
      <c r="E16" s="283"/>
      <c r="F16" s="598"/>
      <c r="AH16" s="59">
        <v>487</v>
      </c>
      <c r="AP16" s="598"/>
    </row>
    <row r="17" spans="1:42" ht="13.5" hidden="1" thickBot="1">
      <c r="A17" s="284"/>
      <c r="D17" s="285"/>
      <c r="E17" s="95"/>
      <c r="F17" s="599"/>
      <c r="AH17" s="59">
        <v>728</v>
      </c>
      <c r="AP17" s="599"/>
    </row>
    <row r="18" spans="1:42" ht="16.5" thickBot="1">
      <c r="A18" s="286"/>
      <c r="B18" s="287" t="s">
        <v>296</v>
      </c>
      <c r="C18" s="287"/>
      <c r="D18" s="264"/>
      <c r="E18" s="280"/>
      <c r="F18" s="600" t="s">
        <v>297</v>
      </c>
      <c r="AH18" s="59" t="s">
        <v>297</v>
      </c>
      <c r="AP18" s="600" t="s">
        <v>297</v>
      </c>
    </row>
    <row r="19" spans="1:44" ht="51">
      <c r="A19" s="269" t="s">
        <v>298</v>
      </c>
      <c r="B19" s="270"/>
      <c r="C19" s="270"/>
      <c r="D19" s="270"/>
      <c r="E19" s="288"/>
      <c r="F19" s="592">
        <f>MŰKÖDÉSI!E29</f>
        <v>450462</v>
      </c>
      <c r="G19" s="59">
        <f>F19-'[1]MŰKÖDÉSI'!E31</f>
        <v>-311612</v>
      </c>
      <c r="I19">
        <v>747329</v>
      </c>
      <c r="J19" s="259">
        <f>F19-I19</f>
        <v>-296867</v>
      </c>
      <c r="K19" t="s">
        <v>299</v>
      </c>
      <c r="L19">
        <f>F19/I19</f>
        <v>0.6027626386772091</v>
      </c>
      <c r="AH19" s="59">
        <v>768624</v>
      </c>
      <c r="AI19" s="59">
        <f>F19-AH19</f>
        <v>-318162</v>
      </c>
      <c r="AP19" s="592">
        <v>568213</v>
      </c>
      <c r="AQ19" s="59">
        <f>F19-AP19</f>
        <v>-117751</v>
      </c>
      <c r="AR19" s="692" t="s">
        <v>432</v>
      </c>
    </row>
    <row r="20" spans="1:44" ht="51">
      <c r="A20" s="269" t="s">
        <v>300</v>
      </c>
      <c r="B20" s="270"/>
      <c r="C20" s="270"/>
      <c r="D20" s="270"/>
      <c r="E20" s="288"/>
      <c r="F20" s="595">
        <f>MŰKÖDÉSI!H29</f>
        <v>115443</v>
      </c>
      <c r="G20" s="59">
        <f>'[1]MŰKÖDÉSI'!H31</f>
        <v>223346.14</v>
      </c>
      <c r="I20">
        <v>230249</v>
      </c>
      <c r="J20" s="259">
        <f>F20-I20</f>
        <v>-114806</v>
      </c>
      <c r="AH20" s="59">
        <v>187537</v>
      </c>
      <c r="AI20" s="59">
        <f>F20-AH20</f>
        <v>-72094</v>
      </c>
      <c r="AP20" s="595">
        <v>151186</v>
      </c>
      <c r="AQ20" s="59">
        <f>F20-AP20</f>
        <v>-35743</v>
      </c>
      <c r="AR20" s="692" t="s">
        <v>432</v>
      </c>
    </row>
    <row r="21" spans="1:43" ht="14.25">
      <c r="A21" s="269" t="s">
        <v>301</v>
      </c>
      <c r="B21" s="270"/>
      <c r="C21" s="270"/>
      <c r="D21" s="270"/>
      <c r="E21" s="288"/>
      <c r="F21" s="595">
        <f>MŰKÖDÉSI!K29</f>
        <v>544653</v>
      </c>
      <c r="G21" s="59">
        <f>'[1]MŰKÖDÉSI'!K31</f>
        <v>631123.24</v>
      </c>
      <c r="H21" s="59">
        <f>G21-F21</f>
        <v>86470.23999999999</v>
      </c>
      <c r="I21" s="59">
        <v>445868</v>
      </c>
      <c r="J21" s="259">
        <f>F21-I21</f>
        <v>98785</v>
      </c>
      <c r="K21" t="s">
        <v>302</v>
      </c>
      <c r="L21">
        <f>F21/I21</f>
        <v>1.2215566041967578</v>
      </c>
      <c r="AH21" s="59">
        <v>550051</v>
      </c>
      <c r="AI21" s="59">
        <f>F21-AH21</f>
        <v>-5398</v>
      </c>
      <c r="AP21" s="595">
        <v>541729.99</v>
      </c>
      <c r="AQ21" s="59">
        <f>F21-AP21</f>
        <v>2923.0100000000093</v>
      </c>
    </row>
    <row r="22" spans="1:44" ht="38.25">
      <c r="A22" s="269" t="s">
        <v>303</v>
      </c>
      <c r="B22" s="270"/>
      <c r="C22" s="270"/>
      <c r="D22" s="270"/>
      <c r="E22" s="289"/>
      <c r="F22" s="596">
        <f>'teljes kiadás'!F29</f>
        <v>408592</v>
      </c>
      <c r="G22" s="59">
        <f>F22-'[1]teljes kiadás'!F30</f>
        <v>312616</v>
      </c>
      <c r="H22" s="59">
        <f>H21-5548</f>
        <v>80922.23999999999</v>
      </c>
      <c r="I22">
        <v>104715</v>
      </c>
      <c r="J22" s="259">
        <f>F22-I22</f>
        <v>303877</v>
      </c>
      <c r="K22" t="s">
        <v>304</v>
      </c>
      <c r="L22">
        <f>F22/I22</f>
        <v>3.9019433700997945</v>
      </c>
      <c r="AH22" s="59">
        <v>119304</v>
      </c>
      <c r="AI22" s="59">
        <f>F22-AH22</f>
        <v>289288</v>
      </c>
      <c r="AP22" s="596">
        <v>103767.5</v>
      </c>
      <c r="AQ22" s="59">
        <f>F22-AP22</f>
        <v>304824.5</v>
      </c>
      <c r="AR22" s="692" t="s">
        <v>431</v>
      </c>
    </row>
    <row r="23" spans="1:42" ht="14.25" customHeight="1">
      <c r="A23" s="269" t="s">
        <v>305</v>
      </c>
      <c r="B23" s="270"/>
      <c r="C23" s="270"/>
      <c r="D23" s="270"/>
      <c r="E23" s="290"/>
      <c r="F23" s="595"/>
      <c r="AP23" s="595"/>
    </row>
    <row r="24" spans="1:42" ht="14.25">
      <c r="A24" s="269" t="s">
        <v>306</v>
      </c>
      <c r="B24" s="270"/>
      <c r="C24" s="270"/>
      <c r="D24" s="270"/>
      <c r="E24" s="289"/>
      <c r="F24" s="596"/>
      <c r="AP24" s="596"/>
    </row>
    <row r="25" spans="1:42" ht="14.25">
      <c r="A25" s="269" t="s">
        <v>307</v>
      </c>
      <c r="B25" s="270"/>
      <c r="C25" s="270"/>
      <c r="D25" s="270"/>
      <c r="E25" s="288"/>
      <c r="F25" s="595"/>
      <c r="AP25" s="595"/>
    </row>
    <row r="26" spans="1:42" ht="17.25" customHeight="1">
      <c r="A26" s="269" t="s">
        <v>308</v>
      </c>
      <c r="B26" s="270"/>
      <c r="C26" s="270"/>
      <c r="D26" s="270"/>
      <c r="E26" s="290"/>
      <c r="F26" s="595"/>
      <c r="AH26" s="59">
        <v>0</v>
      </c>
      <c r="AP26" s="595"/>
    </row>
    <row r="27" spans="1:42" ht="14.25">
      <c r="A27" s="269" t="s">
        <v>309</v>
      </c>
      <c r="B27" s="270"/>
      <c r="C27" s="270"/>
      <c r="D27" s="270"/>
      <c r="E27" s="288"/>
      <c r="F27" s="595"/>
      <c r="AP27" s="595"/>
    </row>
    <row r="28" spans="1:43" ht="15" thickBot="1">
      <c r="A28" s="269" t="s">
        <v>310</v>
      </c>
      <c r="B28" s="270"/>
      <c r="C28" s="270"/>
      <c r="D28" s="270"/>
      <c r="E28" s="288"/>
      <c r="F28" s="595">
        <f>céltARTALÉK!B15+'teljes kiadás'!I9</f>
        <v>23344</v>
      </c>
      <c r="I28">
        <v>43085</v>
      </c>
      <c r="J28" s="259">
        <f>F28-I28</f>
        <v>-19741</v>
      </c>
      <c r="K28" t="s">
        <v>311</v>
      </c>
      <c r="L28">
        <f>F28/I28</f>
        <v>0.5418126958338169</v>
      </c>
      <c r="AH28" s="59">
        <v>30070</v>
      </c>
      <c r="AI28" s="59">
        <f>F28-AH28</f>
        <v>-6726</v>
      </c>
      <c r="AP28" s="595">
        <v>35666</v>
      </c>
      <c r="AQ28" s="59">
        <f>F28-AP28</f>
        <v>-12322</v>
      </c>
    </row>
    <row r="29" spans="1:43" ht="15.75" thickBot="1">
      <c r="A29" s="278" t="s">
        <v>312</v>
      </c>
      <c r="B29" s="291"/>
      <c r="C29" s="291"/>
      <c r="D29" s="291"/>
      <c r="E29" s="292"/>
      <c r="F29" s="597">
        <f>SUM(F19:F28)</f>
        <v>1542494</v>
      </c>
      <c r="G29" s="59"/>
      <c r="I29" s="281">
        <f>SUM(I19:I28)</f>
        <v>1571246</v>
      </c>
      <c r="J29" s="259">
        <f>F29/I29</f>
        <v>0.9817011467332295</v>
      </c>
      <c r="L29">
        <f>F29/I29</f>
        <v>0.9817011467332295</v>
      </c>
      <c r="AH29" s="59">
        <v>1655586</v>
      </c>
      <c r="AI29" s="59">
        <f>F29-AH29</f>
        <v>-113092</v>
      </c>
      <c r="AL29" s="59">
        <f>F29-1387461</f>
        <v>155033</v>
      </c>
      <c r="AM29" s="59">
        <f>AL29+4381</f>
        <v>159414</v>
      </c>
      <c r="AP29" s="597">
        <v>1400562.49</v>
      </c>
      <c r="AQ29" s="59">
        <f>F29-AP29</f>
        <v>141931.51</v>
      </c>
    </row>
    <row r="30" spans="1:43" ht="15.75" thickBot="1">
      <c r="A30" s="419" t="s">
        <v>313</v>
      </c>
      <c r="B30" s="425"/>
      <c r="C30" s="425"/>
      <c r="D30" s="425"/>
      <c r="E30" s="425"/>
      <c r="F30" s="601">
        <f>F15-F29</f>
        <v>49176.94566666661</v>
      </c>
      <c r="AH30" s="59">
        <v>487</v>
      </c>
      <c r="AL30" s="348"/>
      <c r="AM30" s="349"/>
      <c r="AP30" s="601">
        <v>33999.93574500014</v>
      </c>
      <c r="AQ30" s="59">
        <f>AP30-F30</f>
        <v>-15177.009921666468</v>
      </c>
    </row>
    <row r="31" spans="1:42" ht="16.5" thickBot="1">
      <c r="A31" s="262"/>
      <c r="B31" s="293"/>
      <c r="C31" s="294" t="s">
        <v>314</v>
      </c>
      <c r="D31" s="295"/>
      <c r="E31" s="296"/>
      <c r="F31" s="602" t="s">
        <v>297</v>
      </c>
      <c r="AH31" s="59" t="s">
        <v>297</v>
      </c>
      <c r="AL31" s="350"/>
      <c r="AM31" s="351"/>
      <c r="AP31" s="602" t="s">
        <v>297</v>
      </c>
    </row>
    <row r="32" spans="1:43" ht="14.25">
      <c r="A32" s="297" t="s">
        <v>315</v>
      </c>
      <c r="B32" s="298"/>
      <c r="C32" s="298"/>
      <c r="D32" s="298"/>
      <c r="E32" s="299"/>
      <c r="F32" s="603">
        <v>9263</v>
      </c>
      <c r="AH32" s="59">
        <v>39825</v>
      </c>
      <c r="AI32" s="59">
        <f>F32-AH32</f>
        <v>-30562</v>
      </c>
      <c r="AJ32">
        <v>20147</v>
      </c>
      <c r="AL32" s="350"/>
      <c r="AM32" s="351"/>
      <c r="AP32" s="603">
        <v>32950</v>
      </c>
      <c r="AQ32" s="59">
        <f aca="true" t="shared" si="0" ref="AQ32:AQ41">F32-AP32</f>
        <v>-23687</v>
      </c>
    </row>
    <row r="33" spans="1:43" ht="14.25">
      <c r="A33" s="269" t="s">
        <v>316</v>
      </c>
      <c r="B33" s="270"/>
      <c r="C33" s="270"/>
      <c r="D33" s="270"/>
      <c r="E33" s="300"/>
      <c r="F33" s="604">
        <f>'[5]bevételi összesen'!$Q$38</f>
        <v>918123</v>
      </c>
      <c r="AJ33">
        <v>7258</v>
      </c>
      <c r="AL33" s="352"/>
      <c r="AM33" s="353"/>
      <c r="AP33" s="604">
        <v>0</v>
      </c>
      <c r="AQ33" s="59">
        <f t="shared" si="0"/>
        <v>918123</v>
      </c>
    </row>
    <row r="34" spans="1:43" ht="14.25">
      <c r="A34" s="269" t="s">
        <v>317</v>
      </c>
      <c r="B34" s="270"/>
      <c r="C34" s="270"/>
      <c r="D34" s="270"/>
      <c r="E34" s="300"/>
      <c r="F34" s="604">
        <f>'[5]bevételi összesen'!$Q$29</f>
        <v>12747</v>
      </c>
      <c r="G34" s="59"/>
      <c r="AH34" s="59">
        <v>659363</v>
      </c>
      <c r="AP34" s="604">
        <v>222598</v>
      </c>
      <c r="AQ34" s="59">
        <f t="shared" si="0"/>
        <v>-209851</v>
      </c>
    </row>
    <row r="35" spans="1:43" ht="14.25">
      <c r="A35" s="269" t="s">
        <v>318</v>
      </c>
      <c r="B35" s="270"/>
      <c r="C35" s="270"/>
      <c r="D35" s="270"/>
      <c r="E35" s="300"/>
      <c r="F35" s="605"/>
      <c r="AH35" s="59">
        <v>0</v>
      </c>
      <c r="AP35" s="676"/>
      <c r="AQ35" s="59">
        <f t="shared" si="0"/>
        <v>0</v>
      </c>
    </row>
    <row r="36" spans="1:43" ht="14.25">
      <c r="A36" s="269" t="s">
        <v>341</v>
      </c>
      <c r="B36" s="270"/>
      <c r="C36" s="270"/>
      <c r="D36" s="270"/>
      <c r="E36" s="300"/>
      <c r="F36" s="604">
        <v>6600</v>
      </c>
      <c r="AH36" s="59">
        <v>0</v>
      </c>
      <c r="AP36" s="604">
        <v>14532</v>
      </c>
      <c r="AQ36" s="59">
        <f t="shared" si="0"/>
        <v>-7932</v>
      </c>
    </row>
    <row r="37" spans="1:43" ht="14.25">
      <c r="A37" s="269" t="s">
        <v>319</v>
      </c>
      <c r="B37" s="270"/>
      <c r="C37" s="270"/>
      <c r="D37" s="270"/>
      <c r="E37" s="300"/>
      <c r="F37" s="604">
        <v>3100</v>
      </c>
      <c r="AH37" s="59">
        <v>5000</v>
      </c>
      <c r="AI37" s="59">
        <f>F37-AH37</f>
        <v>-1900</v>
      </c>
      <c r="AP37" s="604">
        <v>3100</v>
      </c>
      <c r="AQ37" s="59">
        <f t="shared" si="0"/>
        <v>0</v>
      </c>
    </row>
    <row r="38" spans="1:43" ht="14.25">
      <c r="A38" s="269" t="s">
        <v>320</v>
      </c>
      <c r="B38" s="270"/>
      <c r="C38" s="270"/>
      <c r="D38" s="270"/>
      <c r="E38" s="300"/>
      <c r="F38" s="604">
        <v>57194</v>
      </c>
      <c r="AH38" s="59">
        <v>265230</v>
      </c>
      <c r="AI38" s="59">
        <f>F38-AH38</f>
        <v>-208036</v>
      </c>
      <c r="AP38" s="604">
        <v>207440</v>
      </c>
      <c r="AQ38" s="59">
        <f t="shared" si="0"/>
        <v>-150246</v>
      </c>
    </row>
    <row r="39" spans="1:43" ht="15" thickBot="1">
      <c r="A39" s="269" t="s">
        <v>321</v>
      </c>
      <c r="B39" s="270"/>
      <c r="C39" s="270"/>
      <c r="D39" s="270"/>
      <c r="E39" s="300"/>
      <c r="F39" s="604">
        <v>11250</v>
      </c>
      <c r="G39" s="59"/>
      <c r="U39" t="s">
        <v>322</v>
      </c>
      <c r="AH39" s="59">
        <v>20000</v>
      </c>
      <c r="AI39" s="59">
        <f>F39-AH39</f>
        <v>-8750</v>
      </c>
      <c r="AP39" s="604">
        <v>113329</v>
      </c>
      <c r="AQ39" s="59">
        <f t="shared" si="0"/>
        <v>-102079</v>
      </c>
    </row>
    <row r="40" spans="1:43" ht="13.5" thickBot="1">
      <c r="A40" s="301" t="s">
        <v>323</v>
      </c>
      <c r="B40" s="264"/>
      <c r="C40" s="264"/>
      <c r="D40" s="264"/>
      <c r="E40" s="264"/>
      <c r="F40" s="606">
        <f>SUM(F32:F39)</f>
        <v>1018277</v>
      </c>
      <c r="AH40" s="59">
        <v>989418</v>
      </c>
      <c r="AI40" s="59">
        <f>F40-AH40</f>
        <v>28859</v>
      </c>
      <c r="AK40" s="59"/>
      <c r="AP40" s="606">
        <v>593949</v>
      </c>
      <c r="AQ40" s="59">
        <f t="shared" si="0"/>
        <v>424328</v>
      </c>
    </row>
    <row r="41" spans="1:45" ht="13.5" thickBot="1">
      <c r="A41" s="301" t="s">
        <v>324</v>
      </c>
      <c r="B41" s="264"/>
      <c r="C41" s="264"/>
      <c r="D41" s="264"/>
      <c r="E41" s="264"/>
      <c r="F41" s="607">
        <f>F40+F15</f>
        <v>2609947.9456666666</v>
      </c>
      <c r="G41" s="59">
        <f>F41-F55</f>
        <v>-0.054333333391696215</v>
      </c>
      <c r="I41" s="59">
        <f>F41-'[3]bevételi összesen'!$U$55</f>
        <v>-570714.6239999998</v>
      </c>
      <c r="M41" s="59">
        <f>F41-F39-F14-F38</f>
        <v>2521639.9456666666</v>
      </c>
      <c r="S41">
        <f>F29/F41</f>
        <v>0.5910056568603311</v>
      </c>
      <c r="U41" s="59"/>
      <c r="W41" s="59">
        <f>F41-F38-F39-F14</f>
        <v>2521639.9456666666</v>
      </c>
      <c r="AH41" s="59">
        <v>2645003.748</v>
      </c>
      <c r="AI41" s="59">
        <f>F41-AH41</f>
        <v>-35055.80233333353</v>
      </c>
      <c r="AP41" s="607">
        <v>2028511.4257450001</v>
      </c>
      <c r="AQ41" s="59">
        <f t="shared" si="0"/>
        <v>581436.5199216665</v>
      </c>
      <c r="AS41" s="59">
        <f>F41-'[9]bevételi összesen'!$Q$55</f>
        <v>0</v>
      </c>
    </row>
    <row r="42" spans="1:43" ht="12.75">
      <c r="A42" s="16"/>
      <c r="B42" s="16"/>
      <c r="C42" s="16"/>
      <c r="D42" s="16"/>
      <c r="E42" s="16"/>
      <c r="F42" s="608">
        <f>'[4]bevételi összesen'!$S$55</f>
        <v>0</v>
      </c>
      <c r="AK42" s="59">
        <f>F42-F41</f>
        <v>-2609947.9456666666</v>
      </c>
      <c r="AL42" s="59"/>
      <c r="AP42" s="677"/>
      <c r="AQ42" s="59"/>
    </row>
    <row r="43" spans="1:42" ht="13.5" thickBot="1">
      <c r="A43" s="16"/>
      <c r="B43" s="16"/>
      <c r="C43" s="16"/>
      <c r="D43" s="16"/>
      <c r="E43" s="16"/>
      <c r="F43" s="609"/>
      <c r="AP43" s="257"/>
    </row>
    <row r="44" spans="1:42" ht="16.5" thickBot="1">
      <c r="A44" s="302"/>
      <c r="B44" s="303" t="s">
        <v>325</v>
      </c>
      <c r="C44" s="283"/>
      <c r="D44" s="283"/>
      <c r="E44" s="304"/>
      <c r="F44" s="610" t="s">
        <v>297</v>
      </c>
      <c r="AH44" s="59" t="s">
        <v>297</v>
      </c>
      <c r="AP44" s="610" t="s">
        <v>297</v>
      </c>
    </row>
    <row r="45" spans="1:43" ht="14.25">
      <c r="A45" s="297" t="s">
        <v>326</v>
      </c>
      <c r="B45" s="298"/>
      <c r="C45" s="298"/>
      <c r="D45" s="298"/>
      <c r="E45" s="305">
        <f>173014-28176-2152</f>
        <v>142686</v>
      </c>
      <c r="F45" s="611">
        <f>'beruházás és felh. célú átadás'!B41</f>
        <v>986009</v>
      </c>
      <c r="AH45" s="59">
        <v>800357.5</v>
      </c>
      <c r="AI45" s="59">
        <f>F45-AH45</f>
        <v>185651.5</v>
      </c>
      <c r="AP45" s="678">
        <v>498043</v>
      </c>
      <c r="AQ45" s="59">
        <f aca="true" t="shared" si="1" ref="AQ45:AQ56">F45-AP45</f>
        <v>487966</v>
      </c>
    </row>
    <row r="46" spans="1:43" ht="14.25">
      <c r="A46" s="269" t="s">
        <v>327</v>
      </c>
      <c r="B46" s="270"/>
      <c r="C46" s="270"/>
      <c r="D46" s="270"/>
      <c r="E46" s="306">
        <v>74070</v>
      </c>
      <c r="F46" s="612">
        <f>'felújítások (2)'!B13</f>
        <v>20500</v>
      </c>
      <c r="G46" s="59"/>
      <c r="AH46" s="59">
        <v>144749</v>
      </c>
      <c r="AI46" s="59">
        <f>F46-AH46</f>
        <v>-124249</v>
      </c>
      <c r="AP46" s="679">
        <v>34851</v>
      </c>
      <c r="AQ46" s="59">
        <f t="shared" si="1"/>
        <v>-14351</v>
      </c>
    </row>
    <row r="47" spans="1:43" ht="14.25">
      <c r="A47" s="269" t="s">
        <v>328</v>
      </c>
      <c r="B47" s="270"/>
      <c r="C47" s="270"/>
      <c r="D47" s="270"/>
      <c r="E47" s="307"/>
      <c r="F47" s="612"/>
      <c r="AH47" s="59">
        <v>0</v>
      </c>
      <c r="AP47" s="679"/>
      <c r="AQ47" s="59">
        <f t="shared" si="1"/>
        <v>0</v>
      </c>
    </row>
    <row r="48" spans="1:43" ht="14.25">
      <c r="A48" s="269" t="s">
        <v>329</v>
      </c>
      <c r="B48" s="270"/>
      <c r="C48" s="270"/>
      <c r="D48" s="270"/>
      <c r="E48" s="308">
        <v>28176</v>
      </c>
      <c r="F48" s="612">
        <v>0</v>
      </c>
      <c r="G48" s="59"/>
      <c r="AH48" s="59">
        <v>0</v>
      </c>
      <c r="AP48" s="679">
        <v>0</v>
      </c>
      <c r="AQ48" s="59">
        <f t="shared" si="1"/>
        <v>0</v>
      </c>
    </row>
    <row r="49" spans="1:43" ht="14.25">
      <c r="A49" s="269" t="s">
        <v>330</v>
      </c>
      <c r="B49" s="270"/>
      <c r="C49" s="270"/>
      <c r="D49" s="270"/>
      <c r="E49" s="306"/>
      <c r="F49" s="612">
        <v>0</v>
      </c>
      <c r="G49" s="59"/>
      <c r="AH49" s="59">
        <v>0</v>
      </c>
      <c r="AP49" s="679">
        <v>0</v>
      </c>
      <c r="AQ49" s="59">
        <f t="shared" si="1"/>
        <v>0</v>
      </c>
    </row>
    <row r="50" spans="1:43" ht="14.25">
      <c r="A50" s="269" t="s">
        <v>331</v>
      </c>
      <c r="B50" s="270"/>
      <c r="C50" s="270"/>
      <c r="D50" s="270"/>
      <c r="E50" s="307"/>
      <c r="F50" s="612">
        <f>'teljes kiadás'!J29</f>
        <v>0</v>
      </c>
      <c r="G50" s="59"/>
      <c r="AH50" s="59">
        <v>11633</v>
      </c>
      <c r="AI50" s="59">
        <f>F50-AH50</f>
        <v>-11633</v>
      </c>
      <c r="AP50" s="679">
        <v>13525</v>
      </c>
      <c r="AQ50" s="59">
        <f t="shared" si="1"/>
        <v>-13525</v>
      </c>
    </row>
    <row r="51" spans="1:43" ht="14.25">
      <c r="A51" s="269" t="s">
        <v>332</v>
      </c>
      <c r="B51" s="270"/>
      <c r="C51" s="270"/>
      <c r="D51" s="270"/>
      <c r="E51" s="308">
        <v>2152</v>
      </c>
      <c r="F51" s="612">
        <v>0</v>
      </c>
      <c r="AH51" s="59">
        <v>0</v>
      </c>
      <c r="AP51" s="679">
        <v>0</v>
      </c>
      <c r="AQ51" s="59">
        <f t="shared" si="1"/>
        <v>0</v>
      </c>
    </row>
    <row r="52" spans="1:43" ht="15" thickBot="1">
      <c r="A52" s="269" t="s">
        <v>333</v>
      </c>
      <c r="B52" s="270"/>
      <c r="C52" s="270"/>
      <c r="D52" s="270"/>
      <c r="E52" s="308">
        <v>77640</v>
      </c>
      <c r="F52" s="613">
        <f>céltARTALÉK!B22</f>
        <v>60945</v>
      </c>
      <c r="AH52" s="59">
        <v>32678</v>
      </c>
      <c r="AI52" s="59">
        <f>F52-AH52</f>
        <v>28267</v>
      </c>
      <c r="AP52" s="680">
        <v>81530</v>
      </c>
      <c r="AQ52" s="59">
        <f t="shared" si="1"/>
        <v>-20585</v>
      </c>
    </row>
    <row r="53" spans="1:43" ht="15.75" thickBot="1">
      <c r="A53" s="278" t="s">
        <v>334</v>
      </c>
      <c r="B53" s="279"/>
      <c r="C53" s="279"/>
      <c r="D53" s="279"/>
      <c r="E53" s="309">
        <f>E45+E46+E47+E48+E50+E51+E49+E52</f>
        <v>324724</v>
      </c>
      <c r="F53" s="614">
        <f>SUM(F45:F52)</f>
        <v>1067454</v>
      </c>
      <c r="G53" s="59"/>
      <c r="I53">
        <f>F53/F55</f>
        <v>0.4089943554430969</v>
      </c>
      <c r="AH53" s="59">
        <v>989417.5</v>
      </c>
      <c r="AI53" s="59">
        <f>F53-AH53</f>
        <v>78036.5</v>
      </c>
      <c r="AP53" s="681">
        <v>627949</v>
      </c>
      <c r="AQ53" s="59">
        <f t="shared" si="1"/>
        <v>439505</v>
      </c>
    </row>
    <row r="54" spans="42:43" ht="13.5" thickBot="1">
      <c r="AP54" s="117"/>
      <c r="AQ54" s="59">
        <f t="shared" si="1"/>
        <v>0</v>
      </c>
    </row>
    <row r="55" spans="1:43" ht="15.75" thickBot="1">
      <c r="A55" s="278" t="s">
        <v>335</v>
      </c>
      <c r="B55" s="279"/>
      <c r="C55" s="279"/>
      <c r="D55" s="291"/>
      <c r="E55" s="310">
        <v>0</v>
      </c>
      <c r="F55" s="615">
        <f>F53+F29</f>
        <v>2609948</v>
      </c>
      <c r="G55" s="59">
        <f>F55-'[1]teljes kiadás'!K30</f>
        <v>-354278.17749999976</v>
      </c>
      <c r="I55" s="59">
        <f>F55-'[2]teljes kiadás'!K30</f>
        <v>-35055.5</v>
      </c>
      <c r="M55" s="59">
        <f>F55-F50</f>
        <v>2609948</v>
      </c>
      <c r="W55" s="59">
        <f>F55-'[2]teljes kiadás'!K30</f>
        <v>-35055.5</v>
      </c>
      <c r="X55" s="59">
        <f>F55-F50</f>
        <v>2609948</v>
      </c>
      <c r="Y55" s="59">
        <f>F55-F50</f>
        <v>2609948</v>
      </c>
      <c r="AH55" s="59">
        <v>2645003.5</v>
      </c>
      <c r="AI55" s="59">
        <f>F55-AH55</f>
        <v>-35055.5</v>
      </c>
      <c r="AN55" s="59">
        <f>F55-F50</f>
        <v>2609948</v>
      </c>
      <c r="AP55" s="615">
        <v>2028511.49</v>
      </c>
      <c r="AQ55" s="59">
        <f t="shared" si="1"/>
        <v>581436.51</v>
      </c>
    </row>
    <row r="56" spans="1:43" ht="15.75" thickBot="1">
      <c r="A56" s="419" t="s">
        <v>336</v>
      </c>
      <c r="B56" s="420"/>
      <c r="C56" s="420"/>
      <c r="D56" s="420"/>
      <c r="E56" s="421"/>
      <c r="F56" s="616">
        <f>F40-F53</f>
        <v>-49177</v>
      </c>
      <c r="AH56" s="59">
        <v>0</v>
      </c>
      <c r="AP56" s="616">
        <v>-34000</v>
      </c>
      <c r="AQ56" s="59">
        <f t="shared" si="1"/>
        <v>-15177</v>
      </c>
    </row>
    <row r="57" spans="1:42" ht="13.5" thickBot="1">
      <c r="A57" s="16"/>
      <c r="B57" s="16"/>
      <c r="C57" s="16"/>
      <c r="D57" s="16"/>
      <c r="E57" s="16"/>
      <c r="F57" s="119"/>
      <c r="AH57"/>
      <c r="AP57" s="257"/>
    </row>
    <row r="58" spans="1:43" ht="15.75" thickBot="1">
      <c r="A58" s="422" t="s">
        <v>337</v>
      </c>
      <c r="B58" s="423"/>
      <c r="C58" s="423"/>
      <c r="D58" s="424"/>
      <c r="E58" s="424"/>
      <c r="F58" s="617">
        <f>F41-F55</f>
        <v>-0.054333333391696215</v>
      </c>
      <c r="AH58" s="59">
        <v>0</v>
      </c>
      <c r="AP58" s="617">
        <v>-0.06425499985925853</v>
      </c>
      <c r="AQ58" s="59">
        <f>F58-AP58</f>
        <v>0.009921666467562318</v>
      </c>
    </row>
    <row r="59" spans="1:34" ht="12.75">
      <c r="A59" s="16"/>
      <c r="B59" s="16"/>
      <c r="C59" s="16"/>
      <c r="D59" s="16"/>
      <c r="E59" s="16"/>
      <c r="F59" s="119"/>
      <c r="AH59"/>
    </row>
    <row r="60" ht="12.75">
      <c r="AH60"/>
    </row>
    <row r="61" ht="12.75">
      <c r="AH61"/>
    </row>
    <row r="62" spans="1:34" ht="15.75">
      <c r="A62" s="100"/>
      <c r="AH62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&amp;R..........................rendelet a város 2014 évi költégvetéséről
</oddHeader>
    <oddFooter>&amp;C&amp;D&amp;R&amp;P.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F71" activeCellId="2" sqref="C65 C71 F71"/>
    </sheetView>
  </sheetViews>
  <sheetFormatPr defaultColWidth="9.140625" defaultRowHeight="12.75"/>
  <cols>
    <col min="1" max="1" width="28.57421875" style="0" customWidth="1"/>
    <col min="2" max="2" width="10.7109375" style="0" bestFit="1" customWidth="1"/>
    <col min="3" max="3" width="21.00390625" style="0" customWidth="1"/>
    <col min="4" max="4" width="21.140625" style="0" customWidth="1"/>
    <col min="5" max="5" width="16.57421875" style="0" customWidth="1"/>
    <col min="6" max="6" width="15.421875" style="0" hidden="1" customWidth="1"/>
    <col min="7" max="7" width="17.421875" style="0" hidden="1" customWidth="1"/>
  </cols>
  <sheetData>
    <row r="1" spans="1:7" ht="15">
      <c r="A1" s="855"/>
      <c r="B1" s="682" t="s">
        <v>433</v>
      </c>
      <c r="C1" s="682"/>
      <c r="D1" s="872"/>
      <c r="E1" s="873"/>
      <c r="F1" s="821">
        <v>2013</v>
      </c>
      <c r="G1" s="105" t="s">
        <v>182</v>
      </c>
    </row>
    <row r="2" spans="1:7" ht="26.25">
      <c r="A2" s="856" t="s">
        <v>12</v>
      </c>
      <c r="B2" s="683" t="s">
        <v>21</v>
      </c>
      <c r="C2" s="684" t="s">
        <v>434</v>
      </c>
      <c r="D2" s="868" t="s">
        <v>435</v>
      </c>
      <c r="E2" s="874" t="s">
        <v>270</v>
      </c>
      <c r="F2" s="853" t="s">
        <v>270</v>
      </c>
      <c r="G2" s="105"/>
    </row>
    <row r="3" spans="1:7" ht="12.75">
      <c r="A3" s="856"/>
      <c r="B3" s="685"/>
      <c r="C3" s="685"/>
      <c r="D3" s="868"/>
      <c r="E3" s="875"/>
      <c r="F3" s="821"/>
      <c r="G3" s="105"/>
    </row>
    <row r="4" spans="1:7" ht="14.25">
      <c r="A4" s="857" t="s">
        <v>26</v>
      </c>
      <c r="B4" s="360">
        <f>'teljes kiadás'!K8</f>
        <v>181711</v>
      </c>
      <c r="C4" s="360">
        <v>128927</v>
      </c>
      <c r="D4" s="869">
        <f>'[7]bevételi összesen'!$C$55</f>
        <v>16358</v>
      </c>
      <c r="E4" s="876">
        <f aca="true" t="shared" si="0" ref="E4:E21">B4-D4-C4</f>
        <v>36426</v>
      </c>
      <c r="F4" s="854">
        <v>49111</v>
      </c>
      <c r="G4" s="690">
        <f>E4-F4</f>
        <v>-12685</v>
      </c>
    </row>
    <row r="5" spans="1:7" ht="14.25">
      <c r="A5" s="857" t="s">
        <v>275</v>
      </c>
      <c r="B5" s="360">
        <f>'teljes kiadás'!K9</f>
        <v>1651130</v>
      </c>
      <c r="C5" s="360">
        <f>626659-396383</f>
        <v>230276</v>
      </c>
      <c r="D5" s="869">
        <f>B5-C5+E5</f>
        <v>1142847</v>
      </c>
      <c r="E5" s="876">
        <v>-278007</v>
      </c>
      <c r="F5" s="854">
        <v>-301022.8961000001</v>
      </c>
      <c r="G5" s="690">
        <f>E5-F5</f>
        <v>23015.89610000013</v>
      </c>
    </row>
    <row r="6" spans="1:7" ht="14.25">
      <c r="A6" s="857" t="s">
        <v>34</v>
      </c>
      <c r="B6" s="360">
        <f>'teljes kiadás'!K10</f>
        <v>0</v>
      </c>
      <c r="C6" s="360"/>
      <c r="D6" s="869"/>
      <c r="E6" s="876">
        <f t="shared" si="0"/>
        <v>0</v>
      </c>
      <c r="F6" s="854"/>
      <c r="G6" s="105"/>
    </row>
    <row r="7" spans="1:7" ht="14.25">
      <c r="A7" s="857" t="s">
        <v>35</v>
      </c>
      <c r="B7" s="360">
        <f>'teljes kiadás'!K11</f>
        <v>0</v>
      </c>
      <c r="C7" s="360"/>
      <c r="D7" s="869"/>
      <c r="E7" s="876">
        <f t="shared" si="0"/>
        <v>0</v>
      </c>
      <c r="F7" s="854">
        <v>1</v>
      </c>
      <c r="G7" s="105"/>
    </row>
    <row r="8" spans="1:7" ht="14.25">
      <c r="A8" s="858" t="s">
        <v>436</v>
      </c>
      <c r="B8" s="360">
        <f>'teljes kiadás'!K12</f>
        <v>1832841</v>
      </c>
      <c r="C8" s="686">
        <f>SUM(C4:C7)</f>
        <v>359203</v>
      </c>
      <c r="D8" s="686">
        <f>SUM(D4:D7)</f>
        <v>1159205</v>
      </c>
      <c r="E8" s="687">
        <f>SUM(E4:E7)</f>
        <v>-241581</v>
      </c>
      <c r="F8" s="854"/>
      <c r="G8" s="690">
        <v>0</v>
      </c>
    </row>
    <row r="9" spans="1:7" ht="14.25">
      <c r="A9" s="859" t="str">
        <f>'teljes kiadás'!C13</f>
        <v>Szivárvány  Óvoda</v>
      </c>
      <c r="B9" s="360">
        <f>'teljes kiadás'!K13</f>
        <v>0</v>
      </c>
      <c r="C9" s="360"/>
      <c r="D9" s="869"/>
      <c r="E9" s="876">
        <f t="shared" si="0"/>
        <v>0</v>
      </c>
      <c r="F9" s="854">
        <v>0</v>
      </c>
      <c r="G9" s="105"/>
    </row>
    <row r="10" spans="1:7" ht="14.25">
      <c r="A10" s="859" t="s">
        <v>179</v>
      </c>
      <c r="B10" s="360">
        <f>'teljes kiadás'!K15</f>
        <v>67338</v>
      </c>
      <c r="C10" s="360">
        <v>20974</v>
      </c>
      <c r="D10" s="869">
        <f>'[7]bevételi összesen'!$K$55</f>
        <v>7219</v>
      </c>
      <c r="E10" s="876">
        <f t="shared" si="0"/>
        <v>39145</v>
      </c>
      <c r="F10" s="854">
        <v>28982</v>
      </c>
      <c r="G10" s="690">
        <f>E10-F10</f>
        <v>10163</v>
      </c>
    </row>
    <row r="11" spans="1:7" ht="14.25">
      <c r="A11" s="859" t="s">
        <v>120</v>
      </c>
      <c r="B11" s="360">
        <f>'teljes kiadás'!K16</f>
        <v>34581</v>
      </c>
      <c r="C11" s="360">
        <f>11523/2</f>
        <v>5761.5</v>
      </c>
      <c r="D11" s="869">
        <f>'[7]bevételi összesen'!$L$55</f>
        <v>7165</v>
      </c>
      <c r="E11" s="876">
        <f t="shared" si="0"/>
        <v>21654.5</v>
      </c>
      <c r="F11" s="854">
        <v>14388</v>
      </c>
      <c r="G11" s="690">
        <f>E11-F11</f>
        <v>7266.5</v>
      </c>
    </row>
    <row r="12" spans="1:7" ht="14.25">
      <c r="A12" s="860" t="s">
        <v>24</v>
      </c>
      <c r="B12" s="360">
        <f>'teljes kiadás'!K17</f>
        <v>71595</v>
      </c>
      <c r="C12" s="360">
        <f>11523/2+8000</f>
        <v>13761.5</v>
      </c>
      <c r="D12" s="869">
        <v>19052</v>
      </c>
      <c r="E12" s="876">
        <f t="shared" si="0"/>
        <v>38781.5</v>
      </c>
      <c r="F12" s="854">
        <v>49122</v>
      </c>
      <c r="G12" s="690">
        <f>E12-F12</f>
        <v>-10340.5</v>
      </c>
    </row>
    <row r="13" spans="1:7" ht="14.25">
      <c r="A13" s="861" t="s">
        <v>355</v>
      </c>
      <c r="B13" s="360">
        <f>'teljes kiadás'!K18</f>
        <v>311788</v>
      </c>
      <c r="C13" s="360">
        <f>SUM(C14:C21)</f>
        <v>61603</v>
      </c>
      <c r="D13" s="360">
        <f>SUM(D14:D21)</f>
        <v>115636</v>
      </c>
      <c r="E13" s="688">
        <f>SUM(E14:E21)</f>
        <v>134549</v>
      </c>
      <c r="F13" s="854"/>
      <c r="G13" s="690"/>
    </row>
    <row r="14" spans="1:7" ht="14.25">
      <c r="A14" s="857" t="s">
        <v>358</v>
      </c>
      <c r="B14" s="360">
        <f>'teljes kiadás'!K19</f>
        <v>59088</v>
      </c>
      <c r="C14" s="360">
        <v>0</v>
      </c>
      <c r="D14" s="869">
        <v>400</v>
      </c>
      <c r="E14" s="876">
        <f t="shared" si="0"/>
        <v>58688</v>
      </c>
      <c r="F14" s="854">
        <v>36195</v>
      </c>
      <c r="G14" s="690">
        <f aca="true" t="shared" si="1" ref="G14:G21">E14-F14</f>
        <v>22493</v>
      </c>
    </row>
    <row r="15" spans="1:7" ht="14.25">
      <c r="A15" s="857" t="s">
        <v>356</v>
      </c>
      <c r="B15" s="360">
        <f>'teljes kiadás'!K20</f>
        <v>4783</v>
      </c>
      <c r="C15" s="360">
        <v>0</v>
      </c>
      <c r="D15" s="869">
        <f>'[6]bevételi összesen'!$J$55</f>
        <v>0</v>
      </c>
      <c r="E15" s="876">
        <f t="shared" si="0"/>
        <v>4783</v>
      </c>
      <c r="F15" s="854">
        <v>6927</v>
      </c>
      <c r="G15" s="690">
        <f t="shared" si="1"/>
        <v>-2144</v>
      </c>
    </row>
    <row r="16" spans="1:7" ht="14.25">
      <c r="A16" s="860" t="s">
        <v>276</v>
      </c>
      <c r="B16" s="360">
        <f>'teljes kiadás'!K21</f>
        <v>59161</v>
      </c>
      <c r="C16" s="360"/>
      <c r="D16" s="869">
        <f>'[7]bevételi összesen'!$N$55</f>
        <v>36405</v>
      </c>
      <c r="E16" s="876">
        <f t="shared" si="0"/>
        <v>22756</v>
      </c>
      <c r="F16" s="854">
        <v>17778</v>
      </c>
      <c r="G16" s="690">
        <f t="shared" si="1"/>
        <v>4978</v>
      </c>
    </row>
    <row r="17" spans="1:7" ht="14.25">
      <c r="A17" s="857" t="s">
        <v>350</v>
      </c>
      <c r="B17" s="360">
        <f>'teljes kiadás'!K22</f>
        <v>37957</v>
      </c>
      <c r="C17" s="360"/>
      <c r="D17" s="869">
        <f>'[7]bevételi összesen'!$E$55</f>
        <v>3429</v>
      </c>
      <c r="E17" s="876">
        <f t="shared" si="0"/>
        <v>34528</v>
      </c>
      <c r="F17" s="854">
        <v>29159</v>
      </c>
      <c r="G17" s="690">
        <f t="shared" si="1"/>
        <v>5369</v>
      </c>
    </row>
    <row r="18" spans="1:7" ht="14.25">
      <c r="A18" s="857" t="s">
        <v>351</v>
      </c>
      <c r="B18" s="360">
        <f>'teljes kiadás'!K23</f>
        <v>0</v>
      </c>
      <c r="C18" s="360">
        <v>0</v>
      </c>
      <c r="D18" s="869">
        <v>0</v>
      </c>
      <c r="E18" s="876">
        <f t="shared" si="0"/>
        <v>0</v>
      </c>
      <c r="F18" s="854">
        <v>-3582</v>
      </c>
      <c r="G18" s="690">
        <f t="shared" si="1"/>
        <v>3582</v>
      </c>
    </row>
    <row r="19" spans="1:7" ht="14.25">
      <c r="A19" s="857" t="s">
        <v>352</v>
      </c>
      <c r="B19" s="360">
        <f>'teljes kiadás'!K24</f>
        <v>4000</v>
      </c>
      <c r="C19" s="360"/>
      <c r="D19" s="869">
        <f>'[7]bevételi összesen'!$F$55</f>
        <v>1049</v>
      </c>
      <c r="E19" s="876">
        <f t="shared" si="0"/>
        <v>2951</v>
      </c>
      <c r="F19" s="854">
        <v>5183</v>
      </c>
      <c r="G19" s="690">
        <f t="shared" si="1"/>
        <v>-2232</v>
      </c>
    </row>
    <row r="20" spans="1:7" ht="14.25">
      <c r="A20" s="857" t="s">
        <v>439</v>
      </c>
      <c r="B20" s="360">
        <f>'teljes kiadás'!K25</f>
        <v>14252</v>
      </c>
      <c r="C20" s="360"/>
      <c r="D20" s="869">
        <f>'[7]bevételi összesen'!$I$55</f>
        <v>1702</v>
      </c>
      <c r="E20" s="876">
        <f t="shared" si="0"/>
        <v>12550</v>
      </c>
      <c r="F20" s="854">
        <v>27941</v>
      </c>
      <c r="G20" s="690">
        <f t="shared" si="1"/>
        <v>-15391</v>
      </c>
    </row>
    <row r="21" spans="1:7" ht="14.25">
      <c r="A21" s="857" t="s">
        <v>424</v>
      </c>
      <c r="B21" s="360">
        <f>'teljes kiadás'!K26</f>
        <v>132547</v>
      </c>
      <c r="C21" s="360">
        <v>61603</v>
      </c>
      <c r="D21" s="869">
        <f>'[7]bevételi összesen'!$J$55</f>
        <v>72651</v>
      </c>
      <c r="E21" s="876">
        <f t="shared" si="0"/>
        <v>-1707</v>
      </c>
      <c r="F21" s="854">
        <v>0</v>
      </c>
      <c r="G21" s="690">
        <f t="shared" si="1"/>
        <v>-1707</v>
      </c>
    </row>
    <row r="22" spans="1:7" ht="14.25">
      <c r="A22" s="858" t="s">
        <v>437</v>
      </c>
      <c r="B22" s="686">
        <f>SUM(B9:B21)-B13</f>
        <v>485302</v>
      </c>
      <c r="C22" s="686">
        <f>SUM(C9:C20)-C13</f>
        <v>40497</v>
      </c>
      <c r="D22" s="686">
        <f>SUM(D9:D21)-D13</f>
        <v>149072</v>
      </c>
      <c r="E22" s="687">
        <f>SUM(E9:E21)-E13</f>
        <v>234130</v>
      </c>
      <c r="F22" s="854">
        <v>0</v>
      </c>
      <c r="G22" s="105"/>
    </row>
    <row r="23" spans="1:7" ht="14.25">
      <c r="A23" s="858" t="s">
        <v>25</v>
      </c>
      <c r="B23" s="686">
        <f>'teljes kiadás'!K28</f>
        <v>291805</v>
      </c>
      <c r="C23" s="686">
        <v>0</v>
      </c>
      <c r="D23" s="870">
        <v>284354</v>
      </c>
      <c r="E23" s="877">
        <f>B23-D23-C23</f>
        <v>7451</v>
      </c>
      <c r="F23" s="854">
        <v>4861</v>
      </c>
      <c r="G23" s="690">
        <f>E23-F23</f>
        <v>2590</v>
      </c>
    </row>
    <row r="24" spans="1:7" ht="14.25">
      <c r="A24" s="878" t="s">
        <v>438</v>
      </c>
      <c r="B24" s="871">
        <f>B23+B22+B8</f>
        <v>2609948</v>
      </c>
      <c r="C24" s="871">
        <f>C23+C22+C8</f>
        <v>399700</v>
      </c>
      <c r="D24" s="871">
        <f>D23+D22+D8</f>
        <v>1592631</v>
      </c>
      <c r="E24" s="879">
        <f>E8+E22+E23</f>
        <v>0</v>
      </c>
      <c r="F24" s="854">
        <v>0</v>
      </c>
      <c r="G24" s="58"/>
    </row>
    <row r="25" spans="1:7" ht="12.75">
      <c r="A25" s="880"/>
      <c r="B25" s="105"/>
      <c r="C25" s="105"/>
      <c r="D25" s="105"/>
      <c r="E25" s="766"/>
      <c r="F25" s="854">
        <v>0</v>
      </c>
      <c r="G25" s="105"/>
    </row>
    <row r="26" spans="1:7" ht="12.75">
      <c r="A26" s="880"/>
      <c r="B26" s="105"/>
      <c r="C26" s="105"/>
      <c r="D26" s="105"/>
      <c r="E26" s="766"/>
      <c r="F26" s="854">
        <v>0</v>
      </c>
      <c r="G26" s="105"/>
    </row>
    <row r="27" spans="1:7" ht="12.75">
      <c r="A27" s="862" t="s">
        <v>440</v>
      </c>
      <c r="B27" s="114">
        <f>'pénzeszkö átadás2014'!C60</f>
        <v>225533</v>
      </c>
      <c r="C27" s="106">
        <v>172157</v>
      </c>
      <c r="D27" s="106">
        <v>0</v>
      </c>
      <c r="E27" s="863">
        <f>B27-C27</f>
        <v>53376</v>
      </c>
      <c r="F27" s="854">
        <v>18421</v>
      </c>
      <c r="G27" s="690">
        <f>E27-F27</f>
        <v>34955</v>
      </c>
    </row>
    <row r="28" spans="1:7" ht="12.75">
      <c r="A28" s="862" t="s">
        <v>668</v>
      </c>
      <c r="B28" s="114">
        <f>'pénzeszkö átadás2014'!C61</f>
        <v>77617</v>
      </c>
      <c r="C28" s="106">
        <v>54802</v>
      </c>
      <c r="D28" s="106">
        <v>0</v>
      </c>
      <c r="E28" s="863">
        <f>B28-C28</f>
        <v>22815</v>
      </c>
      <c r="F28" s="854">
        <v>16535.99</v>
      </c>
      <c r="G28" s="690">
        <f>E28-F28</f>
        <v>6279.009999999998</v>
      </c>
    </row>
    <row r="29" spans="1:7" ht="13.5" thickBot="1">
      <c r="A29" s="864"/>
      <c r="B29" s="865"/>
      <c r="C29" s="866">
        <f>SUM(C24:C28)</f>
        <v>626659</v>
      </c>
      <c r="D29" s="865"/>
      <c r="E29" s="867"/>
      <c r="F29" s="821"/>
      <c r="G29" s="105"/>
    </row>
    <row r="30" spans="3:7" ht="12.75">
      <c r="C30" s="59"/>
      <c r="F30" s="105"/>
      <c r="G30" s="691">
        <f>SUM(G4:G28)</f>
        <v>76191.90610000012</v>
      </c>
    </row>
    <row r="32" spans="1:7" ht="12.75">
      <c r="A32" s="59"/>
      <c r="B32" s="59"/>
      <c r="C32" s="59"/>
      <c r="D32" s="59"/>
      <c r="E32" s="59"/>
      <c r="F32" s="59"/>
      <c r="G32" s="59"/>
    </row>
    <row r="33" spans="1:7" ht="12.75">
      <c r="A33" s="59"/>
      <c r="B33" s="59"/>
      <c r="C33" s="59"/>
      <c r="D33" s="59"/>
      <c r="E33" s="59"/>
      <c r="F33" s="59"/>
      <c r="G33" s="59"/>
    </row>
    <row r="34" spans="1:7" ht="12.75">
      <c r="A34" s="59"/>
      <c r="B34" s="59"/>
      <c r="C34" s="59"/>
      <c r="D34" s="59"/>
      <c r="E34" s="59"/>
      <c r="F34" s="59"/>
      <c r="G34" s="59"/>
    </row>
    <row r="35" spans="1:7" ht="12.75">
      <c r="A35" s="59"/>
      <c r="B35" s="59"/>
      <c r="C35" s="59"/>
      <c r="D35" s="59"/>
      <c r="E35" s="59"/>
      <c r="F35" s="59"/>
      <c r="G35" s="59"/>
    </row>
    <row r="36" spans="1:5" ht="12.75">
      <c r="A36" s="59"/>
      <c r="B36" s="59"/>
      <c r="C36" s="59"/>
      <c r="D36" s="59"/>
      <c r="E36" s="59"/>
    </row>
    <row r="37" spans="1:5" ht="12.75">
      <c r="A37" s="318"/>
      <c r="B37" s="318"/>
      <c r="C37" s="318"/>
      <c r="D37" s="318"/>
      <c r="E37" s="318"/>
    </row>
    <row r="38" spans="1:5" ht="12.75">
      <c r="A38" s="318"/>
      <c r="B38" s="318"/>
      <c r="C38" s="318"/>
      <c r="D38" s="318"/>
      <c r="E38" s="318"/>
    </row>
    <row r="39" spans="1:5" ht="12.75">
      <c r="A39" s="318"/>
      <c r="B39" s="318"/>
      <c r="C39" s="318"/>
      <c r="D39" s="318"/>
      <c r="E39" s="318"/>
    </row>
    <row r="40" spans="1:5" ht="12.75">
      <c r="A40" s="318"/>
      <c r="B40" s="318"/>
      <c r="C40" s="318"/>
      <c r="D40" s="318"/>
      <c r="E40" s="318"/>
    </row>
    <row r="41" spans="1:5" ht="12.75">
      <c r="A41" s="318"/>
      <c r="B41" s="318"/>
      <c r="C41" s="318"/>
      <c r="D41" s="318"/>
      <c r="E41" s="318"/>
    </row>
    <row r="42" spans="1:5" ht="12.75">
      <c r="A42" s="318"/>
      <c r="B42" s="318"/>
      <c r="C42" s="318"/>
      <c r="D42" s="318"/>
      <c r="E42" s="318"/>
    </row>
    <row r="43" spans="1:5" ht="12.75">
      <c r="A43" s="318"/>
      <c r="B43" s="318"/>
      <c r="C43" s="318"/>
      <c r="D43" s="318"/>
      <c r="E43" s="318"/>
    </row>
    <row r="44" spans="1:5" ht="12.75">
      <c r="A44" s="318"/>
      <c r="B44" s="318"/>
      <c r="C44" s="318"/>
      <c r="D44" s="318"/>
      <c r="E44" s="318"/>
    </row>
    <row r="45" spans="1:5" ht="12.75">
      <c r="A45" s="318"/>
      <c r="B45" s="318"/>
      <c r="C45" s="318"/>
      <c r="D45" s="318"/>
      <c r="E45" s="318"/>
    </row>
    <row r="46" spans="1:5" ht="12.75">
      <c r="A46" s="318"/>
      <c r="B46" s="318"/>
      <c r="C46" s="318"/>
      <c r="D46" s="318"/>
      <c r="E46" s="318"/>
    </row>
    <row r="47" spans="1:5" ht="12.75">
      <c r="A47" s="318"/>
      <c r="B47" s="318"/>
      <c r="C47" s="318"/>
      <c r="D47" s="318"/>
      <c r="E47" s="318"/>
    </row>
    <row r="48" spans="1:5" ht="12.75">
      <c r="A48" s="318"/>
      <c r="B48" s="318"/>
      <c r="C48" s="318"/>
      <c r="D48" s="318"/>
      <c r="E48" s="318"/>
    </row>
    <row r="49" spans="1:5" ht="12.75">
      <c r="A49" s="318"/>
      <c r="B49" s="318"/>
      <c r="C49" s="318"/>
      <c r="D49" s="318"/>
      <c r="E49" s="318"/>
    </row>
    <row r="50" spans="1:5" ht="12.75">
      <c r="A50" s="318"/>
      <c r="B50" s="318"/>
      <c r="C50" s="318"/>
      <c r="D50" s="318"/>
      <c r="E50" s="318"/>
    </row>
    <row r="51" spans="1:5" ht="12.75">
      <c r="A51" s="318"/>
      <c r="B51" s="318"/>
      <c r="C51" s="318"/>
      <c r="D51" s="318"/>
      <c r="E51" s="318"/>
    </row>
    <row r="52" spans="1:5" ht="12.75">
      <c r="A52" s="318"/>
      <c r="B52" s="318"/>
      <c r="C52" s="318"/>
      <c r="D52" s="318"/>
      <c r="E52" s="318"/>
    </row>
    <row r="53" spans="1:5" ht="12.75">
      <c r="A53" s="318"/>
      <c r="B53" s="318"/>
      <c r="C53" s="318"/>
      <c r="D53" s="318"/>
      <c r="E53" s="318"/>
    </row>
    <row r="54" spans="1:5" ht="12.75">
      <c r="A54" s="318"/>
      <c r="B54" s="318"/>
      <c r="C54" s="318"/>
      <c r="D54" s="318"/>
      <c r="E54" s="318"/>
    </row>
    <row r="55" spans="1:5" ht="12.75">
      <c r="A55" s="318"/>
      <c r="B55" s="318"/>
      <c r="C55" s="318"/>
      <c r="D55" s="318"/>
      <c r="E55" s="318"/>
    </row>
    <row r="56" spans="1:5" ht="12.75">
      <c r="A56" s="318"/>
      <c r="B56" s="318"/>
      <c r="C56" s="318"/>
      <c r="D56" s="318"/>
      <c r="E56" s="318"/>
    </row>
    <row r="57" spans="1:5" ht="12.75">
      <c r="A57" s="318"/>
      <c r="B57" s="318"/>
      <c r="C57" s="318"/>
      <c r="D57" s="318"/>
      <c r="E57" s="318"/>
    </row>
    <row r="58" spans="1:5" ht="12.75">
      <c r="A58" s="318"/>
      <c r="B58" s="318"/>
      <c r="C58" s="318"/>
      <c r="D58" s="318"/>
      <c r="E58" s="318"/>
    </row>
    <row r="59" spans="1:7" ht="12.75">
      <c r="A59" s="59"/>
      <c r="B59" s="59"/>
      <c r="C59" s="59"/>
      <c r="D59" s="59"/>
      <c r="E59" s="59"/>
      <c r="F59" s="59"/>
      <c r="G59" s="59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&amp;R..........................rendelet a város 2014 évi költégvetéséről
</oddHeader>
    <oddFooter>&amp;C&amp;D&amp;R&amp;P.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62"/>
  <sheetViews>
    <sheetView zoomScale="120" zoomScaleNormal="120" workbookViewId="0" topLeftCell="A1">
      <selection activeCell="F71" activeCellId="2" sqref="C65 C71 F71"/>
    </sheetView>
  </sheetViews>
  <sheetFormatPr defaultColWidth="9.140625" defaultRowHeight="12.75"/>
  <cols>
    <col min="1" max="1" width="29.140625" style="245" customWidth="1"/>
    <col min="2" max="2" width="13.28125" style="0" customWidth="1"/>
    <col min="3" max="3" width="26.140625" style="0" customWidth="1"/>
    <col min="4" max="6" width="0" style="0" hidden="1" customWidth="1"/>
    <col min="9" max="9" width="5.140625" style="0" hidden="1" customWidth="1"/>
    <col min="10" max="10" width="9.28125" style="0" hidden="1" customWidth="1"/>
    <col min="12" max="12" width="3.57421875" style="0" hidden="1" customWidth="1"/>
    <col min="13" max="13" width="0" style="0" hidden="1" customWidth="1"/>
    <col min="14" max="14" width="9.00390625" style="0" hidden="1" customWidth="1"/>
    <col min="16" max="16" width="4.140625" style="0" hidden="1" customWidth="1"/>
  </cols>
  <sheetData>
    <row r="1" spans="1:3" ht="12.75">
      <c r="A1" s="322" t="s">
        <v>4</v>
      </c>
      <c r="C1" s="60" t="s">
        <v>365</v>
      </c>
    </row>
    <row r="2" spans="1:3" ht="12.75">
      <c r="A2" s="322"/>
      <c r="C2" s="60"/>
    </row>
    <row r="3" spans="1:2" ht="30">
      <c r="A3" s="323" t="s">
        <v>240</v>
      </c>
      <c r="B3" s="61"/>
    </row>
    <row r="4" spans="1:2" ht="14.25">
      <c r="A4" s="324" t="s">
        <v>669</v>
      </c>
      <c r="B4" s="62"/>
    </row>
    <row r="6" spans="1:3" ht="44.25" customHeight="1">
      <c r="A6" s="325" t="s">
        <v>373</v>
      </c>
      <c r="B6" s="106" t="s">
        <v>44</v>
      </c>
      <c r="C6" s="105" t="s">
        <v>277</v>
      </c>
    </row>
    <row r="7" spans="1:3" ht="30">
      <c r="A7" s="325" t="s">
        <v>241</v>
      </c>
      <c r="B7" s="106"/>
      <c r="C7" s="105"/>
    </row>
    <row r="8" spans="1:3" ht="14.25">
      <c r="A8" s="326"/>
      <c r="B8" s="106"/>
      <c r="C8" s="105"/>
    </row>
    <row r="9" spans="1:3" ht="15.75">
      <c r="A9" s="327" t="s">
        <v>448</v>
      </c>
      <c r="B9" s="319">
        <v>15000</v>
      </c>
      <c r="C9" s="105"/>
    </row>
    <row r="10" spans="1:3" ht="15.75">
      <c r="A10" s="328" t="s">
        <v>361</v>
      </c>
      <c r="B10" s="320">
        <v>500</v>
      </c>
      <c r="C10" s="105"/>
    </row>
    <row r="11" spans="1:3" s="103" customFormat="1" ht="15" hidden="1">
      <c r="A11" s="329"/>
      <c r="B11" s="314"/>
      <c r="C11" s="311"/>
    </row>
    <row r="12" spans="1:3" ht="18" customHeight="1">
      <c r="A12" s="330" t="s">
        <v>449</v>
      </c>
      <c r="B12" s="218">
        <v>5000</v>
      </c>
      <c r="C12" s="105"/>
    </row>
    <row r="13" spans="1:3" ht="33" customHeight="1">
      <c r="A13" s="331" t="s">
        <v>242</v>
      </c>
      <c r="B13" s="219">
        <f>SUM(B9:B12)</f>
        <v>20500</v>
      </c>
      <c r="C13" s="105"/>
    </row>
    <row r="14" ht="39" customHeight="1"/>
    <row r="15" ht="39" customHeight="1"/>
    <row r="16" ht="39" customHeight="1"/>
    <row r="17" ht="17.25" customHeight="1"/>
    <row r="18" ht="39" customHeight="1" hidden="1"/>
    <row r="19" ht="39" customHeight="1" hidden="1"/>
    <row r="20" ht="39" customHeight="1" hidden="1"/>
    <row r="21" ht="39" customHeight="1" hidden="1"/>
    <row r="22" ht="39" customHeight="1" hidden="1"/>
    <row r="23" ht="39" customHeight="1" hidden="1"/>
    <row r="24" ht="39" customHeight="1" hidden="1"/>
    <row r="25" ht="39" customHeight="1" hidden="1"/>
    <row r="26" ht="39" customHeight="1" hidden="1"/>
    <row r="27" ht="39" customHeight="1" hidden="1"/>
    <row r="28" ht="39" customHeight="1" hidden="1"/>
    <row r="29" ht="39" customHeight="1" hidden="1"/>
    <row r="30" ht="39" customHeight="1"/>
    <row r="31" ht="39" customHeight="1"/>
    <row r="32" ht="30" customHeight="1"/>
    <row r="33" ht="98.25" customHeight="1"/>
    <row r="34" ht="30" customHeight="1"/>
    <row r="35" ht="30" customHeight="1"/>
    <row r="36" ht="30" customHeight="1"/>
    <row r="37" ht="30" customHeight="1"/>
    <row r="38" ht="54.75" customHeight="1"/>
    <row r="39" ht="30" customHeight="1"/>
    <row r="40" ht="30" customHeight="1"/>
    <row r="41" ht="30" customHeight="1"/>
    <row r="42" ht="30" customHeight="1"/>
    <row r="43" ht="30" customHeight="1"/>
    <row r="44" ht="39.75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51.75" customHeight="1"/>
    <row r="55" ht="30" customHeight="1"/>
    <row r="56" ht="43.5" customHeight="1"/>
    <row r="57" ht="30" customHeight="1"/>
    <row r="58" ht="57" customHeight="1"/>
    <row r="59" s="113" customFormat="1" ht="72" customHeight="1">
      <c r="A59" s="332"/>
    </row>
    <row r="60" s="113" customFormat="1" ht="12.75" customHeight="1">
      <c r="A60" s="332"/>
    </row>
    <row r="61" s="113" customFormat="1" ht="12.75" customHeight="1">
      <c r="A61" s="332"/>
    </row>
    <row r="62" s="113" customFormat="1" ht="12.75" customHeight="1">
      <c r="A62" s="332"/>
    </row>
    <row r="63" ht="48.75" customHeight="1"/>
    <row r="64" ht="29.25" customHeight="1"/>
    <row r="65" ht="30" customHeight="1"/>
    <row r="66" ht="30.75" customHeight="1"/>
    <row r="67" ht="30" customHeight="1"/>
    <row r="68" ht="30" customHeight="1"/>
    <row r="69" ht="51" customHeight="1"/>
    <row r="70" ht="30" customHeight="1"/>
    <row r="71" ht="69.75" customHeight="1"/>
    <row r="72" ht="57.75" customHeight="1"/>
    <row r="73" ht="30" customHeight="1"/>
    <row r="74" ht="27.75" customHeight="1"/>
    <row r="75" ht="30" customHeight="1"/>
    <row r="76" ht="30" customHeight="1"/>
    <row r="77" ht="42" customHeight="1"/>
    <row r="78" ht="42" customHeight="1"/>
    <row r="79" ht="30" customHeight="1"/>
    <row r="80" ht="41.25" customHeight="1"/>
    <row r="81" ht="30" customHeight="1"/>
    <row r="82" ht="30" customHeight="1"/>
    <row r="83" ht="30" customHeight="1"/>
    <row r="84" ht="52.5" customHeight="1"/>
    <row r="85" ht="45.75" customHeight="1"/>
    <row r="86" ht="39.75" customHeight="1"/>
    <row r="87" ht="30" customHeight="1"/>
    <row r="88" ht="30" customHeight="1"/>
    <row r="89" ht="76.5" customHeight="1"/>
    <row r="90" ht="30" customHeight="1"/>
    <row r="91" ht="30" customHeight="1"/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&amp;R..........................rendelet a város 2014 évi költégvetéséről
</oddHeader>
    <oddFooter>&amp;C&amp;D&amp;R&amp;P.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C1">
      <selection activeCell="F71" activeCellId="2" sqref="C65 C71 F71"/>
    </sheetView>
  </sheetViews>
  <sheetFormatPr defaultColWidth="9.140625" defaultRowHeight="12.75"/>
  <cols>
    <col min="1" max="2" width="0" style="0" hidden="1" customWidth="1"/>
    <col min="3" max="3" width="35.7109375" style="0" customWidth="1"/>
    <col min="4" max="4" width="15.8515625" style="0" customWidth="1"/>
    <col min="5" max="5" width="23.57421875" style="0" bestFit="1" customWidth="1"/>
    <col min="6" max="6" width="15.28125" style="0" customWidth="1"/>
  </cols>
  <sheetData>
    <row r="1" spans="1:6" ht="12.75">
      <c r="A1" s="696" t="s">
        <v>4</v>
      </c>
      <c r="B1" s="697"/>
      <c r="C1" s="697"/>
      <c r="D1" s="698"/>
      <c r="E1" s="699" t="s">
        <v>450</v>
      </c>
      <c r="F1" s="700"/>
    </row>
    <row r="2" spans="3:6" ht="12.75">
      <c r="C2" s="698"/>
      <c r="D2" s="698"/>
      <c r="E2" s="698"/>
      <c r="F2" s="701"/>
    </row>
    <row r="3" spans="3:6" ht="12.75">
      <c r="C3" s="698"/>
      <c r="D3" s="698"/>
      <c r="E3" s="698"/>
      <c r="F3" s="701"/>
    </row>
    <row r="4" spans="3:6" ht="15.75">
      <c r="C4" s="702" t="s">
        <v>457</v>
      </c>
      <c r="D4" s="702"/>
      <c r="E4" s="702"/>
      <c r="F4" s="701"/>
    </row>
    <row r="5" spans="3:6" ht="15.75">
      <c r="C5" s="703" t="s">
        <v>451</v>
      </c>
      <c r="E5" s="697"/>
      <c r="F5" s="701"/>
    </row>
    <row r="6" spans="3:6" ht="12.75">
      <c r="C6" s="698"/>
      <c r="D6" s="696"/>
      <c r="E6" s="696"/>
      <c r="F6" s="701"/>
    </row>
    <row r="7" spans="3:6" ht="13.5" thickBot="1">
      <c r="C7" s="698"/>
      <c r="D7" s="698"/>
      <c r="E7" s="704" t="s">
        <v>452</v>
      </c>
      <c r="F7" s="701"/>
    </row>
    <row r="8" spans="1:6" ht="15">
      <c r="A8" s="30" t="s">
        <v>30</v>
      </c>
      <c r="B8" s="705" t="s">
        <v>31</v>
      </c>
      <c r="C8" s="706"/>
      <c r="D8" s="707" t="s">
        <v>433</v>
      </c>
      <c r="E8" s="708"/>
      <c r="F8" s="709">
        <v>2014</v>
      </c>
    </row>
    <row r="9" spans="1:6" ht="15">
      <c r="A9" s="31"/>
      <c r="B9" s="710" t="s">
        <v>32</v>
      </c>
      <c r="C9" s="711" t="s">
        <v>12</v>
      </c>
      <c r="D9" s="712" t="s">
        <v>21</v>
      </c>
      <c r="E9" s="713" t="s">
        <v>435</v>
      </c>
      <c r="F9" s="714" t="s">
        <v>453</v>
      </c>
    </row>
    <row r="10" spans="1:6" ht="13.5" thickBot="1">
      <c r="A10" s="34"/>
      <c r="B10" s="28"/>
      <c r="C10" s="715"/>
      <c r="D10" s="716"/>
      <c r="E10" s="717"/>
      <c r="F10" s="718" t="s">
        <v>454</v>
      </c>
    </row>
    <row r="11" spans="1:6" ht="15" thickBot="1">
      <c r="A11" s="36">
        <v>1</v>
      </c>
      <c r="B11" s="719"/>
      <c r="C11" s="720" t="s">
        <v>26</v>
      </c>
      <c r="D11" s="721">
        <f>'önkormányzati támogatás'!B4</f>
        <v>181711</v>
      </c>
      <c r="E11" s="722">
        <f>'önkormányzati támogatás'!D4</f>
        <v>16358</v>
      </c>
      <c r="F11" s="723">
        <f aca="true" t="shared" si="0" ref="F11:F30">D11-E11</f>
        <v>165353</v>
      </c>
    </row>
    <row r="12" spans="1:6" ht="15" thickBot="1">
      <c r="A12" s="37"/>
      <c r="B12" s="724"/>
      <c r="C12" s="725" t="s">
        <v>275</v>
      </c>
      <c r="D12" s="721">
        <f>'önkormányzati támogatás'!B5</f>
        <v>1651130</v>
      </c>
      <c r="E12" s="722">
        <v>2160164</v>
      </c>
      <c r="F12" s="723">
        <v>-449138</v>
      </c>
    </row>
    <row r="13" spans="1:6" ht="15" thickBot="1">
      <c r="A13" s="31"/>
      <c r="B13" s="726"/>
      <c r="C13" s="727" t="s">
        <v>34</v>
      </c>
      <c r="D13" s="721">
        <f>'önkormányzati támogatás'!B6</f>
        <v>0</v>
      </c>
      <c r="E13" s="722">
        <f>'önkormányzati támogatás'!D6</f>
        <v>0</v>
      </c>
      <c r="F13" s="723">
        <f t="shared" si="0"/>
        <v>0</v>
      </c>
    </row>
    <row r="14" spans="1:6" ht="15" thickBot="1">
      <c r="A14" s="728"/>
      <c r="B14" s="729"/>
      <c r="C14" s="730" t="s">
        <v>35</v>
      </c>
      <c r="D14" s="721">
        <f>'önkormányzati támogatás'!B7</f>
        <v>0</v>
      </c>
      <c r="E14" s="722">
        <f>'önkormányzati támogatás'!D7</f>
        <v>0</v>
      </c>
      <c r="F14" s="723">
        <f t="shared" si="0"/>
        <v>0</v>
      </c>
    </row>
    <row r="15" spans="1:6" ht="15" thickBot="1">
      <c r="A15" s="731">
        <v>1</v>
      </c>
      <c r="B15" s="732" t="s">
        <v>455</v>
      </c>
      <c r="C15" s="733" t="s">
        <v>436</v>
      </c>
      <c r="D15" s="734">
        <f>SUM(D11:D14)</f>
        <v>1832841</v>
      </c>
      <c r="E15" s="734">
        <f>SUM(E11:E14)</f>
        <v>2176522</v>
      </c>
      <c r="F15" s="735">
        <f>SUM(F11:F14)</f>
        <v>-283785</v>
      </c>
    </row>
    <row r="16" spans="1:6" ht="15" thickBot="1">
      <c r="A16" s="37"/>
      <c r="B16" s="48" t="s">
        <v>40</v>
      </c>
      <c r="C16" s="736" t="s">
        <v>119</v>
      </c>
      <c r="D16" s="721">
        <f>'önkormányzati támogatás'!B9</f>
        <v>0</v>
      </c>
      <c r="E16" s="722">
        <f>'önkormányzati támogatás'!D9</f>
        <v>0</v>
      </c>
      <c r="F16" s="723">
        <f t="shared" si="0"/>
        <v>0</v>
      </c>
    </row>
    <row r="17" spans="1:6" ht="15" thickBot="1">
      <c r="A17" s="37"/>
      <c r="B17" s="49">
        <v>3</v>
      </c>
      <c r="C17" s="737" t="s">
        <v>179</v>
      </c>
      <c r="D17" s="721">
        <f>'önkormányzati támogatás'!B10</f>
        <v>67338</v>
      </c>
      <c r="E17" s="722">
        <f>'önkormányzati támogatás'!D10</f>
        <v>7219</v>
      </c>
      <c r="F17" s="723">
        <f t="shared" si="0"/>
        <v>60119</v>
      </c>
    </row>
    <row r="18" spans="1:6" ht="15" thickBot="1">
      <c r="A18" s="40"/>
      <c r="B18" s="50">
        <v>4</v>
      </c>
      <c r="C18" s="737" t="s">
        <v>120</v>
      </c>
      <c r="D18" s="721">
        <f>'önkormányzati támogatás'!B11</f>
        <v>34581</v>
      </c>
      <c r="E18" s="722">
        <f>'önkormányzati támogatás'!D11</f>
        <v>7165</v>
      </c>
      <c r="F18" s="723">
        <f t="shared" si="0"/>
        <v>27416</v>
      </c>
    </row>
    <row r="19" spans="1:6" ht="15" thickBot="1">
      <c r="A19" s="40"/>
      <c r="B19" s="49">
        <v>5</v>
      </c>
      <c r="C19" s="738" t="s">
        <v>24</v>
      </c>
      <c r="D19" s="721">
        <f>'önkormányzati támogatás'!B12</f>
        <v>71595</v>
      </c>
      <c r="E19" s="722">
        <f>'önkormányzati támogatás'!D12</f>
        <v>19052</v>
      </c>
      <c r="F19" s="723">
        <f t="shared" si="0"/>
        <v>52543</v>
      </c>
    </row>
    <row r="20" spans="1:6" ht="15" thickBot="1">
      <c r="A20" s="37"/>
      <c r="B20" s="49">
        <v>6</v>
      </c>
      <c r="C20" s="739" t="s">
        <v>355</v>
      </c>
      <c r="D20" s="721">
        <f>'önkormányzati támogatás'!B13</f>
        <v>311788</v>
      </c>
      <c r="E20" s="722">
        <f>'önkormányzati támogatás'!D13</f>
        <v>115636</v>
      </c>
      <c r="F20" s="723">
        <f t="shared" si="0"/>
        <v>196152</v>
      </c>
    </row>
    <row r="21" spans="1:6" ht="15" thickBot="1">
      <c r="A21" s="37"/>
      <c r="B21" s="740"/>
      <c r="C21" s="741" t="s">
        <v>358</v>
      </c>
      <c r="D21" s="721">
        <f>'önkormányzati támogatás'!B14</f>
        <v>59088</v>
      </c>
      <c r="E21" s="722">
        <f>'önkormányzati támogatás'!D14</f>
        <v>400</v>
      </c>
      <c r="F21" s="723">
        <f t="shared" si="0"/>
        <v>58688</v>
      </c>
    </row>
    <row r="22" spans="1:6" ht="15" thickBot="1">
      <c r="A22" s="37"/>
      <c r="B22" s="742"/>
      <c r="C22" s="743" t="s">
        <v>356</v>
      </c>
      <c r="D22" s="721">
        <f>'önkormányzati támogatás'!B15</f>
        <v>4783</v>
      </c>
      <c r="E22" s="722">
        <f>'önkormányzati támogatás'!D15</f>
        <v>0</v>
      </c>
      <c r="F22" s="723">
        <f t="shared" si="0"/>
        <v>4783</v>
      </c>
    </row>
    <row r="23" spans="1:6" ht="15" thickBot="1">
      <c r="A23" s="37"/>
      <c r="B23" s="744"/>
      <c r="C23" s="745" t="s">
        <v>276</v>
      </c>
      <c r="D23" s="721">
        <f>'önkormányzati támogatás'!B16</f>
        <v>59161</v>
      </c>
      <c r="E23" s="722">
        <f>'önkormányzati támogatás'!D16</f>
        <v>36405</v>
      </c>
      <c r="F23" s="723">
        <f t="shared" si="0"/>
        <v>22756</v>
      </c>
    </row>
    <row r="24" spans="1:6" ht="15" thickBot="1">
      <c r="A24" s="37"/>
      <c r="B24" s="744"/>
      <c r="C24" s="746" t="s">
        <v>350</v>
      </c>
      <c r="D24" s="721">
        <f>'önkormányzati támogatás'!B17</f>
        <v>37957</v>
      </c>
      <c r="E24" s="722">
        <f>'önkormányzati támogatás'!D17</f>
        <v>3429</v>
      </c>
      <c r="F24" s="723">
        <f t="shared" si="0"/>
        <v>34528</v>
      </c>
    </row>
    <row r="25" spans="1:6" ht="15" thickBot="1">
      <c r="A25" s="37"/>
      <c r="B25" s="744"/>
      <c r="C25" s="746" t="s">
        <v>351</v>
      </c>
      <c r="D25" s="721">
        <f>'önkormányzati támogatás'!B18</f>
        <v>0</v>
      </c>
      <c r="E25" s="722">
        <f>'önkormányzati támogatás'!D18</f>
        <v>0</v>
      </c>
      <c r="F25" s="723">
        <f t="shared" si="0"/>
        <v>0</v>
      </c>
    </row>
    <row r="26" spans="1:6" ht="15" thickBot="1">
      <c r="A26" s="37"/>
      <c r="B26" s="744"/>
      <c r="C26" s="746" t="s">
        <v>352</v>
      </c>
      <c r="D26" s="721">
        <f>'önkormányzati támogatás'!B19</f>
        <v>4000</v>
      </c>
      <c r="E26" s="722">
        <f>'önkormányzati támogatás'!D19</f>
        <v>1049</v>
      </c>
      <c r="F26" s="723">
        <f t="shared" si="0"/>
        <v>2951</v>
      </c>
    </row>
    <row r="27" spans="1:6" ht="15" thickBot="1">
      <c r="A27" s="37"/>
      <c r="B27" s="744"/>
      <c r="C27" s="747" t="s">
        <v>439</v>
      </c>
      <c r="D27" s="721">
        <f>'önkormányzati támogatás'!B20</f>
        <v>14252</v>
      </c>
      <c r="E27" s="722">
        <f>'önkormányzati támogatás'!D20</f>
        <v>1702</v>
      </c>
      <c r="F27" s="723">
        <f t="shared" si="0"/>
        <v>12550</v>
      </c>
    </row>
    <row r="28" spans="1:6" ht="15" thickBot="1">
      <c r="A28" s="37"/>
      <c r="B28" s="744"/>
      <c r="C28" s="721" t="str">
        <f>'önkormányzati támogatás'!A21</f>
        <v>konyha</v>
      </c>
      <c r="D28" s="721">
        <f>'önkormányzati támogatás'!B21</f>
        <v>132547</v>
      </c>
      <c r="E28" s="722">
        <f>'önkormányzati támogatás'!D21</f>
        <v>72651</v>
      </c>
      <c r="F28" s="759"/>
    </row>
    <row r="29" spans="1:6" ht="15" thickBot="1">
      <c r="A29" s="748">
        <v>2</v>
      </c>
      <c r="B29" s="749" t="s">
        <v>456</v>
      </c>
      <c r="C29" s="750" t="s">
        <v>437</v>
      </c>
      <c r="D29" s="721">
        <f>'önkormányzati támogatás'!B22</f>
        <v>485302</v>
      </c>
      <c r="E29" s="722">
        <f>'önkormányzati támogatás'!D22</f>
        <v>149072</v>
      </c>
      <c r="F29" s="734">
        <f>SUM(F16:F27)-F20</f>
        <v>276334</v>
      </c>
    </row>
    <row r="30" spans="1:6" ht="15" thickBot="1">
      <c r="A30" s="751">
        <v>3</v>
      </c>
      <c r="B30" s="752"/>
      <c r="C30" s="753" t="s">
        <v>25</v>
      </c>
      <c r="D30" s="721">
        <f>'önkormányzati támogatás'!B23</f>
        <v>291805</v>
      </c>
      <c r="E30" s="722">
        <f>'önkormányzati támogatás'!D23</f>
        <v>284354</v>
      </c>
      <c r="F30" s="735">
        <f t="shared" si="0"/>
        <v>7451</v>
      </c>
    </row>
    <row r="31" spans="1:6" ht="15" thickBot="1">
      <c r="A31" s="754" t="s">
        <v>39</v>
      </c>
      <c r="B31" s="755"/>
      <c r="C31" s="756" t="s">
        <v>438</v>
      </c>
      <c r="D31" s="757">
        <f>D30+D29+D15</f>
        <v>2609948</v>
      </c>
      <c r="E31" s="757">
        <f>E30+E29+E15</f>
        <v>2609948</v>
      </c>
      <c r="F31" s="758">
        <f>F30+F29+F15</f>
        <v>0</v>
      </c>
    </row>
    <row r="32" ht="12.75">
      <c r="E32" s="59">
        <f>D31-E31</f>
        <v>0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&amp;R..........................rendelet a város 2014 évi költégvetéséről
</oddHeader>
    <oddFooter>&amp;C&amp;D&amp;R&amp;P.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1">
      <selection activeCell="F71" activeCellId="2" sqref="C65 C71 F71"/>
    </sheetView>
  </sheetViews>
  <sheetFormatPr defaultColWidth="9.140625" defaultRowHeight="12.75"/>
  <cols>
    <col min="1" max="1" width="26.00390625" style="118" customWidth="1"/>
    <col min="2" max="2" width="16.57421875" style="0" customWidth="1"/>
    <col min="4" max="4" width="9.57421875" style="0" customWidth="1"/>
    <col min="5" max="5" width="9.00390625" style="0" customWidth="1"/>
    <col min="6" max="6" width="11.28125" style="0" customWidth="1"/>
    <col min="7" max="7" width="0" style="0" hidden="1" customWidth="1"/>
    <col min="10" max="10" width="10.140625" style="0" customWidth="1"/>
  </cols>
  <sheetData>
    <row r="1" spans="1:2" ht="12.75">
      <c r="A1" s="760" t="s">
        <v>458</v>
      </c>
      <c r="B1" s="761" t="s">
        <v>459</v>
      </c>
    </row>
    <row r="2" ht="13.5" thickBot="1"/>
    <row r="3" spans="1:10" s="695" customFormat="1" ht="38.25">
      <c r="A3" s="762" t="s">
        <v>460</v>
      </c>
      <c r="B3" s="763" t="s">
        <v>461</v>
      </c>
      <c r="C3" s="763" t="s">
        <v>462</v>
      </c>
      <c r="D3" s="763" t="s">
        <v>463</v>
      </c>
      <c r="E3" s="763" t="s">
        <v>464</v>
      </c>
      <c r="F3" s="763" t="s">
        <v>465</v>
      </c>
      <c r="G3" s="763" t="s">
        <v>466</v>
      </c>
      <c r="H3" s="763" t="s">
        <v>467</v>
      </c>
      <c r="I3" s="763" t="s">
        <v>21</v>
      </c>
      <c r="J3" s="764" t="s">
        <v>468</v>
      </c>
    </row>
    <row r="4" spans="1:10" ht="33.75" customHeight="1">
      <c r="A4" s="765" t="str">
        <f>'beruházás és felh. célú átadás'!A9</f>
        <v>Vis maior támogatás</v>
      </c>
      <c r="B4" s="765">
        <f>'beruházás és felh. célú átadás'!B9</f>
        <v>17289</v>
      </c>
      <c r="C4" s="105"/>
      <c r="D4" s="105"/>
      <c r="E4" s="58">
        <v>12101</v>
      </c>
      <c r="F4" s="105">
        <v>5188</v>
      </c>
      <c r="G4" s="105"/>
      <c r="H4" s="105"/>
      <c r="I4" s="105">
        <f aca="true" t="shared" si="0" ref="I4:I23">SUM(C4:H4)</f>
        <v>17289</v>
      </c>
      <c r="J4" s="766">
        <f aca="true" t="shared" si="1" ref="J4:J22">I4-B4</f>
        <v>0</v>
      </c>
    </row>
    <row r="5" spans="1:10" ht="33.75" customHeight="1">
      <c r="A5" s="765" t="str">
        <f>'beruházás és felh. célú átadás'!A10</f>
        <v>Informatikai pályázat</v>
      </c>
      <c r="B5" s="765">
        <f>'beruházás és felh. célú átadás'!B10</f>
        <v>10000</v>
      </c>
      <c r="C5" s="105"/>
      <c r="D5" s="105"/>
      <c r="E5" s="105">
        <v>10000</v>
      </c>
      <c r="F5" s="105"/>
      <c r="G5" s="105"/>
      <c r="H5" s="105"/>
      <c r="I5" s="105">
        <f t="shared" si="0"/>
        <v>10000</v>
      </c>
      <c r="J5" s="766">
        <f t="shared" si="1"/>
        <v>0</v>
      </c>
    </row>
    <row r="6" spans="1:10" ht="30" customHeight="1">
      <c r="A6" s="765" t="str">
        <f>'beruházás és felh. célú átadás'!A11</f>
        <v>Múzeum kazáncsere</v>
      </c>
      <c r="B6" s="765">
        <f>'beruházás és felh. célú átadás'!B11</f>
        <v>4000</v>
      </c>
      <c r="C6" s="105">
        <f>B6*0.95</f>
        <v>3800</v>
      </c>
      <c r="D6" s="105"/>
      <c r="E6" s="105"/>
      <c r="F6" s="105">
        <v>200</v>
      </c>
      <c r="G6" s="105"/>
      <c r="H6" s="105"/>
      <c r="I6" s="105">
        <f t="shared" si="0"/>
        <v>4000</v>
      </c>
      <c r="J6" s="766">
        <f t="shared" si="1"/>
        <v>0</v>
      </c>
    </row>
    <row r="7" spans="1:10" ht="24" customHeight="1">
      <c r="A7" s="765" t="str">
        <f>'beruházás és felh. célú átadás'!A12</f>
        <v>MLSZ műfüves pálya</v>
      </c>
      <c r="B7" s="765">
        <f>'beruházás és felh. célú átadás'!B12</f>
        <v>10000</v>
      </c>
      <c r="C7" s="105"/>
      <c r="D7" s="105"/>
      <c r="E7" s="105"/>
      <c r="F7" s="105">
        <v>10000</v>
      </c>
      <c r="G7" s="105"/>
      <c r="H7" s="105"/>
      <c r="I7" s="105">
        <f t="shared" si="0"/>
        <v>10000</v>
      </c>
      <c r="J7" s="766">
        <f t="shared" si="1"/>
        <v>0</v>
      </c>
    </row>
    <row r="8" spans="1:10" ht="39" customHeight="1" hidden="1">
      <c r="A8" s="765"/>
      <c r="B8" s="765"/>
      <c r="C8" s="105"/>
      <c r="D8" s="105"/>
      <c r="E8" s="105"/>
      <c r="F8" s="767"/>
      <c r="G8" s="105"/>
      <c r="H8" s="105"/>
      <c r="I8" s="105">
        <f t="shared" si="0"/>
        <v>0</v>
      </c>
      <c r="J8" s="766">
        <f t="shared" si="1"/>
        <v>0</v>
      </c>
    </row>
    <row r="9" spans="1:10" ht="15">
      <c r="A9" s="765" t="str">
        <f>'beruházás és felh. célú átadás'!A15</f>
        <v>Vizes pályázat</v>
      </c>
      <c r="B9" s="765">
        <f>'beruházás és felh. célú átadás'!B15</f>
        <v>885580</v>
      </c>
      <c r="C9" s="105"/>
      <c r="D9" s="105"/>
      <c r="E9" s="105">
        <v>885580</v>
      </c>
      <c r="F9" s="105"/>
      <c r="G9" s="105"/>
      <c r="H9" s="105"/>
      <c r="I9" s="105">
        <f t="shared" si="0"/>
        <v>885580</v>
      </c>
      <c r="J9" s="766">
        <f t="shared" si="1"/>
        <v>0</v>
      </c>
    </row>
    <row r="10" spans="1:10" ht="15">
      <c r="A10" s="765" t="str">
        <f>'beruházás és felh. célú átadás'!A16</f>
        <v>Antenna árbóc felújítás</v>
      </c>
      <c r="B10" s="765">
        <f>'beruházás és felh. célú átadás'!B16</f>
        <v>1500</v>
      </c>
      <c r="C10" s="105"/>
      <c r="D10" s="105"/>
      <c r="E10" s="105"/>
      <c r="F10" s="105">
        <v>1500</v>
      </c>
      <c r="G10" s="105"/>
      <c r="H10" s="105"/>
      <c r="I10" s="105">
        <f t="shared" si="0"/>
        <v>1500</v>
      </c>
      <c r="J10" s="766">
        <f t="shared" si="1"/>
        <v>0</v>
      </c>
    </row>
    <row r="11" spans="1:10" ht="28.5" customHeight="1">
      <c r="A11" s="765" t="str">
        <f>'beruházás és felh. célú átadás'!A17</f>
        <v>forgalmi rend változtatás</v>
      </c>
      <c r="B11" s="765">
        <f>'beruházás és felh. célú átadás'!B17</f>
        <v>800</v>
      </c>
      <c r="C11" s="58"/>
      <c r="D11" s="105"/>
      <c r="E11" s="105"/>
      <c r="F11" s="58">
        <v>800</v>
      </c>
      <c r="G11" s="105"/>
      <c r="H11" s="58"/>
      <c r="I11" s="105">
        <f t="shared" si="0"/>
        <v>800</v>
      </c>
      <c r="J11" s="766">
        <f t="shared" si="1"/>
        <v>0</v>
      </c>
    </row>
    <row r="12" spans="1:10" ht="30">
      <c r="A12" s="765" t="str">
        <f>'beruházás és felh. célú átadás'!A18</f>
        <v>János Vitéz díszkút javítása</v>
      </c>
      <c r="B12" s="765">
        <f>'beruházás és felh. célú átadás'!B18</f>
        <v>8000</v>
      </c>
      <c r="C12" s="105">
        <f>B12*0.95</f>
        <v>7600</v>
      </c>
      <c r="D12" s="105">
        <v>0</v>
      </c>
      <c r="E12" s="105"/>
      <c r="F12" s="105">
        <v>400</v>
      </c>
      <c r="G12" s="105"/>
      <c r="H12" s="105"/>
      <c r="I12" s="105">
        <f t="shared" si="0"/>
        <v>8000</v>
      </c>
      <c r="J12" s="766">
        <f t="shared" si="1"/>
        <v>0</v>
      </c>
    </row>
    <row r="13" spans="1:10" ht="30">
      <c r="A13" s="765" t="str">
        <f>'beruházás és felh. célú átadás'!A19</f>
        <v>Ivóvíz bevezetése szigetekre tervezés</v>
      </c>
      <c r="B13" s="765">
        <f>'beruházás és felh. célú átadás'!B19</f>
        <v>1500</v>
      </c>
      <c r="C13" s="58"/>
      <c r="D13" s="105"/>
      <c r="E13" s="105"/>
      <c r="F13" s="105">
        <v>1500</v>
      </c>
      <c r="G13" s="105"/>
      <c r="H13" s="105"/>
      <c r="I13" s="105">
        <f t="shared" si="0"/>
        <v>1500</v>
      </c>
      <c r="J13" s="766">
        <f t="shared" si="1"/>
        <v>0</v>
      </c>
    </row>
    <row r="14" spans="1:10" ht="15">
      <c r="A14" s="765" t="str">
        <f>'beruházás és felh. célú átadás'!A20</f>
        <v>kikötő és sólyapálya</v>
      </c>
      <c r="B14" s="765">
        <f>'beruházás és felh. célú átadás'!B20</f>
        <v>10000</v>
      </c>
      <c r="C14" s="105">
        <f>B14*0.95</f>
        <v>9500</v>
      </c>
      <c r="D14" s="105"/>
      <c r="E14" s="105"/>
      <c r="F14" s="105">
        <v>400</v>
      </c>
      <c r="G14" s="105"/>
      <c r="H14" s="105">
        <v>100</v>
      </c>
      <c r="I14" s="105">
        <f t="shared" si="0"/>
        <v>10000</v>
      </c>
      <c r="J14" s="766">
        <f t="shared" si="1"/>
        <v>0</v>
      </c>
    </row>
    <row r="15" spans="1:10" ht="15">
      <c r="A15" s="765" t="str">
        <f>'beruházás és felh. célú átadás'!A21</f>
        <v>Tanyafejlesztés</v>
      </c>
      <c r="B15" s="765">
        <f>'beruházás és felh. célú átadás'!B21</f>
        <v>9234</v>
      </c>
      <c r="C15" s="105"/>
      <c r="D15" s="105"/>
      <c r="E15" s="666">
        <v>8311</v>
      </c>
      <c r="F15" s="105">
        <v>923</v>
      </c>
      <c r="G15" s="105"/>
      <c r="H15" s="105"/>
      <c r="I15" s="105">
        <f t="shared" si="0"/>
        <v>9234</v>
      </c>
      <c r="J15" s="766">
        <f t="shared" si="1"/>
        <v>0</v>
      </c>
    </row>
    <row r="16" spans="1:10" ht="30" customHeight="1">
      <c r="A16" s="765" t="str">
        <f>'beruházás és felh. célú átadás'!A22</f>
        <v>Tanyafejlesztés II</v>
      </c>
      <c r="B16" s="765">
        <f>'beruházás és felh. célú átadás'!B22</f>
        <v>433</v>
      </c>
      <c r="C16" s="105"/>
      <c r="D16" s="105"/>
      <c r="E16" s="666">
        <v>390</v>
      </c>
      <c r="F16" s="105">
        <v>43</v>
      </c>
      <c r="G16" s="105"/>
      <c r="H16" s="105"/>
      <c r="I16" s="105">
        <f t="shared" si="0"/>
        <v>433</v>
      </c>
      <c r="J16" s="766">
        <f t="shared" si="1"/>
        <v>0</v>
      </c>
    </row>
    <row r="17" spans="1:10" ht="30">
      <c r="A17" s="765" t="str">
        <f>'beruházás és felh. célú átadás'!A23</f>
        <v>RÁFÁI és Gimnázium szálláshellyé alakítása</v>
      </c>
      <c r="B17" s="765">
        <f>'beruházás és felh. célú átadás'!B23</f>
        <v>1000</v>
      </c>
      <c r="C17" s="105"/>
      <c r="D17" s="105">
        <v>1000</v>
      </c>
      <c r="E17" s="105"/>
      <c r="F17" s="115">
        <v>0</v>
      </c>
      <c r="G17" s="105"/>
      <c r="H17" s="105"/>
      <c r="I17" s="105">
        <f t="shared" si="0"/>
        <v>1000</v>
      </c>
      <c r="J17" s="766">
        <f t="shared" si="1"/>
        <v>0</v>
      </c>
    </row>
    <row r="18" spans="1:10" ht="31.5" customHeight="1">
      <c r="A18" s="765" t="str">
        <f>'beruházás és felh. célú átadás'!A25</f>
        <v>Közvilágítás fejlesztés - hálózatépítés több utca</v>
      </c>
      <c r="B18" s="765">
        <f>'beruházás és felh. célú átadás'!B25</f>
        <v>500</v>
      </c>
      <c r="C18" s="105">
        <v>500</v>
      </c>
      <c r="D18" s="105"/>
      <c r="E18" s="105"/>
      <c r="F18" s="115">
        <v>0</v>
      </c>
      <c r="G18" s="58"/>
      <c r="H18" s="58">
        <v>0</v>
      </c>
      <c r="I18" s="105">
        <f t="shared" si="0"/>
        <v>500</v>
      </c>
      <c r="J18" s="766">
        <f t="shared" si="1"/>
        <v>0</v>
      </c>
    </row>
    <row r="19" spans="1:10" ht="42" customHeight="1">
      <c r="A19" s="765" t="str">
        <f>'beruházás és felh. célú átadás'!A26</f>
        <v>                                   teljesítmény  bővítés </v>
      </c>
      <c r="B19" s="765">
        <f>'beruházás és felh. célú átadás'!B26</f>
        <v>500</v>
      </c>
      <c r="C19" s="105"/>
      <c r="D19" s="105"/>
      <c r="E19" s="105"/>
      <c r="F19" s="115">
        <f>B19</f>
        <v>500</v>
      </c>
      <c r="G19" s="105"/>
      <c r="H19" s="105"/>
      <c r="I19" s="105">
        <f t="shared" si="0"/>
        <v>500</v>
      </c>
      <c r="J19" s="766">
        <f t="shared" si="1"/>
        <v>0</v>
      </c>
    </row>
    <row r="20" spans="1:10" ht="15">
      <c r="A20" s="765" t="str">
        <f>'beruházás és felh. célú átadás'!A27</f>
        <v>városszépítő alap</v>
      </c>
      <c r="B20" s="765">
        <f>'beruházás és felh. célú átadás'!B27</f>
        <v>5000</v>
      </c>
      <c r="C20" s="105">
        <v>0</v>
      </c>
      <c r="D20" s="105"/>
      <c r="E20" s="105"/>
      <c r="F20" s="105">
        <v>5000</v>
      </c>
      <c r="G20" s="105"/>
      <c r="H20" s="58"/>
      <c r="I20" s="105">
        <f t="shared" si="0"/>
        <v>5000</v>
      </c>
      <c r="J20" s="766">
        <f t="shared" si="1"/>
        <v>0</v>
      </c>
    </row>
    <row r="21" spans="1:10" ht="15">
      <c r="A21" s="765" t="str">
        <f>'beruházás és felh. célú átadás'!A30</f>
        <v>kerítés bontás</v>
      </c>
      <c r="B21" s="765">
        <f>'beruházás és felh. célú átadás'!B30</f>
        <v>500</v>
      </c>
      <c r="C21" s="105"/>
      <c r="D21" s="105"/>
      <c r="E21" s="105"/>
      <c r="F21" s="105"/>
      <c r="G21" s="105"/>
      <c r="H21" s="58">
        <f>B21</f>
        <v>500</v>
      </c>
      <c r="I21" s="105">
        <f t="shared" si="0"/>
        <v>500</v>
      </c>
      <c r="J21" s="766">
        <f t="shared" si="1"/>
        <v>0</v>
      </c>
    </row>
    <row r="22" spans="1:10" ht="30">
      <c r="A22" s="765" t="str">
        <f>'beruházás és felh. célú átadás'!A28</f>
        <v>Járulékos költségek, hatósági díjak</v>
      </c>
      <c r="B22" s="765">
        <f>'beruházás és felh. célú átadás'!B28</f>
        <v>3000</v>
      </c>
      <c r="C22" s="105"/>
      <c r="D22" s="105"/>
      <c r="E22" s="105"/>
      <c r="F22" s="105">
        <v>3000</v>
      </c>
      <c r="G22" s="105"/>
      <c r="H22" s="58"/>
      <c r="I22" s="105">
        <f t="shared" si="0"/>
        <v>3000</v>
      </c>
      <c r="J22" s="766">
        <f t="shared" si="1"/>
        <v>0</v>
      </c>
    </row>
    <row r="23" spans="1:10" ht="15">
      <c r="A23" s="765" t="str">
        <f>'beruházás és felh. célú átadás'!A29</f>
        <v>közbiztonsági eszközök</v>
      </c>
      <c r="B23" s="765">
        <f>'beruházás és felh. célú átadás'!B29</f>
        <v>6000</v>
      </c>
      <c r="C23" s="105">
        <f>5700-26</f>
        <v>5674</v>
      </c>
      <c r="D23" s="105"/>
      <c r="E23" s="105"/>
      <c r="F23" s="105">
        <v>326</v>
      </c>
      <c r="G23" s="105"/>
      <c r="H23" s="58">
        <v>0</v>
      </c>
      <c r="I23" s="105">
        <f t="shared" si="0"/>
        <v>6000</v>
      </c>
      <c r="J23" s="850">
        <f>I23-B23</f>
        <v>0</v>
      </c>
    </row>
    <row r="24" spans="1:10" ht="60">
      <c r="A24" s="765" t="str">
        <f>'beruházás és felh. célú átadás'!A34</f>
        <v>Szakorvosi Rendelőintézet fogászati eszközök és bútorok</v>
      </c>
      <c r="B24" s="765">
        <f>'beruházás és felh. célú átadás'!B34</f>
        <v>2831</v>
      </c>
      <c r="C24" s="105"/>
      <c r="D24" s="105"/>
      <c r="E24" s="105">
        <v>1741</v>
      </c>
      <c r="F24" s="58">
        <v>90</v>
      </c>
      <c r="G24" s="105"/>
      <c r="H24" s="58">
        <v>1000</v>
      </c>
      <c r="I24" s="105">
        <f aca="true" t="shared" si="2" ref="I24:I35">SUM(C24:H24)</f>
        <v>2831</v>
      </c>
      <c r="J24" s="766">
        <f>I24-B24</f>
        <v>0</v>
      </c>
    </row>
    <row r="25" spans="1:10" ht="30">
      <c r="A25" s="765" t="str">
        <f>'beruházás és felh. célú átadás'!A36</f>
        <v>Informatikai fejlesztés (gépek, nyomtatók)</v>
      </c>
      <c r="B25" s="765">
        <f>'beruházás és felh. célú átadás'!B36</f>
        <v>1000</v>
      </c>
      <c r="C25" s="105"/>
      <c r="D25" s="105">
        <v>250</v>
      </c>
      <c r="E25" s="105"/>
      <c r="F25" s="105">
        <v>0</v>
      </c>
      <c r="G25" s="105"/>
      <c r="H25" s="58">
        <v>750</v>
      </c>
      <c r="I25" s="105">
        <f t="shared" si="2"/>
        <v>1000</v>
      </c>
      <c r="J25" s="766">
        <f>I25-B25</f>
        <v>0</v>
      </c>
    </row>
    <row r="26" spans="1:10" ht="15">
      <c r="A26" s="765" t="str">
        <f>'beruházás és felh. célú átadás'!A37</f>
        <v>konyha beruházások</v>
      </c>
      <c r="B26" s="765">
        <f>'beruházás és felh. célú átadás'!B37</f>
        <v>6059</v>
      </c>
      <c r="C26" s="105"/>
      <c r="D26" s="105"/>
      <c r="E26" s="105"/>
      <c r="F26" s="58">
        <v>6059</v>
      </c>
      <c r="G26" s="105"/>
      <c r="H26" s="105"/>
      <c r="I26" s="105">
        <f t="shared" si="2"/>
        <v>6059</v>
      </c>
      <c r="J26" s="766">
        <f>I26-B26</f>
        <v>0</v>
      </c>
    </row>
    <row r="27" spans="1:10" ht="15">
      <c r="A27" s="770" t="str">
        <f>'beruházás és felh. célú átadás'!A38</f>
        <v>Informatikai eszközök Ped szakoszolgálat</v>
      </c>
      <c r="B27" s="770">
        <f>'beruházás és felh. célú átadás'!B38</f>
        <v>1283</v>
      </c>
      <c r="C27" s="105"/>
      <c r="D27" s="105"/>
      <c r="E27" s="105"/>
      <c r="F27" s="105">
        <v>1283</v>
      </c>
      <c r="G27" s="105"/>
      <c r="H27" s="105">
        <v>0</v>
      </c>
      <c r="I27" s="105">
        <f t="shared" si="2"/>
        <v>1283</v>
      </c>
      <c r="J27" s="766">
        <f>I27-B27</f>
        <v>0</v>
      </c>
    </row>
    <row r="28" spans="1:10" ht="15">
      <c r="A28" s="770" t="str">
        <f>'felújítások (2)'!A9</f>
        <v>Intézményi felújítási alap</v>
      </c>
      <c r="B28" s="770">
        <f>'felújítások (2)'!B9</f>
        <v>15000</v>
      </c>
      <c r="C28" s="105">
        <v>0</v>
      </c>
      <c r="D28" s="105">
        <v>10000</v>
      </c>
      <c r="E28" s="105"/>
      <c r="F28" s="115">
        <v>750</v>
      </c>
      <c r="G28" s="105"/>
      <c r="H28" s="105">
        <v>4250</v>
      </c>
      <c r="I28" s="105">
        <f t="shared" si="2"/>
        <v>15000</v>
      </c>
      <c r="J28" s="766">
        <f aca="true" t="shared" si="3" ref="J28:J35">I28-B28</f>
        <v>0</v>
      </c>
    </row>
    <row r="29" spans="1:10" ht="15">
      <c r="A29" s="770" t="str">
        <f>'felújítások (2)'!A10</f>
        <v>Halott hűtő kialakítása</v>
      </c>
      <c r="B29" s="770">
        <f>'felújítások (2)'!B10</f>
        <v>500</v>
      </c>
      <c r="C29" s="105"/>
      <c r="D29" s="105"/>
      <c r="E29" s="105"/>
      <c r="F29" s="115">
        <f>B29</f>
        <v>500</v>
      </c>
      <c r="G29" s="105"/>
      <c r="H29" s="105"/>
      <c r="I29" s="105">
        <f t="shared" si="2"/>
        <v>500</v>
      </c>
      <c r="J29" s="766">
        <f t="shared" si="3"/>
        <v>0</v>
      </c>
    </row>
    <row r="30" spans="1:10" ht="15">
      <c r="A30" s="770" t="str">
        <f>'felújítások (2)'!A12</f>
        <v>járdaépítés</v>
      </c>
      <c r="B30" s="770">
        <f>'felújítások (2)'!B12</f>
        <v>5000</v>
      </c>
      <c r="C30" s="105">
        <f>B30*0.95</f>
        <v>4750</v>
      </c>
      <c r="D30" s="105"/>
      <c r="E30" s="105"/>
      <c r="F30" s="115">
        <v>250</v>
      </c>
      <c r="G30" s="105"/>
      <c r="H30" s="105">
        <v>0</v>
      </c>
      <c r="I30" s="105">
        <f t="shared" si="2"/>
        <v>5000</v>
      </c>
      <c r="J30" s="766">
        <f t="shared" si="3"/>
        <v>0</v>
      </c>
    </row>
    <row r="31" spans="1:10" ht="15">
      <c r="A31" s="770" t="str">
        <f>céltARTALÉK!A17</f>
        <v>leader pályázat önereje testvérvárosok háza</v>
      </c>
      <c r="B31" s="770">
        <f>céltARTALÉK!B17</f>
        <v>11945</v>
      </c>
      <c r="C31" s="105">
        <v>11120</v>
      </c>
      <c r="D31" s="105"/>
      <c r="E31" s="105"/>
      <c r="F31" s="105">
        <v>825</v>
      </c>
      <c r="G31" s="105"/>
      <c r="H31" s="105"/>
      <c r="I31" s="105">
        <f t="shared" si="2"/>
        <v>11945</v>
      </c>
      <c r="J31" s="766">
        <f t="shared" si="3"/>
        <v>0</v>
      </c>
    </row>
    <row r="32" spans="1:10" ht="15">
      <c r="A32" s="770" t="str">
        <f>céltARTALÉK!A18</f>
        <v>vagyonnal kapcsolatos jogi kiadások</v>
      </c>
      <c r="B32" s="770">
        <f>céltARTALÉK!B18</f>
        <v>14300</v>
      </c>
      <c r="C32" s="105"/>
      <c r="D32" s="105"/>
      <c r="E32" s="105"/>
      <c r="F32" s="105">
        <v>14300</v>
      </c>
      <c r="G32" s="105"/>
      <c r="H32" s="105"/>
      <c r="I32" s="105">
        <f t="shared" si="2"/>
        <v>14300</v>
      </c>
      <c r="J32" s="766">
        <f t="shared" si="3"/>
        <v>0</v>
      </c>
    </row>
    <row r="33" spans="1:10" ht="15">
      <c r="A33" s="770" t="str">
        <f>céltARTALÉK!A19</f>
        <v>bérleti díj terhére DAKÖV által végzett</v>
      </c>
      <c r="B33" s="770">
        <f>céltARTALÉK!B19</f>
        <v>14700</v>
      </c>
      <c r="C33" s="105"/>
      <c r="D33" s="105"/>
      <c r="E33" s="105"/>
      <c r="F33" s="105">
        <v>14700</v>
      </c>
      <c r="G33" s="105"/>
      <c r="H33" s="105"/>
      <c r="I33" s="105">
        <f t="shared" si="2"/>
        <v>14700</v>
      </c>
      <c r="J33" s="766">
        <f t="shared" si="3"/>
        <v>0</v>
      </c>
    </row>
    <row r="34" spans="1:10" ht="15">
      <c r="A34" s="770" t="s">
        <v>593</v>
      </c>
      <c r="B34" s="770">
        <v>15000</v>
      </c>
      <c r="C34" s="105">
        <f>B34*0.95</f>
        <v>14250</v>
      </c>
      <c r="D34" s="105"/>
      <c r="E34" s="105"/>
      <c r="F34" s="105">
        <v>750</v>
      </c>
      <c r="G34" s="105"/>
      <c r="H34" s="105">
        <v>0</v>
      </c>
      <c r="I34" s="105">
        <f t="shared" si="2"/>
        <v>15000</v>
      </c>
      <c r="J34" s="766">
        <f t="shared" si="3"/>
        <v>0</v>
      </c>
    </row>
    <row r="35" spans="1:10" ht="15">
      <c r="A35" s="770" t="str">
        <f>céltARTALÉK!A20</f>
        <v>Röntgen digitalizálásra</v>
      </c>
      <c r="B35" s="770">
        <f>céltARTALÉK!B20</f>
        <v>5000</v>
      </c>
      <c r="C35" s="105"/>
      <c r="D35" s="105"/>
      <c r="E35" s="105"/>
      <c r="F35" s="105">
        <v>5000</v>
      </c>
      <c r="G35" s="105"/>
      <c r="H35" s="105"/>
      <c r="I35" s="105">
        <f t="shared" si="2"/>
        <v>5000</v>
      </c>
      <c r="J35" s="766">
        <f t="shared" si="3"/>
        <v>0</v>
      </c>
    </row>
    <row r="36" spans="1:12" s="57" customFormat="1" ht="13.5" thickBot="1">
      <c r="A36" s="768"/>
      <c r="B36" s="769">
        <f aca="true" t="shared" si="4" ref="B36:J36">SUM(B4:B35)</f>
        <v>1067454</v>
      </c>
      <c r="C36" s="769">
        <f t="shared" si="4"/>
        <v>57194</v>
      </c>
      <c r="D36" s="769">
        <f t="shared" si="4"/>
        <v>11250</v>
      </c>
      <c r="E36" s="769">
        <f t="shared" si="4"/>
        <v>918123</v>
      </c>
      <c r="F36" s="769">
        <f t="shared" si="4"/>
        <v>74287</v>
      </c>
      <c r="G36" s="769">
        <f t="shared" si="4"/>
        <v>0</v>
      </c>
      <c r="H36" s="769">
        <f t="shared" si="4"/>
        <v>6600</v>
      </c>
      <c r="I36" s="769">
        <f t="shared" si="4"/>
        <v>1067454</v>
      </c>
      <c r="J36" s="769">
        <f t="shared" si="4"/>
        <v>0</v>
      </c>
      <c r="K36" s="318"/>
      <c r="L36" s="318"/>
    </row>
    <row r="37" spans="2:8" ht="12.75" hidden="1">
      <c r="B37" s="59">
        <f>B36-'[8]mérleg'!F53</f>
        <v>439505</v>
      </c>
      <c r="F37" s="59">
        <f>'[8]mérleg'!F32+'[8]mérleg'!F37+34000</f>
        <v>70050</v>
      </c>
      <c r="H37">
        <v>14532</v>
      </c>
    </row>
    <row r="38" spans="6:8" ht="12.75" hidden="1">
      <c r="F38" s="59">
        <f>F37-F36</f>
        <v>-4237</v>
      </c>
      <c r="H38">
        <f>H36-H37</f>
        <v>-7932</v>
      </c>
    </row>
    <row r="39" spans="2:5" ht="12.75" hidden="1">
      <c r="B39" s="59">
        <f>B36-mérleg!F53</f>
        <v>0</v>
      </c>
      <c r="E39" s="59">
        <f>E36-mérleg!F33</f>
        <v>0</v>
      </c>
    </row>
    <row r="40" ht="12.75" hidden="1">
      <c r="H40" s="59">
        <f>SUM(D36:H36)</f>
        <v>1010260</v>
      </c>
    </row>
    <row r="41" ht="12.75" hidden="1">
      <c r="C41" s="59"/>
    </row>
    <row r="42" spans="3:11" ht="12.75">
      <c r="C42" s="59">
        <v>57194</v>
      </c>
      <c r="D42">
        <v>11250</v>
      </c>
      <c r="E42">
        <v>918123</v>
      </c>
      <c r="F42">
        <f>9263+12747+3100+49177</f>
        <v>74287</v>
      </c>
      <c r="H42">
        <v>6600</v>
      </c>
      <c r="K42" s="59"/>
    </row>
    <row r="43" spans="3:10" ht="12.75">
      <c r="C43" s="59">
        <f>C36-C42</f>
        <v>0</v>
      </c>
      <c r="D43" s="59">
        <f>D36-D42</f>
        <v>0</v>
      </c>
      <c r="E43" s="59">
        <f>E36-E42</f>
        <v>0</v>
      </c>
      <c r="F43" s="59">
        <f>F36-F42</f>
        <v>0</v>
      </c>
      <c r="H43" s="59">
        <f>H36-H42</f>
        <v>0</v>
      </c>
      <c r="I43" s="59"/>
      <c r="J43" s="59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&amp;R..........................rendelet a város 2014 évi költégvetéséről
</oddHeader>
    <oddFooter>&amp;C&amp;D&amp;R&amp;P.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9">
      <selection activeCell="F71" activeCellId="2" sqref="C65 C71 F71"/>
    </sheetView>
  </sheetViews>
  <sheetFormatPr defaultColWidth="9.140625" defaultRowHeight="12.75"/>
  <cols>
    <col min="1" max="1" width="26.00390625" style="118" customWidth="1"/>
    <col min="2" max="3" width="16.57421875" style="0" customWidth="1"/>
    <col min="5" max="5" width="9.57421875" style="0" customWidth="1"/>
    <col min="6" max="6" width="9.00390625" style="0" customWidth="1"/>
    <col min="7" max="7" width="11.28125" style="0" customWidth="1"/>
    <col min="8" max="8" width="0" style="0" hidden="1" customWidth="1"/>
    <col min="11" max="11" width="10.140625" style="0" customWidth="1"/>
  </cols>
  <sheetData>
    <row r="1" spans="1:3" ht="12.75">
      <c r="A1" s="760" t="s">
        <v>671</v>
      </c>
      <c r="B1" s="761" t="s">
        <v>670</v>
      </c>
      <c r="C1" s="761"/>
    </row>
    <row r="2" ht="13.5" thickBot="1"/>
    <row r="3" spans="1:11" s="695" customFormat="1" ht="38.25">
      <c r="A3" s="762" t="s">
        <v>460</v>
      </c>
      <c r="B3" s="763" t="s">
        <v>461</v>
      </c>
      <c r="C3" s="763" t="s">
        <v>469</v>
      </c>
      <c r="D3" s="763" t="s">
        <v>462</v>
      </c>
      <c r="E3" s="763" t="s">
        <v>463</v>
      </c>
      <c r="F3" s="763" t="s">
        <v>464</v>
      </c>
      <c r="G3" s="763" t="s">
        <v>465</v>
      </c>
      <c r="H3" s="763" t="s">
        <v>466</v>
      </c>
      <c r="I3" s="763" t="s">
        <v>467</v>
      </c>
      <c r="J3" s="763" t="s">
        <v>21</v>
      </c>
      <c r="K3" s="764" t="s">
        <v>468</v>
      </c>
    </row>
    <row r="4" spans="1:11" ht="33.75" customHeight="1">
      <c r="A4" s="765" t="str">
        <f>'beruházás és felh. célú átadás'!A9</f>
        <v>Vis maior támogatás</v>
      </c>
      <c r="B4" s="765">
        <f>'beruházás és felh. célú átadás'!B9</f>
        <v>17289</v>
      </c>
      <c r="C4" s="773"/>
      <c r="D4" s="105">
        <f>finanszírozás!C4</f>
        <v>0</v>
      </c>
      <c r="E4" s="105">
        <f>finanszírozás!D4</f>
        <v>0</v>
      </c>
      <c r="F4" s="105">
        <f>finanszírozás!E4</f>
        <v>12101</v>
      </c>
      <c r="G4" s="105">
        <f>finanszírozás!F4</f>
        <v>5188</v>
      </c>
      <c r="H4" s="105">
        <f>finanszírozás!G4</f>
        <v>0</v>
      </c>
      <c r="I4" s="105">
        <f>finanszírozás!H4</f>
        <v>0</v>
      </c>
      <c r="J4" s="105">
        <f>finanszírozás!I4</f>
        <v>17289</v>
      </c>
      <c r="K4" s="766">
        <f aca="true" t="shared" si="0" ref="K4:K22">J4-B4</f>
        <v>0</v>
      </c>
    </row>
    <row r="5" spans="1:11" ht="33.75" customHeight="1">
      <c r="A5" s="765" t="str">
        <f>'beruházás és felh. célú átadás'!A10</f>
        <v>Informatikai pályázat</v>
      </c>
      <c r="B5" s="765">
        <f>'beruházás és felh. célú átadás'!B10</f>
        <v>10000</v>
      </c>
      <c r="C5" s="773"/>
      <c r="D5" s="105">
        <f>finanszírozás!C5</f>
        <v>0</v>
      </c>
      <c r="E5" s="105">
        <f>finanszírozás!D5</f>
        <v>0</v>
      </c>
      <c r="F5" s="105">
        <f>finanszírozás!E5</f>
        <v>10000</v>
      </c>
      <c r="G5" s="105">
        <f>finanszírozás!F5</f>
        <v>0</v>
      </c>
      <c r="H5" s="105">
        <f>finanszírozás!G5</f>
        <v>0</v>
      </c>
      <c r="I5" s="105">
        <f>finanszírozás!H5</f>
        <v>0</v>
      </c>
      <c r="J5" s="105">
        <f>finanszírozás!I5</f>
        <v>10000</v>
      </c>
      <c r="K5" s="766">
        <f t="shared" si="0"/>
        <v>0</v>
      </c>
    </row>
    <row r="6" spans="1:11" ht="30" customHeight="1">
      <c r="A6" s="765" t="str">
        <f>'beruházás és felh. célú átadás'!A11</f>
        <v>Múzeum kazáncsere</v>
      </c>
      <c r="B6" s="765">
        <f>'beruházás és felh. célú átadás'!B11</f>
        <v>4000</v>
      </c>
      <c r="C6" s="773">
        <v>4000</v>
      </c>
      <c r="D6" s="105">
        <f>finanszírozás!C6</f>
        <v>3800</v>
      </c>
      <c r="E6" s="105">
        <f>finanszírozás!D6</f>
        <v>0</v>
      </c>
      <c r="F6" s="105">
        <f>finanszírozás!E6</f>
        <v>0</v>
      </c>
      <c r="G6" s="105">
        <f>finanszírozás!F6</f>
        <v>200</v>
      </c>
      <c r="H6" s="105">
        <f>finanszírozás!G6</f>
        <v>0</v>
      </c>
      <c r="I6" s="105">
        <f>finanszírozás!H6</f>
        <v>0</v>
      </c>
      <c r="J6" s="105">
        <f>finanszírozás!I6</f>
        <v>4000</v>
      </c>
      <c r="K6" s="766">
        <f t="shared" si="0"/>
        <v>0</v>
      </c>
    </row>
    <row r="7" spans="1:11" ht="24" customHeight="1">
      <c r="A7" s="765" t="str">
        <f>'beruházás és felh. célú átadás'!A12</f>
        <v>MLSZ műfüves pálya</v>
      </c>
      <c r="B7" s="765">
        <f>'beruházás és felh. célú átadás'!B12</f>
        <v>10000</v>
      </c>
      <c r="C7" s="773"/>
      <c r="D7" s="105">
        <f>finanszírozás!C7</f>
        <v>0</v>
      </c>
      <c r="E7" s="105">
        <f>finanszírozás!D7</f>
        <v>0</v>
      </c>
      <c r="F7" s="105">
        <f>finanszírozás!E7</f>
        <v>0</v>
      </c>
      <c r="G7" s="105">
        <f>finanszírozás!F7</f>
        <v>10000</v>
      </c>
      <c r="H7" s="105">
        <f>finanszírozás!G7</f>
        <v>0</v>
      </c>
      <c r="I7" s="105">
        <f>finanszírozás!H7</f>
        <v>0</v>
      </c>
      <c r="J7" s="105">
        <f>finanszírozás!I7</f>
        <v>10000</v>
      </c>
      <c r="K7" s="766">
        <f t="shared" si="0"/>
        <v>0</v>
      </c>
    </row>
    <row r="8" spans="1:11" ht="39" customHeight="1" hidden="1">
      <c r="A8" s="765"/>
      <c r="B8" s="765"/>
      <c r="C8" s="773"/>
      <c r="D8" s="105">
        <f>finanszírozás!C8</f>
        <v>0</v>
      </c>
      <c r="E8" s="105">
        <f>finanszírozás!D8</f>
        <v>0</v>
      </c>
      <c r="F8" s="105">
        <f>finanszírozás!E8</f>
        <v>0</v>
      </c>
      <c r="G8" s="105">
        <f>finanszírozás!F8</f>
        <v>0</v>
      </c>
      <c r="H8" s="105">
        <f>finanszírozás!G8</f>
        <v>0</v>
      </c>
      <c r="I8" s="105">
        <f>finanszírozás!H8</f>
        <v>0</v>
      </c>
      <c r="J8" s="105">
        <f>finanszírozás!I8</f>
        <v>0</v>
      </c>
      <c r="K8" s="766">
        <f t="shared" si="0"/>
        <v>0</v>
      </c>
    </row>
    <row r="9" spans="1:11" ht="15">
      <c r="A9" s="765" t="str">
        <f>'beruházás és felh. célú átadás'!A15</f>
        <v>Vizes pályázat</v>
      </c>
      <c r="B9" s="765">
        <f>'beruházás és felh. célú átadás'!B15</f>
        <v>885580</v>
      </c>
      <c r="C9" s="773"/>
      <c r="D9" s="105">
        <f>finanszírozás!C9</f>
        <v>0</v>
      </c>
      <c r="E9" s="105">
        <f>finanszírozás!D9</f>
        <v>0</v>
      </c>
      <c r="F9" s="105">
        <f>finanszírozás!E9</f>
        <v>885580</v>
      </c>
      <c r="G9" s="105">
        <f>finanszírozás!F9</f>
        <v>0</v>
      </c>
      <c r="H9" s="105">
        <f>finanszírozás!G9</f>
        <v>0</v>
      </c>
      <c r="I9" s="105">
        <f>finanszírozás!H9</f>
        <v>0</v>
      </c>
      <c r="J9" s="105">
        <f>finanszírozás!I9</f>
        <v>885580</v>
      </c>
      <c r="K9" s="766">
        <f t="shared" si="0"/>
        <v>0</v>
      </c>
    </row>
    <row r="10" spans="1:11" ht="15">
      <c r="A10" s="765" t="str">
        <f>'beruházás és felh. célú átadás'!A16</f>
        <v>Antenna árbóc felújítás</v>
      </c>
      <c r="B10" s="765">
        <f>'beruházás és felh. célú átadás'!B16</f>
        <v>1500</v>
      </c>
      <c r="C10" s="773"/>
      <c r="D10" s="105">
        <f>finanszírozás!C10</f>
        <v>0</v>
      </c>
      <c r="E10" s="105">
        <f>finanszírozás!D10</f>
        <v>0</v>
      </c>
      <c r="F10" s="105">
        <f>finanszírozás!E10</f>
        <v>0</v>
      </c>
      <c r="G10" s="105">
        <f>finanszírozás!F10</f>
        <v>1500</v>
      </c>
      <c r="H10" s="105">
        <f>finanszírozás!G10</f>
        <v>0</v>
      </c>
      <c r="I10" s="105">
        <f>finanszírozás!H10</f>
        <v>0</v>
      </c>
      <c r="J10" s="105">
        <f>finanszírozás!I10</f>
        <v>1500</v>
      </c>
      <c r="K10" s="766">
        <f t="shared" si="0"/>
        <v>0</v>
      </c>
    </row>
    <row r="11" spans="1:11" ht="28.5" customHeight="1">
      <c r="A11" s="765" t="str">
        <f>'beruházás és felh. célú átadás'!A17</f>
        <v>forgalmi rend változtatás</v>
      </c>
      <c r="B11" s="765">
        <f>'beruházás és felh. célú átadás'!B17</f>
        <v>800</v>
      </c>
      <c r="C11" s="773"/>
      <c r="D11" s="105">
        <f>finanszírozás!C11</f>
        <v>0</v>
      </c>
      <c r="E11" s="105">
        <f>finanszírozás!D11</f>
        <v>0</v>
      </c>
      <c r="F11" s="105">
        <f>finanszírozás!E11</f>
        <v>0</v>
      </c>
      <c r="G11" s="105">
        <f>finanszírozás!F11</f>
        <v>800</v>
      </c>
      <c r="H11" s="105">
        <f>finanszírozás!G11</f>
        <v>0</v>
      </c>
      <c r="I11" s="105">
        <f>finanszírozás!H11</f>
        <v>0</v>
      </c>
      <c r="J11" s="105">
        <f>finanszírozás!I11</f>
        <v>800</v>
      </c>
      <c r="K11" s="766">
        <f t="shared" si="0"/>
        <v>0</v>
      </c>
    </row>
    <row r="12" spans="1:11" ht="30">
      <c r="A12" s="765" t="str">
        <f>'beruházás és felh. célú átadás'!A18</f>
        <v>János Vitéz díszkút javítása</v>
      </c>
      <c r="B12" s="765">
        <f>'beruházás és felh. célú átadás'!B18</f>
        <v>8000</v>
      </c>
      <c r="C12" s="773">
        <v>8000</v>
      </c>
      <c r="D12" s="105">
        <f>finanszírozás!C12</f>
        <v>7600</v>
      </c>
      <c r="E12" s="105">
        <f>finanszírozás!D12</f>
        <v>0</v>
      </c>
      <c r="F12" s="105">
        <f>finanszírozás!E12</f>
        <v>0</v>
      </c>
      <c r="G12" s="105">
        <f>finanszírozás!F12</f>
        <v>400</v>
      </c>
      <c r="H12" s="105">
        <f>finanszírozás!G12</f>
        <v>0</v>
      </c>
      <c r="I12" s="105">
        <f>finanszírozás!H12</f>
        <v>0</v>
      </c>
      <c r="J12" s="105">
        <f>finanszírozás!I12</f>
        <v>8000</v>
      </c>
      <c r="K12" s="766">
        <f t="shared" si="0"/>
        <v>0</v>
      </c>
    </row>
    <row r="13" spans="1:11" ht="30">
      <c r="A13" s="765" t="str">
        <f>'beruházás és felh. célú átadás'!A19</f>
        <v>Ivóvíz bevezetése szigetekre tervezés</v>
      </c>
      <c r="B13" s="765">
        <f>'beruházás és felh. célú átadás'!B19</f>
        <v>1500</v>
      </c>
      <c r="C13" s="773"/>
      <c r="D13" s="105">
        <f>finanszírozás!C13</f>
        <v>0</v>
      </c>
      <c r="E13" s="105">
        <f>finanszírozás!D13</f>
        <v>0</v>
      </c>
      <c r="F13" s="105">
        <f>finanszírozás!E13</f>
        <v>0</v>
      </c>
      <c r="G13" s="105">
        <f>finanszírozás!F13</f>
        <v>1500</v>
      </c>
      <c r="H13" s="105">
        <f>finanszírozás!G13</f>
        <v>0</v>
      </c>
      <c r="I13" s="105">
        <f>finanszírozás!H13</f>
        <v>0</v>
      </c>
      <c r="J13" s="105">
        <f>finanszírozás!I13</f>
        <v>1500</v>
      </c>
      <c r="K13" s="766">
        <f t="shared" si="0"/>
        <v>0</v>
      </c>
    </row>
    <row r="14" spans="1:11" ht="15">
      <c r="A14" s="765" t="str">
        <f>'beruházás és felh. célú átadás'!A20</f>
        <v>kikötő és sólyapálya</v>
      </c>
      <c r="B14" s="765">
        <f>'beruházás és felh. célú átadás'!B20</f>
        <v>10000</v>
      </c>
      <c r="C14" s="773">
        <f>B14</f>
        <v>10000</v>
      </c>
      <c r="D14" s="105">
        <f>finanszírozás!C14</f>
        <v>9500</v>
      </c>
      <c r="E14" s="105">
        <f>finanszírozás!D14</f>
        <v>0</v>
      </c>
      <c r="F14" s="105">
        <f>finanszírozás!E14</f>
        <v>0</v>
      </c>
      <c r="G14" s="105">
        <f>finanszírozás!F14</f>
        <v>400</v>
      </c>
      <c r="H14" s="105">
        <f>finanszírozás!G14</f>
        <v>0</v>
      </c>
      <c r="I14" s="105">
        <f>finanszírozás!H14</f>
        <v>100</v>
      </c>
      <c r="J14" s="105">
        <f>finanszírozás!I14</f>
        <v>10000</v>
      </c>
      <c r="K14" s="766">
        <f t="shared" si="0"/>
        <v>0</v>
      </c>
    </row>
    <row r="15" spans="1:11" ht="15">
      <c r="A15" s="765" t="str">
        <f>'beruházás és felh. célú átadás'!A21</f>
        <v>Tanyafejlesztés</v>
      </c>
      <c r="B15" s="765">
        <f>'beruházás és felh. célú átadás'!B21</f>
        <v>9234</v>
      </c>
      <c r="C15" s="773"/>
      <c r="D15" s="105">
        <f>finanszírozás!C15</f>
        <v>0</v>
      </c>
      <c r="E15" s="105">
        <f>finanszírozás!D15</f>
        <v>0</v>
      </c>
      <c r="F15" s="105">
        <f>finanszírozás!E15</f>
        <v>8311</v>
      </c>
      <c r="G15" s="105">
        <f>finanszírozás!F15</f>
        <v>923</v>
      </c>
      <c r="H15" s="105">
        <f>finanszírozás!G15</f>
        <v>0</v>
      </c>
      <c r="I15" s="105">
        <f>finanszírozás!H15</f>
        <v>0</v>
      </c>
      <c r="J15" s="105">
        <f>finanszírozás!I15</f>
        <v>9234</v>
      </c>
      <c r="K15" s="766">
        <f t="shared" si="0"/>
        <v>0</v>
      </c>
    </row>
    <row r="16" spans="1:11" ht="30" customHeight="1">
      <c r="A16" s="765" t="str">
        <f>'beruházás és felh. célú átadás'!A22</f>
        <v>Tanyafejlesztés II</v>
      </c>
      <c r="B16" s="765">
        <f>'beruházás és felh. célú átadás'!B22</f>
        <v>433</v>
      </c>
      <c r="C16" s="773"/>
      <c r="D16" s="105">
        <f>finanszírozás!C16</f>
        <v>0</v>
      </c>
      <c r="E16" s="105">
        <f>finanszírozás!D16</f>
        <v>0</v>
      </c>
      <c r="F16" s="105">
        <f>finanszírozás!E16</f>
        <v>390</v>
      </c>
      <c r="G16" s="105">
        <f>finanszírozás!F16</f>
        <v>43</v>
      </c>
      <c r="H16" s="105">
        <f>finanszírozás!G16</f>
        <v>0</v>
      </c>
      <c r="I16" s="105">
        <f>finanszírozás!H16</f>
        <v>0</v>
      </c>
      <c r="J16" s="105">
        <f>finanszírozás!I16</f>
        <v>433</v>
      </c>
      <c r="K16" s="766">
        <f t="shared" si="0"/>
        <v>0</v>
      </c>
    </row>
    <row r="17" spans="1:11" ht="30">
      <c r="A17" s="765" t="str">
        <f>'beruházás és felh. célú átadás'!A23</f>
        <v>RÁFÁI és Gimnázium szálláshellyé alakítása</v>
      </c>
      <c r="B17" s="765">
        <f>'beruházás és felh. célú átadás'!B23</f>
        <v>1000</v>
      </c>
      <c r="C17" s="773"/>
      <c r="D17" s="105">
        <f>finanszírozás!C17</f>
        <v>0</v>
      </c>
      <c r="E17" s="105">
        <f>finanszírozás!D17</f>
        <v>1000</v>
      </c>
      <c r="F17" s="105">
        <f>finanszírozás!E17</f>
        <v>0</v>
      </c>
      <c r="G17" s="105">
        <f>finanszírozás!F17</f>
        <v>0</v>
      </c>
      <c r="H17" s="105">
        <f>finanszírozás!G17</f>
        <v>0</v>
      </c>
      <c r="I17" s="105">
        <f>finanszírozás!H17</f>
        <v>0</v>
      </c>
      <c r="J17" s="105">
        <f>finanszírozás!I17</f>
        <v>1000</v>
      </c>
      <c r="K17" s="766">
        <f t="shared" si="0"/>
        <v>0</v>
      </c>
    </row>
    <row r="18" spans="1:11" ht="31.5" customHeight="1">
      <c r="A18" s="765" t="str">
        <f>'beruházás és felh. célú átadás'!A25</f>
        <v>Közvilágítás fejlesztés - hálózatépítés több utca</v>
      </c>
      <c r="B18" s="765">
        <f>'beruházás és felh. célú átadás'!B25</f>
        <v>500</v>
      </c>
      <c r="C18" s="773">
        <v>500</v>
      </c>
      <c r="D18" s="105">
        <f>finanszírozás!C18</f>
        <v>500</v>
      </c>
      <c r="E18" s="105">
        <f>finanszírozás!D18</f>
        <v>0</v>
      </c>
      <c r="F18" s="105">
        <f>finanszírozás!E18</f>
        <v>0</v>
      </c>
      <c r="G18" s="105">
        <f>finanszírozás!F18</f>
        <v>0</v>
      </c>
      <c r="H18" s="105">
        <f>finanszírozás!G18</f>
        <v>0</v>
      </c>
      <c r="I18" s="105">
        <f>finanszírozás!H18</f>
        <v>0</v>
      </c>
      <c r="J18" s="105">
        <f>finanszírozás!I18</f>
        <v>500</v>
      </c>
      <c r="K18" s="766">
        <f t="shared" si="0"/>
        <v>0</v>
      </c>
    </row>
    <row r="19" spans="1:11" ht="31.5" customHeight="1">
      <c r="A19" s="765" t="s">
        <v>676</v>
      </c>
      <c r="B19" s="765">
        <v>5000</v>
      </c>
      <c r="C19" s="773"/>
      <c r="D19" s="105"/>
      <c r="E19" s="105"/>
      <c r="F19" s="105"/>
      <c r="G19" s="105"/>
      <c r="H19" s="105"/>
      <c r="I19" s="105"/>
      <c r="J19" s="105">
        <f>finanszírozás!I19</f>
        <v>500</v>
      </c>
      <c r="K19" s="766"/>
    </row>
    <row r="20" spans="1:11" ht="42" customHeight="1">
      <c r="A20" s="765" t="str">
        <f>'beruházás és felh. célú átadás'!A26</f>
        <v>                                   teljesítmény  bővítés </v>
      </c>
      <c r="B20" s="765">
        <f>'beruházás és felh. célú átadás'!B26</f>
        <v>500</v>
      </c>
      <c r="C20" s="773"/>
      <c r="D20" s="105">
        <f>finanszírozás!C19</f>
        <v>0</v>
      </c>
      <c r="E20" s="105">
        <f>finanszírozás!D19</f>
        <v>0</v>
      </c>
      <c r="F20" s="105">
        <f>finanszírozás!E19</f>
        <v>0</v>
      </c>
      <c r="G20" s="105">
        <f>finanszírozás!F19</f>
        <v>500</v>
      </c>
      <c r="H20" s="105">
        <f>finanszírozás!G19</f>
        <v>0</v>
      </c>
      <c r="I20" s="105">
        <f>finanszírozás!H19</f>
        <v>0</v>
      </c>
      <c r="J20" s="105">
        <f>finanszírozás!I19</f>
        <v>500</v>
      </c>
      <c r="K20" s="766">
        <f t="shared" si="0"/>
        <v>0</v>
      </c>
    </row>
    <row r="21" spans="1:11" ht="15">
      <c r="A21" s="765" t="str">
        <f>'beruházás és felh. célú átadás'!A27</f>
        <v>városszépítő alap</v>
      </c>
      <c r="B21" s="765">
        <f>'beruházás és felh. célú átadás'!B27</f>
        <v>5000</v>
      </c>
      <c r="C21" s="773">
        <f>B21</f>
        <v>5000</v>
      </c>
      <c r="D21" s="105">
        <f>finanszírozás!C20</f>
        <v>0</v>
      </c>
      <c r="E21" s="105">
        <f>finanszírozás!D20</f>
        <v>0</v>
      </c>
      <c r="F21" s="105">
        <f>finanszírozás!E20</f>
        <v>0</v>
      </c>
      <c r="G21" s="105">
        <f>finanszírozás!F20</f>
        <v>5000</v>
      </c>
      <c r="H21" s="105">
        <f>finanszírozás!G20</f>
        <v>0</v>
      </c>
      <c r="I21" s="105">
        <f>finanszírozás!H20</f>
        <v>0</v>
      </c>
      <c r="J21" s="105">
        <f>finanszírozás!I20</f>
        <v>5000</v>
      </c>
      <c r="K21" s="766">
        <f t="shared" si="0"/>
        <v>0</v>
      </c>
    </row>
    <row r="22" spans="1:11" ht="15">
      <c r="A22" s="765" t="str">
        <f>'beruházás és felh. célú átadás'!A30</f>
        <v>kerítés bontás</v>
      </c>
      <c r="B22" s="765">
        <f>'beruházás és felh. célú átadás'!B30</f>
        <v>500</v>
      </c>
      <c r="C22" s="773"/>
      <c r="D22" s="105">
        <f>finanszírozás!C21</f>
        <v>0</v>
      </c>
      <c r="E22" s="105">
        <f>finanszírozás!D21</f>
        <v>0</v>
      </c>
      <c r="F22" s="105">
        <f>finanszírozás!E21</f>
        <v>0</v>
      </c>
      <c r="G22" s="105">
        <f>finanszírozás!F21</f>
        <v>0</v>
      </c>
      <c r="H22" s="105">
        <f>finanszírozás!G21</f>
        <v>0</v>
      </c>
      <c r="I22" s="105">
        <f>finanszírozás!H21</f>
        <v>500</v>
      </c>
      <c r="J22" s="105">
        <f>finanszírozás!I21</f>
        <v>500</v>
      </c>
      <c r="K22" s="766">
        <f t="shared" si="0"/>
        <v>0</v>
      </c>
    </row>
    <row r="23" spans="1:11" ht="30">
      <c r="A23" s="765" t="str">
        <f>'beruházás és felh. célú átadás'!A28</f>
        <v>Járulékos költségek, hatósági díjak</v>
      </c>
      <c r="B23" s="765">
        <f>'beruházás és felh. célú átadás'!B28</f>
        <v>3000</v>
      </c>
      <c r="C23" s="773"/>
      <c r="D23" s="105">
        <f>finanszírozás!C22</f>
        <v>0</v>
      </c>
      <c r="E23" s="105">
        <f>finanszírozás!D22</f>
        <v>0</v>
      </c>
      <c r="F23" s="105">
        <f>finanszírozás!E22</f>
        <v>0</v>
      </c>
      <c r="G23" s="105">
        <f>finanszírozás!F22</f>
        <v>3000</v>
      </c>
      <c r="H23" s="105">
        <f>finanszírozás!G22</f>
        <v>0</v>
      </c>
      <c r="I23" s="105">
        <f>finanszírozás!H22</f>
        <v>0</v>
      </c>
      <c r="J23" s="105">
        <f>finanszírozás!I22</f>
        <v>3000</v>
      </c>
      <c r="K23" s="766"/>
    </row>
    <row r="24" spans="1:11" ht="15">
      <c r="A24" s="765" t="str">
        <f>finanszírozás!A23</f>
        <v>közbiztonsági eszközök</v>
      </c>
      <c r="B24" s="765">
        <f>finanszírozás!B23</f>
        <v>6000</v>
      </c>
      <c r="C24" s="773">
        <f>B24</f>
        <v>6000</v>
      </c>
      <c r="D24" s="105">
        <f>finanszírozás!C23</f>
        <v>5674</v>
      </c>
      <c r="E24" s="105">
        <f>finanszírozás!D23</f>
        <v>0</v>
      </c>
      <c r="F24" s="105">
        <f>finanszírozás!E23</f>
        <v>0</v>
      </c>
      <c r="G24" s="105">
        <f>finanszírozás!F23</f>
        <v>326</v>
      </c>
      <c r="H24" s="105">
        <f>finanszírozás!G23</f>
        <v>0</v>
      </c>
      <c r="I24" s="105">
        <f>finanszírozás!H23</f>
        <v>0</v>
      </c>
      <c r="J24" s="105">
        <f>finanszírozás!I23</f>
        <v>6000</v>
      </c>
      <c r="K24" s="766"/>
    </row>
    <row r="25" spans="1:11" ht="60">
      <c r="A25" s="765" t="str">
        <f>finanszírozás!A24</f>
        <v>Szakorvosi Rendelőintézet fogászati eszközök és bútorok</v>
      </c>
      <c r="B25" s="765">
        <f>finanszírozás!B24</f>
        <v>2831</v>
      </c>
      <c r="C25" s="773"/>
      <c r="D25" s="105">
        <f>finanszírozás!C24</f>
        <v>0</v>
      </c>
      <c r="E25" s="105">
        <f>finanszírozás!D24</f>
        <v>0</v>
      </c>
      <c r="F25" s="105">
        <f>finanszírozás!E24</f>
        <v>1741</v>
      </c>
      <c r="G25" s="105">
        <f>finanszírozás!F24</f>
        <v>90</v>
      </c>
      <c r="H25" s="105">
        <f>finanszírozás!G24</f>
        <v>0</v>
      </c>
      <c r="I25" s="105">
        <f>finanszírozás!H24</f>
        <v>1000</v>
      </c>
      <c r="J25" s="105">
        <f>finanszírozás!I24</f>
        <v>2831</v>
      </c>
      <c r="K25" s="766">
        <f>J25-B25</f>
        <v>0</v>
      </c>
    </row>
    <row r="26" spans="1:11" ht="30">
      <c r="A26" s="765" t="str">
        <f>finanszírozás!A25</f>
        <v>Informatikai fejlesztés (gépek, nyomtatók)</v>
      </c>
      <c r="B26" s="765">
        <f>finanszírozás!B25</f>
        <v>1000</v>
      </c>
      <c r="C26" s="773"/>
      <c r="D26" s="105">
        <f>finanszírozás!C25</f>
        <v>0</v>
      </c>
      <c r="E26" s="105">
        <f>finanszírozás!D25</f>
        <v>250</v>
      </c>
      <c r="F26" s="105">
        <f>finanszírozás!E25</f>
        <v>0</v>
      </c>
      <c r="G26" s="105">
        <f>finanszírozás!F25</f>
        <v>0</v>
      </c>
      <c r="H26" s="105">
        <f>finanszírozás!G25</f>
        <v>0</v>
      </c>
      <c r="I26" s="105">
        <f>finanszírozás!H25</f>
        <v>750</v>
      </c>
      <c r="J26" s="105">
        <f>finanszírozás!I25</f>
        <v>1000</v>
      </c>
      <c r="K26" s="766">
        <f>J26-B26</f>
        <v>0</v>
      </c>
    </row>
    <row r="27" spans="1:11" ht="15">
      <c r="A27" s="765" t="str">
        <f>finanszírozás!A26</f>
        <v>konyha beruházások</v>
      </c>
      <c r="B27" s="765">
        <f>finanszírozás!B26</f>
        <v>6059</v>
      </c>
      <c r="C27" s="772"/>
      <c r="D27" s="105">
        <f>finanszírozás!C26</f>
        <v>0</v>
      </c>
      <c r="E27" s="105">
        <f>finanszírozás!D26</f>
        <v>0</v>
      </c>
      <c r="F27" s="105">
        <f>finanszírozás!E26</f>
        <v>0</v>
      </c>
      <c r="G27" s="105">
        <f>finanszírozás!F26</f>
        <v>6059</v>
      </c>
      <c r="H27" s="105">
        <f>finanszírozás!G26</f>
        <v>0</v>
      </c>
      <c r="I27" s="105">
        <f>finanszírozás!H26</f>
        <v>0</v>
      </c>
      <c r="J27" s="105">
        <f>finanszírozás!I26</f>
        <v>6059</v>
      </c>
      <c r="K27" s="766">
        <f>J27-B27</f>
        <v>0</v>
      </c>
    </row>
    <row r="28" spans="1:11" ht="30">
      <c r="A28" s="765" t="str">
        <f>finanszírozás!A27</f>
        <v>Informatikai eszközök Ped szakoszolgálat</v>
      </c>
      <c r="B28" s="765">
        <f>finanszírozás!B27</f>
        <v>1283</v>
      </c>
      <c r="C28" s="772"/>
      <c r="D28" s="105">
        <f>finanszírozás!C27</f>
        <v>0</v>
      </c>
      <c r="E28" s="105">
        <f>finanszírozás!D27</f>
        <v>0</v>
      </c>
      <c r="F28" s="105">
        <f>finanszírozás!E27</f>
        <v>0</v>
      </c>
      <c r="G28" s="105">
        <f>finanszírozás!F27</f>
        <v>1283</v>
      </c>
      <c r="H28" s="105">
        <f>finanszírozás!G27</f>
        <v>0</v>
      </c>
      <c r="I28" s="105">
        <f>finanszírozás!H27</f>
        <v>0</v>
      </c>
      <c r="J28" s="105">
        <f>finanszírozás!I27</f>
        <v>1283</v>
      </c>
      <c r="K28" s="766"/>
    </row>
    <row r="29" spans="1:11" ht="30">
      <c r="A29" s="765" t="str">
        <f>finanszírozás!A28</f>
        <v>Intézményi felújítási alap</v>
      </c>
      <c r="B29" s="765">
        <f>finanszírozás!B28</f>
        <v>15000</v>
      </c>
      <c r="C29" s="773">
        <v>0</v>
      </c>
      <c r="D29" s="105">
        <f>finanszírozás!C28</f>
        <v>0</v>
      </c>
      <c r="E29" s="105">
        <f>finanszírozás!D28</f>
        <v>10000</v>
      </c>
      <c r="F29" s="105">
        <f>finanszírozás!E28</f>
        <v>0</v>
      </c>
      <c r="G29" s="105">
        <f>finanszírozás!F28</f>
        <v>750</v>
      </c>
      <c r="H29" s="105">
        <f>finanszírozás!G28</f>
        <v>0</v>
      </c>
      <c r="I29" s="105">
        <f>finanszírozás!H28</f>
        <v>4250</v>
      </c>
      <c r="J29" s="105">
        <f>finanszírozás!I28</f>
        <v>15000</v>
      </c>
      <c r="K29" s="766"/>
    </row>
    <row r="30" spans="1:11" ht="15">
      <c r="A30" s="765" t="str">
        <f>finanszírozás!A29</f>
        <v>Halott hűtő kialakítása</v>
      </c>
      <c r="B30" s="765">
        <f>finanszírozás!B29</f>
        <v>500</v>
      </c>
      <c r="C30" s="772"/>
      <c r="D30" s="105">
        <f>finanszírozás!C29</f>
        <v>0</v>
      </c>
      <c r="E30" s="105">
        <f>finanszírozás!D29</f>
        <v>0</v>
      </c>
      <c r="F30" s="105">
        <f>finanszírozás!E29</f>
        <v>0</v>
      </c>
      <c r="G30" s="105">
        <f>finanszírozás!F29</f>
        <v>500</v>
      </c>
      <c r="H30" s="105">
        <f>finanszírozás!G29</f>
        <v>0</v>
      </c>
      <c r="I30" s="105">
        <f>finanszírozás!H29</f>
        <v>0</v>
      </c>
      <c r="J30" s="105">
        <f>finanszírozás!I29</f>
        <v>500</v>
      </c>
      <c r="K30" s="766">
        <f>J30-B30</f>
        <v>0</v>
      </c>
    </row>
    <row r="31" spans="1:11" ht="15">
      <c r="A31" s="765" t="str">
        <f>finanszírozás!A30</f>
        <v>járdaépítés</v>
      </c>
      <c r="B31" s="765">
        <f>finanszírozás!B30</f>
        <v>5000</v>
      </c>
      <c r="C31" s="772">
        <v>5000</v>
      </c>
      <c r="D31" s="105">
        <f>finanszírozás!C30</f>
        <v>4750</v>
      </c>
      <c r="E31" s="105">
        <f>finanszírozás!D30</f>
        <v>0</v>
      </c>
      <c r="F31" s="105">
        <f>finanszírozás!E30</f>
        <v>0</v>
      </c>
      <c r="G31" s="105">
        <f>finanszírozás!F30</f>
        <v>250</v>
      </c>
      <c r="H31" s="105">
        <f>finanszírozás!G30</f>
        <v>0</v>
      </c>
      <c r="I31" s="105">
        <f>finanszírozás!H30</f>
        <v>0</v>
      </c>
      <c r="J31" s="105">
        <f>finanszírozás!I30</f>
        <v>5000</v>
      </c>
      <c r="K31" s="766"/>
    </row>
    <row r="32" spans="1:11" ht="30">
      <c r="A32" s="765" t="str">
        <f>finanszírozás!A31</f>
        <v>leader pályázat önereje testvérvárosok háza</v>
      </c>
      <c r="B32" s="765">
        <f>finanszírozás!B31</f>
        <v>11945</v>
      </c>
      <c r="C32" s="773">
        <f>B32</f>
        <v>11945</v>
      </c>
      <c r="D32" s="105">
        <f>finanszírozás!C31</f>
        <v>11120</v>
      </c>
      <c r="E32" s="105">
        <f>finanszírozás!D31</f>
        <v>0</v>
      </c>
      <c r="F32" s="105">
        <f>finanszírozás!E31</f>
        <v>0</v>
      </c>
      <c r="G32" s="105">
        <f>finanszírozás!F31</f>
        <v>825</v>
      </c>
      <c r="H32" s="105">
        <f>finanszírozás!G31</f>
        <v>0</v>
      </c>
      <c r="I32" s="105">
        <f>finanszírozás!H31</f>
        <v>0</v>
      </c>
      <c r="J32" s="105">
        <f>finanszírozás!I31</f>
        <v>11945</v>
      </c>
      <c r="K32" s="766"/>
    </row>
    <row r="33" spans="1:11" ht="30">
      <c r="A33" s="765" t="str">
        <f>finanszírozás!A32</f>
        <v>vagyonnal kapcsolatos jogi kiadások</v>
      </c>
      <c r="B33" s="765">
        <f>finanszírozás!B32</f>
        <v>14300</v>
      </c>
      <c r="C33" s="772"/>
      <c r="D33" s="105">
        <f>finanszírozás!C32</f>
        <v>0</v>
      </c>
      <c r="E33" s="105">
        <f>finanszírozás!D32</f>
        <v>0</v>
      </c>
      <c r="F33" s="105">
        <f>finanszírozás!E32</f>
        <v>0</v>
      </c>
      <c r="G33" s="105">
        <f>finanszírozás!F32</f>
        <v>14300</v>
      </c>
      <c r="H33" s="105">
        <f>finanszírozás!G32</f>
        <v>0</v>
      </c>
      <c r="I33" s="105">
        <f>finanszírozás!H32</f>
        <v>0</v>
      </c>
      <c r="J33" s="105">
        <f>finanszírozás!I32</f>
        <v>14300</v>
      </c>
      <c r="K33" s="766"/>
    </row>
    <row r="34" spans="1:11" ht="30">
      <c r="A34" s="765" t="str">
        <f>finanszírozás!A33</f>
        <v>bérleti díj terhére DAKÖV által végzett</v>
      </c>
      <c r="B34" s="765">
        <f>finanszírozás!B33</f>
        <v>14700</v>
      </c>
      <c r="C34" s="772"/>
      <c r="D34" s="105">
        <f>finanszírozás!C33</f>
        <v>0</v>
      </c>
      <c r="E34" s="105">
        <f>finanszírozás!D33</f>
        <v>0</v>
      </c>
      <c r="F34" s="105">
        <f>finanszírozás!E33</f>
        <v>0</v>
      </c>
      <c r="G34" s="105">
        <f>finanszírozás!F33</f>
        <v>14700</v>
      </c>
      <c r="H34" s="105">
        <f>finanszírozás!G33</f>
        <v>0</v>
      </c>
      <c r="I34" s="105">
        <f>finanszírozás!H33</f>
        <v>0</v>
      </c>
      <c r="J34" s="105">
        <f>finanszírozás!I33</f>
        <v>14700</v>
      </c>
      <c r="K34" s="766"/>
    </row>
    <row r="35" spans="1:11" ht="15">
      <c r="A35" s="765" t="str">
        <f>finanszírozás!A34</f>
        <v>pályázatelőkészítés</v>
      </c>
      <c r="B35" s="765">
        <f>finanszírozás!B34</f>
        <v>15000</v>
      </c>
      <c r="C35" s="773">
        <f>B35</f>
        <v>15000</v>
      </c>
      <c r="D35" s="105">
        <f>finanszírozás!C34</f>
        <v>14250</v>
      </c>
      <c r="E35" s="105">
        <f>finanszírozás!D34</f>
        <v>0</v>
      </c>
      <c r="F35" s="105">
        <f>finanszírozás!E34</f>
        <v>0</v>
      </c>
      <c r="G35" s="105">
        <f>finanszírozás!F34</f>
        <v>750</v>
      </c>
      <c r="H35" s="105">
        <f>finanszírozás!G34</f>
        <v>0</v>
      </c>
      <c r="I35" s="105">
        <f>finanszírozás!H34</f>
        <v>0</v>
      </c>
      <c r="J35" s="105">
        <f>finanszírozás!I34</f>
        <v>15000</v>
      </c>
      <c r="K35" s="766">
        <f>J35-B35</f>
        <v>0</v>
      </c>
    </row>
    <row r="36" spans="1:11" ht="15">
      <c r="A36" s="765" t="str">
        <f>finanszírozás!A35</f>
        <v>Röntgen digitalizálásra</v>
      </c>
      <c r="B36" s="765">
        <f>finanszírozás!B35</f>
        <v>5000</v>
      </c>
      <c r="C36" s="851"/>
      <c r="D36" s="105">
        <f>finanszírozás!C35</f>
        <v>0</v>
      </c>
      <c r="E36" s="105">
        <f>finanszírozás!D35</f>
        <v>0</v>
      </c>
      <c r="F36" s="105">
        <f>finanszírozás!E35</f>
        <v>0</v>
      </c>
      <c r="G36" s="105">
        <f>finanszírozás!F35</f>
        <v>5000</v>
      </c>
      <c r="H36" s="105">
        <f>finanszírozás!G35</f>
        <v>0</v>
      </c>
      <c r="I36" s="105">
        <f>finanszírozás!H35</f>
        <v>0</v>
      </c>
      <c r="J36" s="105">
        <f>finanszírozás!I35</f>
        <v>5000</v>
      </c>
      <c r="K36" s="852"/>
    </row>
    <row r="37" spans="1:11" s="57" customFormat="1" ht="13.5" thickBot="1">
      <c r="A37" s="768"/>
      <c r="B37" s="769">
        <f>finanszírozás!B36</f>
        <v>1067454</v>
      </c>
      <c r="C37" s="769">
        <f>SUM(C4:C36)</f>
        <v>65445</v>
      </c>
      <c r="D37" s="769">
        <f>SUM(D4:D36)</f>
        <v>57194</v>
      </c>
      <c r="E37" s="769">
        <f>SUM(E4:E36)</f>
        <v>11250</v>
      </c>
      <c r="F37" s="769">
        <f>SUM(F4:F36)</f>
        <v>918123</v>
      </c>
      <c r="G37" s="769">
        <f>SUM(G4:G36)</f>
        <v>74287</v>
      </c>
      <c r="H37" s="769">
        <f>SUM(H4:H35)</f>
        <v>0</v>
      </c>
      <c r="I37" s="769">
        <f>SUM(I4:I36)</f>
        <v>6600</v>
      </c>
      <c r="J37" s="769">
        <f>SUM(J4:J36)</f>
        <v>1067954</v>
      </c>
      <c r="K37" s="769">
        <f>SUM(K4:K36)</f>
        <v>0</v>
      </c>
    </row>
    <row r="38" spans="2:9" ht="12.75" hidden="1">
      <c r="B38" s="59">
        <f>B37-'[8]mérleg'!F53</f>
        <v>439505</v>
      </c>
      <c r="C38" s="59"/>
      <c r="G38" s="59">
        <f>'[8]mérleg'!F32+'[8]mérleg'!F37+34000</f>
        <v>70050</v>
      </c>
      <c r="I38">
        <v>14532</v>
      </c>
    </row>
    <row r="39" spans="7:9" ht="12.75" hidden="1">
      <c r="G39" s="59">
        <f>G38-G37</f>
        <v>-4237</v>
      </c>
      <c r="I39">
        <f>I37-I38</f>
        <v>-7932</v>
      </c>
    </row>
    <row r="40" ht="12.75">
      <c r="B40" s="59">
        <f>B37-finanszírozás!B36</f>
        <v>0</v>
      </c>
    </row>
    <row r="42" ht="12.75">
      <c r="D42" s="59"/>
    </row>
    <row r="43" ht="12.75">
      <c r="D43" s="59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&amp;R..........................rendelet a város 2014 évi költégvetéséről
</oddHeader>
    <oddFooter>&amp;C&amp;D&amp;R&amp;P.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selection activeCell="F71" activeCellId="2" sqref="C65 C71 F71"/>
    </sheetView>
  </sheetViews>
  <sheetFormatPr defaultColWidth="9.140625" defaultRowHeight="12.75"/>
  <cols>
    <col min="1" max="1" width="41.140625" style="0" customWidth="1"/>
    <col min="2" max="2" width="11.00390625" style="0" bestFit="1" customWidth="1"/>
  </cols>
  <sheetData>
    <row r="1" spans="1:2" ht="12.75">
      <c r="A1" s="57" t="s">
        <v>4</v>
      </c>
      <c r="B1" s="803" t="s">
        <v>522</v>
      </c>
    </row>
    <row r="2" ht="12.75">
      <c r="B2" s="804"/>
    </row>
    <row r="3" ht="12.75">
      <c r="B3" s="804"/>
    </row>
    <row r="4" spans="1:3" ht="15.75">
      <c r="A4" s="63" t="s">
        <v>523</v>
      </c>
      <c r="B4" s="805"/>
      <c r="C4" s="63"/>
    </row>
    <row r="5" spans="1:3" ht="15.75">
      <c r="A5" s="63" t="s">
        <v>543</v>
      </c>
      <c r="B5" s="805"/>
      <c r="C5" s="63"/>
    </row>
    <row r="6" spans="1:3" ht="15.75">
      <c r="A6" s="63"/>
      <c r="B6" s="805"/>
      <c r="C6" s="63"/>
    </row>
    <row r="7" ht="12.75">
      <c r="B7" s="804"/>
    </row>
    <row r="8" ht="13.5" thickBot="1">
      <c r="B8" s="806"/>
    </row>
    <row r="9" spans="1:3" ht="12.75">
      <c r="A9" s="807" t="s">
        <v>524</v>
      </c>
      <c r="B9" s="808" t="s">
        <v>525</v>
      </c>
      <c r="C9" s="809"/>
    </row>
    <row r="10" spans="1:3" ht="13.5" thickBot="1">
      <c r="A10" s="810"/>
      <c r="B10" s="811" t="s">
        <v>526</v>
      </c>
      <c r="C10" s="812"/>
    </row>
    <row r="11" spans="1:3" ht="15">
      <c r="A11" s="813" t="s">
        <v>527</v>
      </c>
      <c r="B11" s="814"/>
      <c r="C11" s="815"/>
    </row>
    <row r="12" spans="1:3" ht="12.75">
      <c r="A12" s="816" t="s">
        <v>528</v>
      </c>
      <c r="B12" s="814">
        <v>178</v>
      </c>
      <c r="C12" s="817"/>
    </row>
    <row r="13" spans="1:3" ht="12.75">
      <c r="A13" s="810" t="s">
        <v>529</v>
      </c>
      <c r="B13" s="814">
        <v>166</v>
      </c>
      <c r="C13" s="818"/>
    </row>
    <row r="14" spans="1:3" ht="12.75">
      <c r="A14" s="810"/>
      <c r="B14" s="814"/>
      <c r="C14" s="815"/>
    </row>
    <row r="15" spans="1:3" ht="15">
      <c r="A15" s="813" t="s">
        <v>530</v>
      </c>
      <c r="B15" s="814"/>
      <c r="C15" s="818"/>
    </row>
    <row r="16" spans="1:3" ht="12.75">
      <c r="A16" s="816" t="s">
        <v>531</v>
      </c>
      <c r="B16" s="814"/>
      <c r="C16" s="817"/>
    </row>
    <row r="17" spans="1:3" ht="12.75">
      <c r="A17" s="810" t="s">
        <v>532</v>
      </c>
      <c r="B17" s="814">
        <v>0</v>
      </c>
      <c r="C17" s="817"/>
    </row>
    <row r="18" spans="1:3" ht="12.75">
      <c r="A18" s="816" t="s">
        <v>533</v>
      </c>
      <c r="B18" s="814"/>
      <c r="C18" s="817"/>
    </row>
    <row r="19" spans="1:3" ht="12.75">
      <c r="A19" s="810"/>
      <c r="B19" s="814"/>
      <c r="C19" s="817"/>
    </row>
    <row r="20" spans="1:3" ht="15">
      <c r="A20" s="813" t="s">
        <v>534</v>
      </c>
      <c r="B20" s="814"/>
      <c r="C20" s="817"/>
    </row>
    <row r="21" spans="1:3" ht="12.75">
      <c r="A21" s="816" t="s">
        <v>533</v>
      </c>
      <c r="B21" s="814"/>
      <c r="C21" s="817"/>
    </row>
    <row r="22" spans="1:3" ht="12.75">
      <c r="A22" s="810" t="s">
        <v>535</v>
      </c>
      <c r="B22" s="814">
        <v>300</v>
      </c>
      <c r="C22" s="819"/>
    </row>
    <row r="23" spans="1:3" ht="12.75">
      <c r="A23" s="816" t="s">
        <v>536</v>
      </c>
      <c r="B23" s="814"/>
      <c r="C23" s="819"/>
    </row>
    <row r="24" spans="1:3" ht="12.75">
      <c r="A24" s="810" t="s">
        <v>537</v>
      </c>
      <c r="B24" s="814">
        <v>0</v>
      </c>
      <c r="C24" s="819"/>
    </row>
    <row r="25" spans="1:3" ht="12.75">
      <c r="A25" s="816" t="s">
        <v>538</v>
      </c>
      <c r="B25" s="814"/>
      <c r="C25" s="819"/>
    </row>
    <row r="26" spans="1:3" ht="12.75">
      <c r="A26" s="810"/>
      <c r="B26" s="814"/>
      <c r="C26" s="818"/>
    </row>
    <row r="27" spans="1:3" ht="12.75">
      <c r="A27" s="810" t="s">
        <v>539</v>
      </c>
      <c r="B27" s="814"/>
      <c r="C27" s="820"/>
    </row>
    <row r="28" spans="1:3" ht="12.75">
      <c r="A28" s="810" t="s">
        <v>540</v>
      </c>
      <c r="B28" s="814">
        <v>51000</v>
      </c>
      <c r="C28" s="815"/>
    </row>
    <row r="29" spans="1:3" ht="12.75">
      <c r="A29" s="810" t="s">
        <v>541</v>
      </c>
      <c r="B29" s="814"/>
      <c r="C29" s="821"/>
    </row>
    <row r="30" spans="1:3" ht="13.5" thickBot="1">
      <c r="A30" s="810"/>
      <c r="B30" s="814"/>
      <c r="C30" s="812"/>
    </row>
    <row r="31" spans="1:3" ht="15.75" thickBot="1">
      <c r="A31" s="822" t="s">
        <v>542</v>
      </c>
      <c r="B31" s="823">
        <f>SUM(B14:B30)</f>
        <v>51300</v>
      </c>
      <c r="C31" s="824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&amp;R..........................rendelet a város 2014 évi költégvetéséről
</oddHeader>
    <oddFooter>&amp;C&amp;D&amp;R&amp;P.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F71" activeCellId="2" sqref="C65 C71 F71"/>
    </sheetView>
  </sheetViews>
  <sheetFormatPr defaultColWidth="9.140625" defaultRowHeight="12.75"/>
  <cols>
    <col min="1" max="1" width="26.00390625" style="0" customWidth="1"/>
    <col min="2" max="2" width="6.421875" style="0" customWidth="1"/>
    <col min="3" max="3" width="8.7109375" style="0" customWidth="1"/>
    <col min="7" max="7" width="7.57421875" style="0" customWidth="1"/>
    <col min="11" max="11" width="7.28125" style="0" customWidth="1"/>
    <col min="12" max="12" width="8.140625" style="0" customWidth="1"/>
    <col min="13" max="13" width="5.8515625" style="0" customWidth="1"/>
    <col min="14" max="14" width="7.7109375" style="0" customWidth="1"/>
    <col min="15" max="17" width="0" style="0" hidden="1" customWidth="1"/>
  </cols>
  <sheetData>
    <row r="1" spans="1:12" ht="12.75">
      <c r="A1" s="57"/>
      <c r="E1" s="57" t="s">
        <v>545</v>
      </c>
      <c r="H1" s="57"/>
      <c r="K1" s="57" t="s">
        <v>546</v>
      </c>
      <c r="L1" s="60"/>
    </row>
    <row r="2" spans="4:9" ht="16.5" thickBot="1">
      <c r="D2" s="63"/>
      <c r="E2" s="63"/>
      <c r="F2" s="63"/>
      <c r="G2" s="63"/>
      <c r="H2" s="63"/>
      <c r="I2" s="63"/>
    </row>
    <row r="3" spans="1:14" ht="13.5" thickBot="1">
      <c r="A3" s="881" t="s">
        <v>460</v>
      </c>
      <c r="B3" s="882"/>
      <c r="C3" s="883"/>
      <c r="D3" s="883"/>
      <c r="E3" s="884" t="s">
        <v>547</v>
      </c>
      <c r="F3" s="884"/>
      <c r="G3" s="884"/>
      <c r="H3" s="884"/>
      <c r="I3" s="883"/>
      <c r="J3" s="883"/>
      <c r="K3" s="883"/>
      <c r="L3" s="883"/>
      <c r="M3" s="883"/>
      <c r="N3" s="885" t="s">
        <v>129</v>
      </c>
    </row>
    <row r="4" spans="1:14" ht="13.5" thickBot="1">
      <c r="A4" s="886" t="s">
        <v>548</v>
      </c>
      <c r="B4" s="887" t="s">
        <v>549</v>
      </c>
      <c r="C4" s="888" t="s">
        <v>550</v>
      </c>
      <c r="D4" s="889" t="s">
        <v>551</v>
      </c>
      <c r="E4" s="888" t="s">
        <v>552</v>
      </c>
      <c r="F4" s="889" t="s">
        <v>553</v>
      </c>
      <c r="G4" s="888" t="s">
        <v>554</v>
      </c>
      <c r="H4" s="889" t="s">
        <v>555</v>
      </c>
      <c r="I4" s="888" t="s">
        <v>556</v>
      </c>
      <c r="J4" s="889" t="s">
        <v>557</v>
      </c>
      <c r="K4" s="888" t="s">
        <v>558</v>
      </c>
      <c r="L4" s="889" t="s">
        <v>559</v>
      </c>
      <c r="M4" s="888" t="s">
        <v>560</v>
      </c>
      <c r="N4" s="890" t="s">
        <v>134</v>
      </c>
    </row>
    <row r="5" spans="1:16" ht="12.75">
      <c r="A5" s="891" t="s">
        <v>594</v>
      </c>
      <c r="B5" s="892">
        <f>$O$5/12</f>
        <v>15433.666666666666</v>
      </c>
      <c r="C5" s="892">
        <f aca="true" t="shared" si="0" ref="C5:M5">$O$5/12</f>
        <v>15433.666666666666</v>
      </c>
      <c r="D5" s="892">
        <f t="shared" si="0"/>
        <v>15433.666666666666</v>
      </c>
      <c r="E5" s="892">
        <f t="shared" si="0"/>
        <v>15433.666666666666</v>
      </c>
      <c r="F5" s="892">
        <f t="shared" si="0"/>
        <v>15433.666666666666</v>
      </c>
      <c r="G5" s="892">
        <f t="shared" si="0"/>
        <v>15433.666666666666</v>
      </c>
      <c r="H5" s="892">
        <f t="shared" si="0"/>
        <v>15433.666666666666</v>
      </c>
      <c r="I5" s="892">
        <f t="shared" si="0"/>
        <v>15433.666666666666</v>
      </c>
      <c r="J5" s="892">
        <f t="shared" si="0"/>
        <v>15433.666666666666</v>
      </c>
      <c r="K5" s="892">
        <f t="shared" si="0"/>
        <v>15433.666666666666</v>
      </c>
      <c r="L5" s="892">
        <f t="shared" si="0"/>
        <v>15433.666666666666</v>
      </c>
      <c r="M5" s="892">
        <f t="shared" si="0"/>
        <v>15433.666666666666</v>
      </c>
      <c r="N5" s="893">
        <f aca="true" t="shared" si="1" ref="N5:N16">SUM(B5:M5)</f>
        <v>185203.99999999997</v>
      </c>
      <c r="O5">
        <v>185204</v>
      </c>
      <c r="P5">
        <f>O5-N5</f>
        <v>0</v>
      </c>
    </row>
    <row r="6" spans="1:16" ht="12.75">
      <c r="A6" s="894" t="s">
        <v>595</v>
      </c>
      <c r="B6" s="892"/>
      <c r="C6" s="895"/>
      <c r="D6" s="892"/>
      <c r="E6" s="895">
        <v>210</v>
      </c>
      <c r="F6" s="892"/>
      <c r="G6" s="895"/>
      <c r="H6" s="892">
        <v>200</v>
      </c>
      <c r="I6" s="895"/>
      <c r="J6" s="892"/>
      <c r="K6" s="895"/>
      <c r="L6" s="892"/>
      <c r="M6" s="896"/>
      <c r="N6" s="893">
        <f t="shared" si="1"/>
        <v>410</v>
      </c>
      <c r="O6">
        <v>410</v>
      </c>
      <c r="P6">
        <f aca="true" t="shared" si="2" ref="P6:P51">O6-N6</f>
        <v>0</v>
      </c>
    </row>
    <row r="7" spans="1:16" ht="12.75">
      <c r="A7" s="894" t="s">
        <v>596</v>
      </c>
      <c r="B7" s="897">
        <f>181240/12</f>
        <v>15103.333333333334</v>
      </c>
      <c r="C7" s="897">
        <f aca="true" t="shared" si="3" ref="C7:M7">181240/12</f>
        <v>15103.333333333334</v>
      </c>
      <c r="D7" s="897">
        <f t="shared" si="3"/>
        <v>15103.333333333334</v>
      </c>
      <c r="E7" s="897">
        <f t="shared" si="3"/>
        <v>15103.333333333334</v>
      </c>
      <c r="F7" s="897">
        <f t="shared" si="3"/>
        <v>15103.333333333334</v>
      </c>
      <c r="G7" s="897">
        <f t="shared" si="3"/>
        <v>15103.333333333334</v>
      </c>
      <c r="H7" s="897">
        <f t="shared" si="3"/>
        <v>15103.333333333334</v>
      </c>
      <c r="I7" s="897">
        <f t="shared" si="3"/>
        <v>15103.333333333334</v>
      </c>
      <c r="J7" s="897">
        <f t="shared" si="3"/>
        <v>15103.333333333334</v>
      </c>
      <c r="K7" s="897">
        <f t="shared" si="3"/>
        <v>15103.333333333334</v>
      </c>
      <c r="L7" s="897">
        <f t="shared" si="3"/>
        <v>15103.333333333334</v>
      </c>
      <c r="M7" s="897">
        <f t="shared" si="3"/>
        <v>15103.333333333334</v>
      </c>
      <c r="N7" s="893">
        <f t="shared" si="1"/>
        <v>181240.00000000003</v>
      </c>
      <c r="O7">
        <v>181240</v>
      </c>
      <c r="P7">
        <f t="shared" si="2"/>
        <v>0</v>
      </c>
    </row>
    <row r="8" spans="1:16" ht="12.75">
      <c r="A8" s="894" t="s">
        <v>597</v>
      </c>
      <c r="B8" s="892">
        <v>225</v>
      </c>
      <c r="C8" s="892">
        <v>225</v>
      </c>
      <c r="D8" s="892">
        <v>225</v>
      </c>
      <c r="E8" s="892">
        <v>225</v>
      </c>
      <c r="F8" s="892">
        <v>225</v>
      </c>
      <c r="G8" s="892">
        <v>225</v>
      </c>
      <c r="H8" s="892">
        <v>225</v>
      </c>
      <c r="I8" s="892">
        <v>225</v>
      </c>
      <c r="J8" s="892">
        <v>225</v>
      </c>
      <c r="K8" s="892">
        <v>225</v>
      </c>
      <c r="L8" s="892">
        <v>225</v>
      </c>
      <c r="M8" s="892">
        <v>225</v>
      </c>
      <c r="N8" s="893">
        <f t="shared" si="1"/>
        <v>2700</v>
      </c>
      <c r="O8">
        <v>2699</v>
      </c>
      <c r="P8">
        <f t="shared" si="2"/>
        <v>-1</v>
      </c>
    </row>
    <row r="9" spans="1:16" ht="12.75">
      <c r="A9" s="894" t="s">
        <v>598</v>
      </c>
      <c r="B9" s="898">
        <f>O9/12</f>
        <v>71.25</v>
      </c>
      <c r="C9" s="896">
        <f>B9</f>
        <v>71.25</v>
      </c>
      <c r="D9" s="896">
        <f aca="true" t="shared" si="4" ref="D9:M9">C9</f>
        <v>71.25</v>
      </c>
      <c r="E9" s="896">
        <f t="shared" si="4"/>
        <v>71.25</v>
      </c>
      <c r="F9" s="896">
        <f t="shared" si="4"/>
        <v>71.25</v>
      </c>
      <c r="G9" s="896">
        <f t="shared" si="4"/>
        <v>71.25</v>
      </c>
      <c r="H9" s="896">
        <f t="shared" si="4"/>
        <v>71.25</v>
      </c>
      <c r="I9" s="896">
        <f t="shared" si="4"/>
        <v>71.25</v>
      </c>
      <c r="J9" s="896">
        <f t="shared" si="4"/>
        <v>71.25</v>
      </c>
      <c r="K9" s="896">
        <f t="shared" si="4"/>
        <v>71.25</v>
      </c>
      <c r="L9" s="896">
        <f t="shared" si="4"/>
        <v>71.25</v>
      </c>
      <c r="M9" s="896">
        <f t="shared" si="4"/>
        <v>71.25</v>
      </c>
      <c r="N9" s="893">
        <f t="shared" si="1"/>
        <v>855</v>
      </c>
      <c r="O9">
        <v>855</v>
      </c>
      <c r="P9">
        <f t="shared" si="2"/>
        <v>0</v>
      </c>
    </row>
    <row r="10" spans="1:16" ht="12.75">
      <c r="A10" s="899" t="s">
        <v>599</v>
      </c>
      <c r="B10" s="898">
        <f aca="true" t="shared" si="5" ref="B10:B51">O10/12</f>
        <v>0</v>
      </c>
      <c r="C10" s="896">
        <f aca="true" t="shared" si="6" ref="C10:M51">B10</f>
        <v>0</v>
      </c>
      <c r="D10" s="896">
        <f t="shared" si="6"/>
        <v>0</v>
      </c>
      <c r="E10" s="896">
        <f t="shared" si="6"/>
        <v>0</v>
      </c>
      <c r="F10" s="896">
        <f t="shared" si="6"/>
        <v>0</v>
      </c>
      <c r="G10" s="896">
        <f t="shared" si="6"/>
        <v>0</v>
      </c>
      <c r="H10" s="896">
        <f t="shared" si="6"/>
        <v>0</v>
      </c>
      <c r="I10" s="896">
        <f t="shared" si="6"/>
        <v>0</v>
      </c>
      <c r="J10" s="896">
        <f t="shared" si="6"/>
        <v>0</v>
      </c>
      <c r="K10" s="896">
        <f t="shared" si="6"/>
        <v>0</v>
      </c>
      <c r="L10" s="896">
        <f t="shared" si="6"/>
        <v>0</v>
      </c>
      <c r="M10" s="896">
        <f t="shared" si="6"/>
        <v>0</v>
      </c>
      <c r="N10" s="893">
        <f t="shared" si="1"/>
        <v>0</v>
      </c>
      <c r="O10">
        <v>0</v>
      </c>
      <c r="P10">
        <f t="shared" si="2"/>
        <v>0</v>
      </c>
    </row>
    <row r="11" spans="1:16" ht="12.75">
      <c r="A11" s="891" t="s">
        <v>600</v>
      </c>
      <c r="B11" s="898">
        <f t="shared" si="5"/>
        <v>34653.916666666664</v>
      </c>
      <c r="C11" s="896">
        <f t="shared" si="6"/>
        <v>34653.916666666664</v>
      </c>
      <c r="D11" s="896">
        <f t="shared" si="6"/>
        <v>34653.916666666664</v>
      </c>
      <c r="E11" s="896">
        <f t="shared" si="6"/>
        <v>34653.916666666664</v>
      </c>
      <c r="F11" s="896">
        <f t="shared" si="6"/>
        <v>34653.916666666664</v>
      </c>
      <c r="G11" s="896">
        <f t="shared" si="6"/>
        <v>34653.916666666664</v>
      </c>
      <c r="H11" s="896">
        <f t="shared" si="6"/>
        <v>34653.916666666664</v>
      </c>
      <c r="I11" s="896">
        <f t="shared" si="6"/>
        <v>34653.916666666664</v>
      </c>
      <c r="J11" s="896">
        <f t="shared" si="6"/>
        <v>34653.916666666664</v>
      </c>
      <c r="K11" s="896">
        <f t="shared" si="6"/>
        <v>34653.916666666664</v>
      </c>
      <c r="L11" s="896">
        <f t="shared" si="6"/>
        <v>34653.916666666664</v>
      </c>
      <c r="M11" s="896">
        <f t="shared" si="6"/>
        <v>34653.916666666664</v>
      </c>
      <c r="N11" s="893">
        <f t="shared" si="1"/>
        <v>415847.00000000006</v>
      </c>
      <c r="O11">
        <v>415847</v>
      </c>
      <c r="P11">
        <f t="shared" si="2"/>
        <v>0</v>
      </c>
    </row>
    <row r="12" spans="1:16" ht="12.75">
      <c r="A12" s="900" t="s">
        <v>601</v>
      </c>
      <c r="B12" s="898">
        <f t="shared" si="5"/>
        <v>33591.666666666664</v>
      </c>
      <c r="C12" s="896">
        <f t="shared" si="6"/>
        <v>33591.666666666664</v>
      </c>
      <c r="D12" s="896">
        <f t="shared" si="6"/>
        <v>33591.666666666664</v>
      </c>
      <c r="E12" s="896">
        <f t="shared" si="6"/>
        <v>33591.666666666664</v>
      </c>
      <c r="F12" s="896">
        <f t="shared" si="6"/>
        <v>33591.666666666664</v>
      </c>
      <c r="G12" s="896">
        <f t="shared" si="6"/>
        <v>33591.666666666664</v>
      </c>
      <c r="H12" s="896">
        <f t="shared" si="6"/>
        <v>33591.666666666664</v>
      </c>
      <c r="I12" s="896">
        <f t="shared" si="6"/>
        <v>33591.666666666664</v>
      </c>
      <c r="J12" s="896">
        <f t="shared" si="6"/>
        <v>33591.666666666664</v>
      </c>
      <c r="K12" s="896">
        <f t="shared" si="6"/>
        <v>33591.666666666664</v>
      </c>
      <c r="L12" s="896">
        <f t="shared" si="6"/>
        <v>33591.666666666664</v>
      </c>
      <c r="M12" s="896">
        <f t="shared" si="6"/>
        <v>33591.666666666664</v>
      </c>
      <c r="N12" s="893">
        <f t="shared" si="1"/>
        <v>403100.00000000006</v>
      </c>
      <c r="O12">
        <v>403100</v>
      </c>
      <c r="P12">
        <f t="shared" si="2"/>
        <v>0</v>
      </c>
    </row>
    <row r="13" spans="1:16" ht="12.75">
      <c r="A13" s="891" t="s">
        <v>602</v>
      </c>
      <c r="B13" s="898">
        <f t="shared" si="5"/>
        <v>28833.333333333332</v>
      </c>
      <c r="C13" s="896">
        <f t="shared" si="6"/>
        <v>28833.333333333332</v>
      </c>
      <c r="D13" s="896">
        <f t="shared" si="6"/>
        <v>28833.333333333332</v>
      </c>
      <c r="E13" s="896">
        <f t="shared" si="6"/>
        <v>28833.333333333332</v>
      </c>
      <c r="F13" s="896">
        <f t="shared" si="6"/>
        <v>28833.333333333332</v>
      </c>
      <c r="G13" s="896">
        <f t="shared" si="6"/>
        <v>28833.333333333332</v>
      </c>
      <c r="H13" s="896">
        <f t="shared" si="6"/>
        <v>28833.333333333332</v>
      </c>
      <c r="I13" s="896">
        <f t="shared" si="6"/>
        <v>28833.333333333332</v>
      </c>
      <c r="J13" s="896">
        <f t="shared" si="6"/>
        <v>28833.333333333332</v>
      </c>
      <c r="K13" s="896">
        <f t="shared" si="6"/>
        <v>28833.333333333332</v>
      </c>
      <c r="L13" s="896">
        <f t="shared" si="6"/>
        <v>28833.333333333332</v>
      </c>
      <c r="M13" s="896">
        <f t="shared" si="6"/>
        <v>28833.333333333332</v>
      </c>
      <c r="N13" s="893">
        <f t="shared" si="1"/>
        <v>346000</v>
      </c>
      <c r="O13">
        <v>346000</v>
      </c>
      <c r="P13">
        <f t="shared" si="2"/>
        <v>0</v>
      </c>
    </row>
    <row r="14" spans="1:16" ht="12.75">
      <c r="A14" s="894" t="s">
        <v>603</v>
      </c>
      <c r="B14" s="898">
        <f t="shared" si="5"/>
        <v>8916.666666666666</v>
      </c>
      <c r="C14" s="896">
        <f t="shared" si="6"/>
        <v>8916.666666666666</v>
      </c>
      <c r="D14" s="896">
        <f t="shared" si="6"/>
        <v>8916.666666666666</v>
      </c>
      <c r="E14" s="896">
        <f t="shared" si="6"/>
        <v>8916.666666666666</v>
      </c>
      <c r="F14" s="896">
        <f t="shared" si="6"/>
        <v>8916.666666666666</v>
      </c>
      <c r="G14" s="896">
        <f t="shared" si="6"/>
        <v>8916.666666666666</v>
      </c>
      <c r="H14" s="896">
        <f t="shared" si="6"/>
        <v>8916.666666666666</v>
      </c>
      <c r="I14" s="896">
        <f t="shared" si="6"/>
        <v>8916.666666666666</v>
      </c>
      <c r="J14" s="896">
        <f t="shared" si="6"/>
        <v>8916.666666666666</v>
      </c>
      <c r="K14" s="896">
        <f t="shared" si="6"/>
        <v>8916.666666666666</v>
      </c>
      <c r="L14" s="896">
        <f t="shared" si="6"/>
        <v>8916.666666666666</v>
      </c>
      <c r="M14" s="896">
        <f t="shared" si="6"/>
        <v>8916.666666666666</v>
      </c>
      <c r="N14" s="893">
        <f t="shared" si="1"/>
        <v>107000.00000000001</v>
      </c>
      <c r="O14">
        <v>107000</v>
      </c>
      <c r="P14">
        <f t="shared" si="2"/>
        <v>0</v>
      </c>
    </row>
    <row r="15" spans="1:16" ht="12.75">
      <c r="A15" s="894" t="s">
        <v>604</v>
      </c>
      <c r="B15" s="898">
        <f t="shared" si="5"/>
        <v>19166.666666666668</v>
      </c>
      <c r="C15" s="896">
        <f t="shared" si="6"/>
        <v>19166.666666666668</v>
      </c>
      <c r="D15" s="896">
        <f t="shared" si="6"/>
        <v>19166.666666666668</v>
      </c>
      <c r="E15" s="896">
        <f t="shared" si="6"/>
        <v>19166.666666666668</v>
      </c>
      <c r="F15" s="896">
        <f t="shared" si="6"/>
        <v>19166.666666666668</v>
      </c>
      <c r="G15" s="896">
        <f t="shared" si="6"/>
        <v>19166.666666666668</v>
      </c>
      <c r="H15" s="896">
        <f t="shared" si="6"/>
        <v>19166.666666666668</v>
      </c>
      <c r="I15" s="896">
        <f t="shared" si="6"/>
        <v>19166.666666666668</v>
      </c>
      <c r="J15" s="896">
        <f t="shared" si="6"/>
        <v>19166.666666666668</v>
      </c>
      <c r="K15" s="896">
        <f t="shared" si="6"/>
        <v>19166.666666666668</v>
      </c>
      <c r="L15" s="896">
        <f t="shared" si="6"/>
        <v>19166.666666666668</v>
      </c>
      <c r="M15" s="896">
        <f t="shared" si="6"/>
        <v>19166.666666666668</v>
      </c>
      <c r="N15" s="893">
        <f t="shared" si="1"/>
        <v>229999.99999999997</v>
      </c>
      <c r="O15">
        <v>230000</v>
      </c>
      <c r="P15">
        <f t="shared" si="2"/>
        <v>0</v>
      </c>
    </row>
    <row r="16" spans="1:16" ht="12.75">
      <c r="A16" s="894" t="s">
        <v>605</v>
      </c>
      <c r="B16" s="898">
        <f t="shared" si="5"/>
        <v>750</v>
      </c>
      <c r="C16" s="896">
        <f t="shared" si="6"/>
        <v>750</v>
      </c>
      <c r="D16" s="896">
        <f t="shared" si="6"/>
        <v>750</v>
      </c>
      <c r="E16" s="896">
        <f t="shared" si="6"/>
        <v>750</v>
      </c>
      <c r="F16" s="896">
        <f t="shared" si="6"/>
        <v>750</v>
      </c>
      <c r="G16" s="896">
        <f t="shared" si="6"/>
        <v>750</v>
      </c>
      <c r="H16" s="896">
        <f t="shared" si="6"/>
        <v>750</v>
      </c>
      <c r="I16" s="896">
        <f t="shared" si="6"/>
        <v>750</v>
      </c>
      <c r="J16" s="896">
        <f t="shared" si="6"/>
        <v>750</v>
      </c>
      <c r="K16" s="896">
        <f t="shared" si="6"/>
        <v>750</v>
      </c>
      <c r="L16" s="896">
        <f t="shared" si="6"/>
        <v>750</v>
      </c>
      <c r="M16" s="896">
        <f t="shared" si="6"/>
        <v>750</v>
      </c>
      <c r="N16" s="893">
        <f t="shared" si="1"/>
        <v>9000</v>
      </c>
      <c r="O16">
        <v>9000</v>
      </c>
      <c r="P16">
        <f t="shared" si="2"/>
        <v>0</v>
      </c>
    </row>
    <row r="17" spans="1:16" ht="12.75">
      <c r="A17" s="894" t="s">
        <v>606</v>
      </c>
      <c r="B17" s="898">
        <f t="shared" si="5"/>
        <v>0</v>
      </c>
      <c r="C17" s="896">
        <f t="shared" si="6"/>
        <v>0</v>
      </c>
      <c r="D17" s="896">
        <f t="shared" si="6"/>
        <v>0</v>
      </c>
      <c r="E17" s="896">
        <f t="shared" si="6"/>
        <v>0</v>
      </c>
      <c r="F17" s="896">
        <f t="shared" si="6"/>
        <v>0</v>
      </c>
      <c r="G17" s="896">
        <f t="shared" si="6"/>
        <v>0</v>
      </c>
      <c r="H17" s="896">
        <f t="shared" si="6"/>
        <v>0</v>
      </c>
      <c r="I17" s="896">
        <f t="shared" si="6"/>
        <v>0</v>
      </c>
      <c r="J17" s="896">
        <f t="shared" si="6"/>
        <v>0</v>
      </c>
      <c r="K17" s="896">
        <f t="shared" si="6"/>
        <v>0</v>
      </c>
      <c r="L17" s="896">
        <f t="shared" si="6"/>
        <v>0</v>
      </c>
      <c r="M17" s="896">
        <f t="shared" si="6"/>
        <v>0</v>
      </c>
      <c r="N17" s="901"/>
      <c r="O17">
        <v>0</v>
      </c>
      <c r="P17">
        <f t="shared" si="2"/>
        <v>0</v>
      </c>
    </row>
    <row r="18" spans="1:16" ht="12.75">
      <c r="A18" s="891" t="s">
        <v>607</v>
      </c>
      <c r="B18" s="898">
        <f t="shared" si="5"/>
        <v>3091.6666666666665</v>
      </c>
      <c r="C18" s="896">
        <f t="shared" si="6"/>
        <v>3091.6666666666665</v>
      </c>
      <c r="D18" s="896">
        <f t="shared" si="6"/>
        <v>3091.6666666666665</v>
      </c>
      <c r="E18" s="896">
        <f t="shared" si="6"/>
        <v>3091.6666666666665</v>
      </c>
      <c r="F18" s="896">
        <f t="shared" si="6"/>
        <v>3091.6666666666665</v>
      </c>
      <c r="G18" s="896">
        <f t="shared" si="6"/>
        <v>3091.6666666666665</v>
      </c>
      <c r="H18" s="896">
        <f t="shared" si="6"/>
        <v>3091.6666666666665</v>
      </c>
      <c r="I18" s="896">
        <f t="shared" si="6"/>
        <v>3091.6666666666665</v>
      </c>
      <c r="J18" s="896">
        <f t="shared" si="6"/>
        <v>3091.6666666666665</v>
      </c>
      <c r="K18" s="896">
        <f t="shared" si="6"/>
        <v>3091.6666666666665</v>
      </c>
      <c r="L18" s="896">
        <f t="shared" si="6"/>
        <v>3091.6666666666665</v>
      </c>
      <c r="M18" s="896">
        <f t="shared" si="6"/>
        <v>3091.6666666666665</v>
      </c>
      <c r="N18" s="893">
        <f aca="true" t="shared" si="7" ref="N18:N37">SUM(B18:M18)</f>
        <v>37100</v>
      </c>
      <c r="O18">
        <v>37100</v>
      </c>
      <c r="P18">
        <f t="shared" si="2"/>
        <v>0</v>
      </c>
    </row>
    <row r="19" spans="1:16" ht="12.75">
      <c r="A19" s="894" t="s">
        <v>608</v>
      </c>
      <c r="B19" s="898">
        <f t="shared" si="5"/>
        <v>0</v>
      </c>
      <c r="C19" s="896">
        <f t="shared" si="6"/>
        <v>0</v>
      </c>
      <c r="D19" s="896">
        <f t="shared" si="6"/>
        <v>0</v>
      </c>
      <c r="E19" s="896">
        <f t="shared" si="6"/>
        <v>0</v>
      </c>
      <c r="F19" s="896">
        <f t="shared" si="6"/>
        <v>0</v>
      </c>
      <c r="G19" s="896">
        <f t="shared" si="6"/>
        <v>0</v>
      </c>
      <c r="H19" s="896">
        <f t="shared" si="6"/>
        <v>0</v>
      </c>
      <c r="I19" s="896">
        <f t="shared" si="6"/>
        <v>0</v>
      </c>
      <c r="J19" s="896">
        <f t="shared" si="6"/>
        <v>0</v>
      </c>
      <c r="K19" s="896">
        <f t="shared" si="6"/>
        <v>0</v>
      </c>
      <c r="L19" s="896">
        <f t="shared" si="6"/>
        <v>0</v>
      </c>
      <c r="M19" s="896">
        <f t="shared" si="6"/>
        <v>0</v>
      </c>
      <c r="N19" s="893">
        <f t="shared" si="7"/>
        <v>0</v>
      </c>
      <c r="O19">
        <v>0</v>
      </c>
      <c r="P19">
        <f t="shared" si="2"/>
        <v>0</v>
      </c>
    </row>
    <row r="20" spans="1:16" ht="12.75">
      <c r="A20" s="894" t="s">
        <v>609</v>
      </c>
      <c r="B20" s="898">
        <f t="shared" si="5"/>
        <v>3083.3333333333335</v>
      </c>
      <c r="C20" s="896">
        <f t="shared" si="6"/>
        <v>3083.3333333333335</v>
      </c>
      <c r="D20" s="896">
        <f t="shared" si="6"/>
        <v>3083.3333333333335</v>
      </c>
      <c r="E20" s="896">
        <f t="shared" si="6"/>
        <v>3083.3333333333335</v>
      </c>
      <c r="F20" s="896">
        <f t="shared" si="6"/>
        <v>3083.3333333333335</v>
      </c>
      <c r="G20" s="896">
        <f t="shared" si="6"/>
        <v>3083.3333333333335</v>
      </c>
      <c r="H20" s="896">
        <f t="shared" si="6"/>
        <v>3083.3333333333335</v>
      </c>
      <c r="I20" s="896">
        <f t="shared" si="6"/>
        <v>3083.3333333333335</v>
      </c>
      <c r="J20" s="896">
        <f t="shared" si="6"/>
        <v>3083.3333333333335</v>
      </c>
      <c r="K20" s="896">
        <f t="shared" si="6"/>
        <v>3083.3333333333335</v>
      </c>
      <c r="L20" s="896">
        <f t="shared" si="6"/>
        <v>3083.3333333333335</v>
      </c>
      <c r="M20" s="896">
        <f t="shared" si="6"/>
        <v>3083.3333333333335</v>
      </c>
      <c r="N20" s="893">
        <f t="shared" si="7"/>
        <v>37000</v>
      </c>
      <c r="O20">
        <v>37000</v>
      </c>
      <c r="P20">
        <f t="shared" si="2"/>
        <v>0</v>
      </c>
    </row>
    <row r="21" spans="1:16" ht="12.75">
      <c r="A21" s="894" t="s">
        <v>610</v>
      </c>
      <c r="B21" s="898">
        <f t="shared" si="5"/>
        <v>8.333333333333334</v>
      </c>
      <c r="C21" s="896">
        <f t="shared" si="6"/>
        <v>8.333333333333334</v>
      </c>
      <c r="D21" s="896">
        <f t="shared" si="6"/>
        <v>8.333333333333334</v>
      </c>
      <c r="E21" s="896">
        <f t="shared" si="6"/>
        <v>8.333333333333334</v>
      </c>
      <c r="F21" s="896">
        <f t="shared" si="6"/>
        <v>8.333333333333334</v>
      </c>
      <c r="G21" s="896">
        <f t="shared" si="6"/>
        <v>8.333333333333334</v>
      </c>
      <c r="H21" s="896">
        <f t="shared" si="6"/>
        <v>8.333333333333334</v>
      </c>
      <c r="I21" s="896">
        <f t="shared" si="6"/>
        <v>8.333333333333334</v>
      </c>
      <c r="J21" s="896">
        <f t="shared" si="6"/>
        <v>8.333333333333334</v>
      </c>
      <c r="K21" s="896">
        <f t="shared" si="6"/>
        <v>8.333333333333334</v>
      </c>
      <c r="L21" s="896">
        <f t="shared" si="6"/>
        <v>8.333333333333334</v>
      </c>
      <c r="M21" s="896">
        <f t="shared" si="6"/>
        <v>8.333333333333334</v>
      </c>
      <c r="N21" s="893">
        <f t="shared" si="7"/>
        <v>99.99999999999999</v>
      </c>
      <c r="O21">
        <v>100</v>
      </c>
      <c r="P21">
        <f t="shared" si="2"/>
        <v>0</v>
      </c>
    </row>
    <row r="22" spans="1:16" ht="12.75">
      <c r="A22" s="894" t="s">
        <v>611</v>
      </c>
      <c r="B22" s="898">
        <f t="shared" si="5"/>
        <v>0</v>
      </c>
      <c r="C22" s="896">
        <f t="shared" si="6"/>
        <v>0</v>
      </c>
      <c r="D22" s="896">
        <f t="shared" si="6"/>
        <v>0</v>
      </c>
      <c r="E22" s="896">
        <f t="shared" si="6"/>
        <v>0</v>
      </c>
      <c r="F22" s="896">
        <f t="shared" si="6"/>
        <v>0</v>
      </c>
      <c r="G22" s="896">
        <f t="shared" si="6"/>
        <v>0</v>
      </c>
      <c r="H22" s="896">
        <f t="shared" si="6"/>
        <v>0</v>
      </c>
      <c r="I22" s="896">
        <f t="shared" si="6"/>
        <v>0</v>
      </c>
      <c r="J22" s="896">
        <f t="shared" si="6"/>
        <v>0</v>
      </c>
      <c r="K22" s="896">
        <f t="shared" si="6"/>
        <v>0</v>
      </c>
      <c r="L22" s="896">
        <f t="shared" si="6"/>
        <v>0</v>
      </c>
      <c r="M22" s="896">
        <f t="shared" si="6"/>
        <v>0</v>
      </c>
      <c r="N22" s="893">
        <f t="shared" si="7"/>
        <v>0</v>
      </c>
      <c r="O22">
        <v>0</v>
      </c>
      <c r="P22">
        <f t="shared" si="2"/>
        <v>0</v>
      </c>
    </row>
    <row r="23" spans="1:16" ht="12.75">
      <c r="A23" s="891" t="s">
        <v>612</v>
      </c>
      <c r="B23" s="898">
        <f t="shared" si="5"/>
        <v>583.3333333333334</v>
      </c>
      <c r="C23" s="896">
        <f t="shared" si="6"/>
        <v>583.3333333333334</v>
      </c>
      <c r="D23" s="896">
        <f t="shared" si="6"/>
        <v>583.3333333333334</v>
      </c>
      <c r="E23" s="896">
        <f t="shared" si="6"/>
        <v>583.3333333333334</v>
      </c>
      <c r="F23" s="896">
        <f t="shared" si="6"/>
        <v>583.3333333333334</v>
      </c>
      <c r="G23" s="896">
        <f t="shared" si="6"/>
        <v>583.3333333333334</v>
      </c>
      <c r="H23" s="896">
        <f t="shared" si="6"/>
        <v>583.3333333333334</v>
      </c>
      <c r="I23" s="896">
        <f t="shared" si="6"/>
        <v>583.3333333333334</v>
      </c>
      <c r="J23" s="896">
        <f t="shared" si="6"/>
        <v>583.3333333333334</v>
      </c>
      <c r="K23" s="896">
        <f t="shared" si="6"/>
        <v>583.3333333333334</v>
      </c>
      <c r="L23" s="896">
        <f t="shared" si="6"/>
        <v>583.3333333333334</v>
      </c>
      <c r="M23" s="896">
        <f t="shared" si="6"/>
        <v>583.3333333333334</v>
      </c>
      <c r="N23" s="893">
        <f t="shared" si="7"/>
        <v>6999.999999999999</v>
      </c>
      <c r="O23">
        <v>7000</v>
      </c>
      <c r="P23">
        <f t="shared" si="2"/>
        <v>0</v>
      </c>
    </row>
    <row r="24" spans="1:16" ht="12.75">
      <c r="A24" s="891" t="s">
        <v>613</v>
      </c>
      <c r="B24" s="898">
        <f t="shared" si="5"/>
        <v>1083.3333333333333</v>
      </c>
      <c r="C24" s="896">
        <f t="shared" si="6"/>
        <v>1083.3333333333333</v>
      </c>
      <c r="D24" s="896">
        <f t="shared" si="6"/>
        <v>1083.3333333333333</v>
      </c>
      <c r="E24" s="896">
        <f t="shared" si="6"/>
        <v>1083.3333333333333</v>
      </c>
      <c r="F24" s="896">
        <f t="shared" si="6"/>
        <v>1083.3333333333333</v>
      </c>
      <c r="G24" s="896">
        <f t="shared" si="6"/>
        <v>1083.3333333333333</v>
      </c>
      <c r="H24" s="896">
        <f t="shared" si="6"/>
        <v>1083.3333333333333</v>
      </c>
      <c r="I24" s="896">
        <f t="shared" si="6"/>
        <v>1083.3333333333333</v>
      </c>
      <c r="J24" s="896">
        <f t="shared" si="6"/>
        <v>1083.3333333333333</v>
      </c>
      <c r="K24" s="896">
        <f t="shared" si="6"/>
        <v>1083.3333333333333</v>
      </c>
      <c r="L24" s="896">
        <f t="shared" si="6"/>
        <v>1083.3333333333333</v>
      </c>
      <c r="M24" s="896">
        <f t="shared" si="6"/>
        <v>1083.3333333333333</v>
      </c>
      <c r="N24" s="893">
        <f t="shared" si="7"/>
        <v>13000.000000000002</v>
      </c>
      <c r="O24">
        <v>13000</v>
      </c>
      <c r="P24">
        <f t="shared" si="2"/>
        <v>0</v>
      </c>
    </row>
    <row r="25" spans="1:16" ht="12.75">
      <c r="A25" s="902" t="s">
        <v>614</v>
      </c>
      <c r="B25" s="898">
        <f t="shared" si="5"/>
        <v>1062.25</v>
      </c>
      <c r="C25" s="896">
        <f t="shared" si="6"/>
        <v>1062.25</v>
      </c>
      <c r="D25" s="896">
        <f t="shared" si="6"/>
        <v>1062.25</v>
      </c>
      <c r="E25" s="896">
        <f t="shared" si="6"/>
        <v>1062.25</v>
      </c>
      <c r="F25" s="896">
        <f t="shared" si="6"/>
        <v>1062.25</v>
      </c>
      <c r="G25" s="896">
        <f t="shared" si="6"/>
        <v>1062.25</v>
      </c>
      <c r="H25" s="896">
        <f t="shared" si="6"/>
        <v>1062.25</v>
      </c>
      <c r="I25" s="896">
        <f t="shared" si="6"/>
        <v>1062.25</v>
      </c>
      <c r="J25" s="896">
        <f t="shared" si="6"/>
        <v>1062.25</v>
      </c>
      <c r="K25" s="896">
        <f t="shared" si="6"/>
        <v>1062.25</v>
      </c>
      <c r="L25" s="896">
        <f t="shared" si="6"/>
        <v>1062.25</v>
      </c>
      <c r="M25" s="896">
        <f t="shared" si="6"/>
        <v>1062.25</v>
      </c>
      <c r="N25" s="893">
        <f t="shared" si="7"/>
        <v>12747</v>
      </c>
      <c r="O25">
        <v>12747</v>
      </c>
      <c r="P25">
        <f t="shared" si="2"/>
        <v>0</v>
      </c>
    </row>
    <row r="26" spans="1:16" ht="12.75">
      <c r="A26" s="891" t="s">
        <v>615</v>
      </c>
      <c r="B26" s="898">
        <f t="shared" si="5"/>
        <v>158929.91213888887</v>
      </c>
      <c r="C26" s="896">
        <f t="shared" si="6"/>
        <v>158929.91213888887</v>
      </c>
      <c r="D26" s="896">
        <f t="shared" si="6"/>
        <v>158929.91213888887</v>
      </c>
      <c r="E26" s="896">
        <f t="shared" si="6"/>
        <v>158929.91213888887</v>
      </c>
      <c r="F26" s="896">
        <f t="shared" si="6"/>
        <v>158929.91213888887</v>
      </c>
      <c r="G26" s="896">
        <f t="shared" si="6"/>
        <v>158929.91213888887</v>
      </c>
      <c r="H26" s="896">
        <f t="shared" si="6"/>
        <v>158929.91213888887</v>
      </c>
      <c r="I26" s="896">
        <f t="shared" si="6"/>
        <v>158929.91213888887</v>
      </c>
      <c r="J26" s="896">
        <f t="shared" si="6"/>
        <v>158929.91213888887</v>
      </c>
      <c r="K26" s="896">
        <f t="shared" si="6"/>
        <v>158929.91213888887</v>
      </c>
      <c r="L26" s="896">
        <f t="shared" si="6"/>
        <v>158929.91213888887</v>
      </c>
      <c r="M26" s="896">
        <f t="shared" si="6"/>
        <v>158929.91213888887</v>
      </c>
      <c r="N26" s="893">
        <f t="shared" si="7"/>
        <v>1907158.9456666664</v>
      </c>
      <c r="O26">
        <v>1907158.9456666666</v>
      </c>
      <c r="P26">
        <f t="shared" si="2"/>
        <v>0</v>
      </c>
    </row>
    <row r="27" spans="1:16" ht="12.75">
      <c r="A27" s="891" t="s">
        <v>616</v>
      </c>
      <c r="B27" s="898">
        <f t="shared" si="5"/>
        <v>56535.24547222222</v>
      </c>
      <c r="C27" s="896">
        <f t="shared" si="6"/>
        <v>56535.24547222222</v>
      </c>
      <c r="D27" s="896">
        <f t="shared" si="6"/>
        <v>56535.24547222222</v>
      </c>
      <c r="E27" s="896">
        <f t="shared" si="6"/>
        <v>56535.24547222222</v>
      </c>
      <c r="F27" s="896">
        <f t="shared" si="6"/>
        <v>56535.24547222222</v>
      </c>
      <c r="G27" s="896">
        <f t="shared" si="6"/>
        <v>56535.24547222222</v>
      </c>
      <c r="H27" s="896">
        <f t="shared" si="6"/>
        <v>56535.24547222222</v>
      </c>
      <c r="I27" s="896">
        <f t="shared" si="6"/>
        <v>56535.24547222222</v>
      </c>
      <c r="J27" s="896">
        <f t="shared" si="6"/>
        <v>56535.24547222222</v>
      </c>
      <c r="K27" s="896">
        <f t="shared" si="6"/>
        <v>56535.24547222222</v>
      </c>
      <c r="L27" s="896">
        <f t="shared" si="6"/>
        <v>56535.24547222222</v>
      </c>
      <c r="M27" s="896">
        <f t="shared" si="6"/>
        <v>56535.24547222222</v>
      </c>
      <c r="N27" s="893">
        <f t="shared" si="7"/>
        <v>678422.9456666666</v>
      </c>
      <c r="O27">
        <v>678422.9456666666</v>
      </c>
      <c r="P27">
        <f t="shared" si="2"/>
        <v>0</v>
      </c>
    </row>
    <row r="28" spans="1:16" ht="12.75">
      <c r="A28" s="894" t="s">
        <v>617</v>
      </c>
      <c r="B28" s="898">
        <f t="shared" si="5"/>
        <v>52221.66213888888</v>
      </c>
      <c r="C28" s="896">
        <f t="shared" si="6"/>
        <v>52221.66213888888</v>
      </c>
      <c r="D28" s="896">
        <f t="shared" si="6"/>
        <v>52221.66213888888</v>
      </c>
      <c r="E28" s="896">
        <f t="shared" si="6"/>
        <v>52221.66213888888</v>
      </c>
      <c r="F28" s="896">
        <f t="shared" si="6"/>
        <v>52221.66213888888</v>
      </c>
      <c r="G28" s="896">
        <f t="shared" si="6"/>
        <v>52221.66213888888</v>
      </c>
      <c r="H28" s="896">
        <f t="shared" si="6"/>
        <v>52221.66213888888</v>
      </c>
      <c r="I28" s="896">
        <f t="shared" si="6"/>
        <v>52221.66213888888</v>
      </c>
      <c r="J28" s="896">
        <f t="shared" si="6"/>
        <v>52221.66213888888</v>
      </c>
      <c r="K28" s="896">
        <f t="shared" si="6"/>
        <v>52221.66213888888</v>
      </c>
      <c r="L28" s="896">
        <f t="shared" si="6"/>
        <v>52221.66213888888</v>
      </c>
      <c r="M28" s="896">
        <f t="shared" si="6"/>
        <v>52221.66213888888</v>
      </c>
      <c r="N28" s="893">
        <f t="shared" si="7"/>
        <v>626659.9456666666</v>
      </c>
      <c r="O28">
        <v>626659.9456666666</v>
      </c>
      <c r="P28">
        <f t="shared" si="2"/>
        <v>0</v>
      </c>
    </row>
    <row r="29" spans="1:16" ht="12.75">
      <c r="A29" s="894" t="s">
        <v>618</v>
      </c>
      <c r="B29" s="898">
        <f t="shared" si="5"/>
        <v>0</v>
      </c>
      <c r="C29" s="896">
        <f t="shared" si="6"/>
        <v>0</v>
      </c>
      <c r="D29" s="896">
        <f t="shared" si="6"/>
        <v>0</v>
      </c>
      <c r="E29" s="896">
        <f t="shared" si="6"/>
        <v>0</v>
      </c>
      <c r="F29" s="896">
        <f t="shared" si="6"/>
        <v>0</v>
      </c>
      <c r="G29" s="896">
        <f t="shared" si="6"/>
        <v>0</v>
      </c>
      <c r="H29" s="896">
        <f t="shared" si="6"/>
        <v>0</v>
      </c>
      <c r="I29" s="896">
        <f t="shared" si="6"/>
        <v>0</v>
      </c>
      <c r="J29" s="896">
        <f t="shared" si="6"/>
        <v>0</v>
      </c>
      <c r="K29" s="896">
        <f t="shared" si="6"/>
        <v>0</v>
      </c>
      <c r="L29" s="896">
        <f t="shared" si="6"/>
        <v>0</v>
      </c>
      <c r="M29" s="896">
        <f t="shared" si="6"/>
        <v>0</v>
      </c>
      <c r="N29" s="893">
        <f t="shared" si="7"/>
        <v>0</v>
      </c>
      <c r="O29">
        <v>0</v>
      </c>
      <c r="P29">
        <f t="shared" si="2"/>
        <v>0</v>
      </c>
    </row>
    <row r="30" spans="1:16" ht="12.75">
      <c r="A30" s="894" t="s">
        <v>619</v>
      </c>
      <c r="B30" s="898">
        <f t="shared" si="5"/>
        <v>4313.583333333333</v>
      </c>
      <c r="C30" s="896">
        <f t="shared" si="6"/>
        <v>4313.583333333333</v>
      </c>
      <c r="D30" s="896">
        <f t="shared" si="6"/>
        <v>4313.583333333333</v>
      </c>
      <c r="E30" s="896">
        <f t="shared" si="6"/>
        <v>4313.583333333333</v>
      </c>
      <c r="F30" s="896">
        <f t="shared" si="6"/>
        <v>4313.583333333333</v>
      </c>
      <c r="G30" s="896">
        <f t="shared" si="6"/>
        <v>4313.583333333333</v>
      </c>
      <c r="H30" s="896">
        <f t="shared" si="6"/>
        <v>4313.583333333333</v>
      </c>
      <c r="I30" s="896">
        <f t="shared" si="6"/>
        <v>4313.583333333333</v>
      </c>
      <c r="J30" s="896">
        <f t="shared" si="6"/>
        <v>4313.583333333333</v>
      </c>
      <c r="K30" s="896">
        <f t="shared" si="6"/>
        <v>4313.583333333333</v>
      </c>
      <c r="L30" s="896">
        <f t="shared" si="6"/>
        <v>4313.583333333333</v>
      </c>
      <c r="M30" s="896">
        <f t="shared" si="6"/>
        <v>4313.583333333333</v>
      </c>
      <c r="N30" s="893">
        <f t="shared" si="7"/>
        <v>51763.00000000001</v>
      </c>
      <c r="O30">
        <v>51763</v>
      </c>
      <c r="P30">
        <f t="shared" si="2"/>
        <v>0</v>
      </c>
    </row>
    <row r="31" spans="1:16" ht="12.75">
      <c r="A31" s="894" t="s">
        <v>620</v>
      </c>
      <c r="B31" s="898">
        <f t="shared" si="5"/>
        <v>0</v>
      </c>
      <c r="C31" s="896">
        <f t="shared" si="6"/>
        <v>0</v>
      </c>
      <c r="D31" s="896">
        <f t="shared" si="6"/>
        <v>0</v>
      </c>
      <c r="E31" s="896">
        <f t="shared" si="6"/>
        <v>0</v>
      </c>
      <c r="F31" s="896">
        <f t="shared" si="6"/>
        <v>0</v>
      </c>
      <c r="G31" s="896">
        <f aca="true" t="shared" si="8" ref="D31:M46">F31</f>
        <v>0</v>
      </c>
      <c r="H31" s="896">
        <f t="shared" si="8"/>
        <v>0</v>
      </c>
      <c r="I31" s="896">
        <f t="shared" si="8"/>
        <v>0</v>
      </c>
      <c r="J31" s="896">
        <f t="shared" si="8"/>
        <v>0</v>
      </c>
      <c r="K31" s="896">
        <f t="shared" si="8"/>
        <v>0</v>
      </c>
      <c r="L31" s="896">
        <f t="shared" si="8"/>
        <v>0</v>
      </c>
      <c r="M31" s="896">
        <f t="shared" si="8"/>
        <v>0</v>
      </c>
      <c r="N31" s="893">
        <f t="shared" si="7"/>
        <v>0</v>
      </c>
      <c r="O31">
        <v>0</v>
      </c>
      <c r="P31">
        <f t="shared" si="2"/>
        <v>0</v>
      </c>
    </row>
    <row r="32" spans="1:16" ht="12.75">
      <c r="A32" s="903" t="s">
        <v>621</v>
      </c>
      <c r="B32" s="898">
        <f t="shared" si="5"/>
        <v>25112.5</v>
      </c>
      <c r="C32" s="896">
        <f t="shared" si="6"/>
        <v>25112.5</v>
      </c>
      <c r="D32" s="896">
        <f t="shared" si="8"/>
        <v>25112.5</v>
      </c>
      <c r="E32" s="896">
        <f t="shared" si="8"/>
        <v>25112.5</v>
      </c>
      <c r="F32" s="896">
        <f t="shared" si="8"/>
        <v>25112.5</v>
      </c>
      <c r="G32" s="896">
        <f t="shared" si="8"/>
        <v>25112.5</v>
      </c>
      <c r="H32" s="896">
        <f t="shared" si="8"/>
        <v>25112.5</v>
      </c>
      <c r="I32" s="896">
        <f t="shared" si="8"/>
        <v>25112.5</v>
      </c>
      <c r="J32" s="896">
        <f t="shared" si="8"/>
        <v>25112.5</v>
      </c>
      <c r="K32" s="896">
        <f t="shared" si="8"/>
        <v>25112.5</v>
      </c>
      <c r="L32" s="896">
        <f t="shared" si="8"/>
        <v>25112.5</v>
      </c>
      <c r="M32" s="896">
        <f t="shared" si="8"/>
        <v>25112.5</v>
      </c>
      <c r="N32" s="893">
        <f t="shared" si="7"/>
        <v>301350</v>
      </c>
      <c r="O32">
        <v>301350</v>
      </c>
      <c r="P32">
        <f t="shared" si="2"/>
        <v>0</v>
      </c>
    </row>
    <row r="33" spans="1:16" ht="12.75">
      <c r="A33" s="903" t="s">
        <v>672</v>
      </c>
      <c r="B33" s="898">
        <f t="shared" si="5"/>
        <v>20866.666666666668</v>
      </c>
      <c r="C33" s="896">
        <f t="shared" si="6"/>
        <v>20866.666666666668</v>
      </c>
      <c r="D33" s="896">
        <f t="shared" si="8"/>
        <v>20866.666666666668</v>
      </c>
      <c r="E33" s="896">
        <f t="shared" si="8"/>
        <v>20866.666666666668</v>
      </c>
      <c r="F33" s="896">
        <f t="shared" si="8"/>
        <v>20866.666666666668</v>
      </c>
      <c r="G33" s="896">
        <f t="shared" si="8"/>
        <v>20866.666666666668</v>
      </c>
      <c r="H33" s="896">
        <f t="shared" si="8"/>
        <v>20866.666666666668</v>
      </c>
      <c r="I33" s="896">
        <f t="shared" si="8"/>
        <v>20866.666666666668</v>
      </c>
      <c r="J33" s="896">
        <f t="shared" si="8"/>
        <v>20866.666666666668</v>
      </c>
      <c r="K33" s="896">
        <f t="shared" si="8"/>
        <v>20866.666666666668</v>
      </c>
      <c r="L33" s="896">
        <f t="shared" si="8"/>
        <v>20866.666666666668</v>
      </c>
      <c r="M33" s="896">
        <f t="shared" si="8"/>
        <v>20866.666666666668</v>
      </c>
      <c r="N33" s="893">
        <f t="shared" si="7"/>
        <v>250399.99999999997</v>
      </c>
      <c r="O33">
        <v>250400</v>
      </c>
      <c r="P33">
        <f t="shared" si="2"/>
        <v>0</v>
      </c>
    </row>
    <row r="34" spans="1:16" ht="12.75">
      <c r="A34" s="903" t="s">
        <v>622</v>
      </c>
      <c r="B34" s="898">
        <f t="shared" si="5"/>
        <v>76510.25</v>
      </c>
      <c r="C34" s="896">
        <f t="shared" si="6"/>
        <v>76510.25</v>
      </c>
      <c r="D34" s="896">
        <f t="shared" si="8"/>
        <v>76510.25</v>
      </c>
      <c r="E34" s="896">
        <f t="shared" si="8"/>
        <v>76510.25</v>
      </c>
      <c r="F34" s="896">
        <f t="shared" si="8"/>
        <v>76510.25</v>
      </c>
      <c r="G34" s="896">
        <f t="shared" si="8"/>
        <v>76510.25</v>
      </c>
      <c r="H34" s="896">
        <f t="shared" si="8"/>
        <v>76510.25</v>
      </c>
      <c r="I34" s="896">
        <f t="shared" si="8"/>
        <v>76510.25</v>
      </c>
      <c r="J34" s="896">
        <f t="shared" si="8"/>
        <v>76510.25</v>
      </c>
      <c r="K34" s="896">
        <f t="shared" si="8"/>
        <v>76510.25</v>
      </c>
      <c r="L34" s="896">
        <f t="shared" si="8"/>
        <v>76510.25</v>
      </c>
      <c r="M34" s="896">
        <f t="shared" si="8"/>
        <v>76510.25</v>
      </c>
      <c r="N34" s="893">
        <f t="shared" si="7"/>
        <v>918123</v>
      </c>
      <c r="O34">
        <v>918123</v>
      </c>
      <c r="P34">
        <f t="shared" si="2"/>
        <v>0</v>
      </c>
    </row>
    <row r="35" spans="1:16" ht="12.75">
      <c r="A35" s="903" t="s">
        <v>623</v>
      </c>
      <c r="B35" s="898">
        <f t="shared" si="5"/>
        <v>771.9166666666666</v>
      </c>
      <c r="C35" s="896">
        <f t="shared" si="6"/>
        <v>771.9166666666666</v>
      </c>
      <c r="D35" s="896">
        <f t="shared" si="8"/>
        <v>771.9166666666666</v>
      </c>
      <c r="E35" s="896">
        <f t="shared" si="8"/>
        <v>771.9166666666666</v>
      </c>
      <c r="F35" s="896">
        <f t="shared" si="8"/>
        <v>771.9166666666666</v>
      </c>
      <c r="G35" s="896">
        <f t="shared" si="8"/>
        <v>771.9166666666666</v>
      </c>
      <c r="H35" s="896">
        <f t="shared" si="8"/>
        <v>771.9166666666666</v>
      </c>
      <c r="I35" s="896">
        <f t="shared" si="8"/>
        <v>771.9166666666666</v>
      </c>
      <c r="J35" s="896">
        <f t="shared" si="8"/>
        <v>771.9166666666666</v>
      </c>
      <c r="K35" s="896">
        <f t="shared" si="8"/>
        <v>771.9166666666666</v>
      </c>
      <c r="L35" s="896">
        <f t="shared" si="8"/>
        <v>771.9166666666666</v>
      </c>
      <c r="M35" s="896">
        <f t="shared" si="8"/>
        <v>771.9166666666666</v>
      </c>
      <c r="N35" s="893">
        <f t="shared" si="7"/>
        <v>9263</v>
      </c>
      <c r="O35">
        <v>9263</v>
      </c>
      <c r="P35">
        <f t="shared" si="2"/>
        <v>0</v>
      </c>
    </row>
    <row r="36" spans="1:16" ht="12.75">
      <c r="A36" s="891" t="s">
        <v>624</v>
      </c>
      <c r="B36" s="898">
        <f t="shared" si="5"/>
        <v>550</v>
      </c>
      <c r="C36" s="896">
        <f t="shared" si="6"/>
        <v>550</v>
      </c>
      <c r="D36" s="896">
        <f t="shared" si="8"/>
        <v>550</v>
      </c>
      <c r="E36" s="896">
        <f t="shared" si="8"/>
        <v>550</v>
      </c>
      <c r="F36" s="896">
        <f t="shared" si="8"/>
        <v>550</v>
      </c>
      <c r="G36" s="896">
        <f t="shared" si="8"/>
        <v>550</v>
      </c>
      <c r="H36" s="896">
        <f t="shared" si="8"/>
        <v>550</v>
      </c>
      <c r="I36" s="896">
        <f t="shared" si="8"/>
        <v>550</v>
      </c>
      <c r="J36" s="896">
        <f t="shared" si="8"/>
        <v>550</v>
      </c>
      <c r="K36" s="896">
        <f t="shared" si="8"/>
        <v>550</v>
      </c>
      <c r="L36" s="896">
        <f t="shared" si="8"/>
        <v>550</v>
      </c>
      <c r="M36" s="896">
        <f t="shared" si="8"/>
        <v>550</v>
      </c>
      <c r="N36" s="893">
        <f t="shared" si="7"/>
        <v>6600</v>
      </c>
      <c r="O36">
        <v>6600</v>
      </c>
      <c r="P36">
        <f t="shared" si="2"/>
        <v>0</v>
      </c>
    </row>
    <row r="37" spans="1:16" ht="12.75">
      <c r="A37" s="894" t="s">
        <v>625</v>
      </c>
      <c r="B37" s="898">
        <f t="shared" si="5"/>
        <v>550</v>
      </c>
      <c r="C37" s="896">
        <f t="shared" si="6"/>
        <v>550</v>
      </c>
      <c r="D37" s="896">
        <f t="shared" si="8"/>
        <v>550</v>
      </c>
      <c r="E37" s="896">
        <f t="shared" si="8"/>
        <v>550</v>
      </c>
      <c r="F37" s="896">
        <f t="shared" si="8"/>
        <v>550</v>
      </c>
      <c r="G37" s="896">
        <f t="shared" si="8"/>
        <v>550</v>
      </c>
      <c r="H37" s="896">
        <f t="shared" si="8"/>
        <v>550</v>
      </c>
      <c r="I37" s="896">
        <f t="shared" si="8"/>
        <v>550</v>
      </c>
      <c r="J37" s="896">
        <f t="shared" si="8"/>
        <v>550</v>
      </c>
      <c r="K37" s="896">
        <f t="shared" si="8"/>
        <v>550</v>
      </c>
      <c r="L37" s="896">
        <f t="shared" si="8"/>
        <v>550</v>
      </c>
      <c r="M37" s="896">
        <f t="shared" si="8"/>
        <v>550</v>
      </c>
      <c r="N37" s="893">
        <f t="shared" si="7"/>
        <v>6600</v>
      </c>
      <c r="O37">
        <v>6600</v>
      </c>
      <c r="P37">
        <f t="shared" si="2"/>
        <v>0</v>
      </c>
    </row>
    <row r="38" spans="1:16" ht="12.75">
      <c r="A38" s="894" t="s">
        <v>626</v>
      </c>
      <c r="B38" s="898">
        <f t="shared" si="5"/>
        <v>0</v>
      </c>
      <c r="C38" s="896">
        <f t="shared" si="6"/>
        <v>0</v>
      </c>
      <c r="D38" s="896">
        <f t="shared" si="8"/>
        <v>0</v>
      </c>
      <c r="E38" s="896">
        <f t="shared" si="8"/>
        <v>0</v>
      </c>
      <c r="F38" s="896">
        <f t="shared" si="8"/>
        <v>0</v>
      </c>
      <c r="G38" s="896">
        <f t="shared" si="8"/>
        <v>0</v>
      </c>
      <c r="H38" s="896">
        <f t="shared" si="8"/>
        <v>0</v>
      </c>
      <c r="I38" s="896">
        <f t="shared" si="8"/>
        <v>0</v>
      </c>
      <c r="J38" s="896">
        <f t="shared" si="8"/>
        <v>0</v>
      </c>
      <c r="K38" s="896">
        <f t="shared" si="8"/>
        <v>0</v>
      </c>
      <c r="L38" s="896">
        <f t="shared" si="8"/>
        <v>0</v>
      </c>
      <c r="M38" s="896">
        <f t="shared" si="8"/>
        <v>0</v>
      </c>
      <c r="N38" s="893">
        <f aca="true" t="shared" si="9" ref="N38:N48">SUM(B38:M38)</f>
        <v>0</v>
      </c>
      <c r="O38">
        <v>0</v>
      </c>
      <c r="P38">
        <f t="shared" si="2"/>
        <v>0</v>
      </c>
    </row>
    <row r="39" spans="1:16" ht="12.75">
      <c r="A39" s="899" t="s">
        <v>627</v>
      </c>
      <c r="B39" s="898">
        <f t="shared" si="5"/>
        <v>0</v>
      </c>
      <c r="C39" s="896">
        <f t="shared" si="6"/>
        <v>0</v>
      </c>
      <c r="D39" s="896">
        <f t="shared" si="8"/>
        <v>0</v>
      </c>
      <c r="E39" s="896">
        <f t="shared" si="8"/>
        <v>0</v>
      </c>
      <c r="F39" s="896">
        <f t="shared" si="8"/>
        <v>0</v>
      </c>
      <c r="G39" s="896">
        <f t="shared" si="8"/>
        <v>0</v>
      </c>
      <c r="H39" s="896">
        <f t="shared" si="8"/>
        <v>0</v>
      </c>
      <c r="I39" s="896">
        <f t="shared" si="8"/>
        <v>0</v>
      </c>
      <c r="J39" s="896">
        <f t="shared" si="8"/>
        <v>0</v>
      </c>
      <c r="K39" s="896">
        <f t="shared" si="8"/>
        <v>0</v>
      </c>
      <c r="L39" s="896">
        <f t="shared" si="8"/>
        <v>0</v>
      </c>
      <c r="M39" s="896">
        <f t="shared" si="8"/>
        <v>0</v>
      </c>
      <c r="N39" s="893">
        <f t="shared" si="9"/>
        <v>0</v>
      </c>
      <c r="O39">
        <v>0</v>
      </c>
      <c r="P39">
        <f t="shared" si="2"/>
        <v>0</v>
      </c>
    </row>
    <row r="40" spans="1:16" ht="12.75">
      <c r="A40" s="891" t="s">
        <v>628</v>
      </c>
      <c r="B40" s="898">
        <f t="shared" si="5"/>
        <v>0</v>
      </c>
      <c r="C40" s="896">
        <f t="shared" si="6"/>
        <v>0</v>
      </c>
      <c r="D40" s="896">
        <f t="shared" si="8"/>
        <v>0</v>
      </c>
      <c r="E40" s="896">
        <f t="shared" si="8"/>
        <v>0</v>
      </c>
      <c r="F40" s="896">
        <f t="shared" si="8"/>
        <v>0</v>
      </c>
      <c r="G40" s="896">
        <f t="shared" si="8"/>
        <v>0</v>
      </c>
      <c r="H40" s="896">
        <f t="shared" si="8"/>
        <v>0</v>
      </c>
      <c r="I40" s="896">
        <f t="shared" si="8"/>
        <v>0</v>
      </c>
      <c r="J40" s="896">
        <f t="shared" si="8"/>
        <v>0</v>
      </c>
      <c r="K40" s="896">
        <f t="shared" si="8"/>
        <v>0</v>
      </c>
      <c r="L40" s="896">
        <f t="shared" si="8"/>
        <v>0</v>
      </c>
      <c r="M40" s="896">
        <f t="shared" si="8"/>
        <v>0</v>
      </c>
      <c r="N40" s="893">
        <f t="shared" si="9"/>
        <v>0</v>
      </c>
      <c r="P40">
        <f t="shared" si="2"/>
        <v>0</v>
      </c>
    </row>
    <row r="41" spans="1:16" ht="12.75">
      <c r="A41" s="891" t="s">
        <v>629</v>
      </c>
      <c r="B41" s="898">
        <f t="shared" si="5"/>
        <v>7332.166666666667</v>
      </c>
      <c r="C41" s="896">
        <f t="shared" si="6"/>
        <v>7332.166666666667</v>
      </c>
      <c r="D41" s="896">
        <f t="shared" si="8"/>
        <v>7332.166666666667</v>
      </c>
      <c r="E41" s="896">
        <f t="shared" si="8"/>
        <v>7332.166666666667</v>
      </c>
      <c r="F41" s="896">
        <f t="shared" si="8"/>
        <v>7332.166666666667</v>
      </c>
      <c r="G41" s="896">
        <f t="shared" si="8"/>
        <v>7332.166666666667</v>
      </c>
      <c r="H41" s="896">
        <f t="shared" si="8"/>
        <v>7332.166666666667</v>
      </c>
      <c r="I41" s="896">
        <f t="shared" si="8"/>
        <v>7332.166666666667</v>
      </c>
      <c r="J41" s="896">
        <f t="shared" si="8"/>
        <v>7332.166666666667</v>
      </c>
      <c r="K41" s="896">
        <f t="shared" si="8"/>
        <v>7332.166666666667</v>
      </c>
      <c r="L41" s="896">
        <f t="shared" si="8"/>
        <v>7332.166666666667</v>
      </c>
      <c r="M41" s="896">
        <f t="shared" si="8"/>
        <v>7332.166666666667</v>
      </c>
      <c r="N41" s="893">
        <f t="shared" si="9"/>
        <v>87986.00000000001</v>
      </c>
      <c r="O41">
        <v>87986</v>
      </c>
      <c r="P41">
        <f t="shared" si="2"/>
        <v>0</v>
      </c>
    </row>
    <row r="42" spans="1:16" ht="12.75">
      <c r="A42" s="894" t="s">
        <v>630</v>
      </c>
      <c r="B42" s="898">
        <f t="shared" si="5"/>
        <v>258.3333333333333</v>
      </c>
      <c r="C42" s="896">
        <f t="shared" si="6"/>
        <v>258.3333333333333</v>
      </c>
      <c r="D42" s="896">
        <f t="shared" si="8"/>
        <v>258.3333333333333</v>
      </c>
      <c r="E42" s="896">
        <f t="shared" si="8"/>
        <v>258.3333333333333</v>
      </c>
      <c r="F42" s="896">
        <f t="shared" si="8"/>
        <v>258.3333333333333</v>
      </c>
      <c r="G42" s="896">
        <f t="shared" si="8"/>
        <v>258.3333333333333</v>
      </c>
      <c r="H42" s="896">
        <f t="shared" si="8"/>
        <v>258.3333333333333</v>
      </c>
      <c r="I42" s="896">
        <f t="shared" si="8"/>
        <v>258.3333333333333</v>
      </c>
      <c r="J42" s="896">
        <f t="shared" si="8"/>
        <v>258.3333333333333</v>
      </c>
      <c r="K42" s="896">
        <f t="shared" si="8"/>
        <v>258.3333333333333</v>
      </c>
      <c r="L42" s="896">
        <f t="shared" si="8"/>
        <v>258.3333333333333</v>
      </c>
      <c r="M42" s="896">
        <f t="shared" si="8"/>
        <v>258.3333333333333</v>
      </c>
      <c r="N42" s="893">
        <f t="shared" si="9"/>
        <v>3100.0000000000005</v>
      </c>
      <c r="O42">
        <v>3100</v>
      </c>
      <c r="P42">
        <f t="shared" si="2"/>
        <v>0</v>
      </c>
    </row>
    <row r="43" spans="1:16" ht="12.75">
      <c r="A43" s="894" t="s">
        <v>631</v>
      </c>
      <c r="B43" s="898">
        <f t="shared" si="5"/>
        <v>2488.6666666666665</v>
      </c>
      <c r="C43" s="896">
        <f t="shared" si="6"/>
        <v>2488.6666666666665</v>
      </c>
      <c r="D43" s="896">
        <f t="shared" si="8"/>
        <v>2488.6666666666665</v>
      </c>
      <c r="E43" s="896">
        <f t="shared" si="8"/>
        <v>2488.6666666666665</v>
      </c>
      <c r="F43" s="896">
        <f t="shared" si="8"/>
        <v>2488.6666666666665</v>
      </c>
      <c r="G43" s="896">
        <f t="shared" si="8"/>
        <v>2488.6666666666665</v>
      </c>
      <c r="H43" s="896">
        <f t="shared" si="8"/>
        <v>2488.6666666666665</v>
      </c>
      <c r="I43" s="896">
        <f t="shared" si="8"/>
        <v>2488.6666666666665</v>
      </c>
      <c r="J43" s="896">
        <f t="shared" si="8"/>
        <v>2488.6666666666665</v>
      </c>
      <c r="K43" s="896">
        <f t="shared" si="8"/>
        <v>2488.6666666666665</v>
      </c>
      <c r="L43" s="896">
        <f t="shared" si="8"/>
        <v>2488.6666666666665</v>
      </c>
      <c r="M43" s="896">
        <f t="shared" si="8"/>
        <v>2488.6666666666665</v>
      </c>
      <c r="N43" s="893">
        <f t="shared" si="9"/>
        <v>29864.000000000004</v>
      </c>
      <c r="O43">
        <v>29864</v>
      </c>
      <c r="P43">
        <f t="shared" si="2"/>
        <v>0</v>
      </c>
    </row>
    <row r="44" spans="1:16" ht="12.75">
      <c r="A44" s="894" t="s">
        <v>632</v>
      </c>
      <c r="B44" s="898">
        <f t="shared" si="5"/>
        <v>4585.166666666667</v>
      </c>
      <c r="C44" s="896">
        <f t="shared" si="6"/>
        <v>4585.166666666667</v>
      </c>
      <c r="D44" s="896">
        <f t="shared" si="8"/>
        <v>4585.166666666667</v>
      </c>
      <c r="E44" s="896">
        <f t="shared" si="8"/>
        <v>4585.166666666667</v>
      </c>
      <c r="F44" s="896">
        <f t="shared" si="8"/>
        <v>4585.166666666667</v>
      </c>
      <c r="G44" s="896">
        <f t="shared" si="8"/>
        <v>4585.166666666667</v>
      </c>
      <c r="H44" s="896">
        <f t="shared" si="8"/>
        <v>4585.166666666667</v>
      </c>
      <c r="I44" s="896">
        <f t="shared" si="8"/>
        <v>4585.166666666667</v>
      </c>
      <c r="J44" s="896">
        <f t="shared" si="8"/>
        <v>4585.166666666667</v>
      </c>
      <c r="K44" s="896">
        <f t="shared" si="8"/>
        <v>4585.166666666667</v>
      </c>
      <c r="L44" s="896">
        <f t="shared" si="8"/>
        <v>4585.166666666667</v>
      </c>
      <c r="M44" s="896">
        <f t="shared" si="8"/>
        <v>4585.166666666667</v>
      </c>
      <c r="N44" s="893">
        <f t="shared" si="9"/>
        <v>55021.99999999999</v>
      </c>
      <c r="O44">
        <v>55022</v>
      </c>
      <c r="P44">
        <f t="shared" si="2"/>
        <v>0</v>
      </c>
    </row>
    <row r="45" spans="1:16" ht="12.75">
      <c r="A45" s="894" t="s">
        <v>633</v>
      </c>
      <c r="B45" s="898">
        <f t="shared" si="5"/>
        <v>0</v>
      </c>
      <c r="C45" s="896">
        <f t="shared" si="6"/>
        <v>0</v>
      </c>
      <c r="D45" s="896">
        <f t="shared" si="8"/>
        <v>0</v>
      </c>
      <c r="E45" s="896">
        <f t="shared" si="8"/>
        <v>0</v>
      </c>
      <c r="F45" s="896">
        <f t="shared" si="8"/>
        <v>0</v>
      </c>
      <c r="G45" s="896">
        <f t="shared" si="8"/>
        <v>0</v>
      </c>
      <c r="H45" s="896">
        <f t="shared" si="8"/>
        <v>0</v>
      </c>
      <c r="I45" s="896">
        <f t="shared" si="8"/>
        <v>0</v>
      </c>
      <c r="J45" s="896">
        <f t="shared" si="8"/>
        <v>0</v>
      </c>
      <c r="K45" s="896">
        <f t="shared" si="8"/>
        <v>0</v>
      </c>
      <c r="L45" s="896">
        <f t="shared" si="8"/>
        <v>0</v>
      </c>
      <c r="M45" s="896">
        <f t="shared" si="8"/>
        <v>0</v>
      </c>
      <c r="N45" s="893">
        <f t="shared" si="9"/>
        <v>0</v>
      </c>
      <c r="O45">
        <v>0</v>
      </c>
      <c r="P45">
        <f t="shared" si="2"/>
        <v>0</v>
      </c>
    </row>
    <row r="46" spans="1:16" ht="12.75">
      <c r="A46" s="894" t="s">
        <v>634</v>
      </c>
      <c r="B46" s="898">
        <f t="shared" si="5"/>
        <v>4585.166666666667</v>
      </c>
      <c r="C46" s="896">
        <f t="shared" si="6"/>
        <v>4585.166666666667</v>
      </c>
      <c r="D46" s="896">
        <f t="shared" si="8"/>
        <v>4585.166666666667</v>
      </c>
      <c r="E46" s="896">
        <f t="shared" si="8"/>
        <v>4585.166666666667</v>
      </c>
      <c r="F46" s="896">
        <f t="shared" si="8"/>
        <v>4585.166666666667</v>
      </c>
      <c r="G46" s="896">
        <f t="shared" si="8"/>
        <v>4585.166666666667</v>
      </c>
      <c r="H46" s="896">
        <f t="shared" si="8"/>
        <v>4585.166666666667</v>
      </c>
      <c r="I46" s="896">
        <f t="shared" si="8"/>
        <v>4585.166666666667</v>
      </c>
      <c r="J46" s="896">
        <f t="shared" si="8"/>
        <v>4585.166666666667</v>
      </c>
      <c r="K46" s="896">
        <f t="shared" si="8"/>
        <v>4585.166666666667</v>
      </c>
      <c r="L46" s="896">
        <f t="shared" si="8"/>
        <v>4585.166666666667</v>
      </c>
      <c r="M46" s="896">
        <f t="shared" si="8"/>
        <v>4585.166666666667</v>
      </c>
      <c r="N46" s="893">
        <f t="shared" si="9"/>
        <v>55021.99999999999</v>
      </c>
      <c r="O46">
        <v>55022</v>
      </c>
      <c r="P46">
        <f t="shared" si="2"/>
        <v>0</v>
      </c>
    </row>
    <row r="47" spans="1:16" ht="12.75">
      <c r="A47" s="894" t="s">
        <v>635</v>
      </c>
      <c r="B47" s="898">
        <f t="shared" si="5"/>
        <v>0</v>
      </c>
      <c r="C47" s="896">
        <f t="shared" si="6"/>
        <v>0</v>
      </c>
      <c r="D47" s="896">
        <f aca="true" t="shared" si="10" ref="D47:M51">C47</f>
        <v>0</v>
      </c>
      <c r="E47" s="896">
        <f t="shared" si="10"/>
        <v>0</v>
      </c>
      <c r="F47" s="896">
        <f t="shared" si="10"/>
        <v>0</v>
      </c>
      <c r="G47" s="896">
        <f t="shared" si="10"/>
        <v>0</v>
      </c>
      <c r="H47" s="896">
        <f t="shared" si="10"/>
        <v>0</v>
      </c>
      <c r="I47" s="896">
        <f t="shared" si="10"/>
        <v>0</v>
      </c>
      <c r="J47" s="896">
        <f t="shared" si="10"/>
        <v>0</v>
      </c>
      <c r="K47" s="896">
        <f t="shared" si="10"/>
        <v>0</v>
      </c>
      <c r="L47" s="896">
        <f t="shared" si="10"/>
        <v>0</v>
      </c>
      <c r="M47" s="896">
        <f t="shared" si="10"/>
        <v>0</v>
      </c>
      <c r="N47" s="893">
        <f t="shared" si="9"/>
        <v>0</v>
      </c>
      <c r="O47">
        <v>0</v>
      </c>
      <c r="P47">
        <f t="shared" si="2"/>
        <v>0</v>
      </c>
    </row>
    <row r="48" spans="1:16" ht="12.75">
      <c r="A48" s="894" t="s">
        <v>636</v>
      </c>
      <c r="B48" s="898">
        <f t="shared" si="5"/>
        <v>0</v>
      </c>
      <c r="C48" s="896">
        <f t="shared" si="6"/>
        <v>0</v>
      </c>
      <c r="D48" s="896">
        <f t="shared" si="10"/>
        <v>0</v>
      </c>
      <c r="E48" s="896">
        <f t="shared" si="10"/>
        <v>0</v>
      </c>
      <c r="F48" s="896">
        <f t="shared" si="10"/>
        <v>0</v>
      </c>
      <c r="G48" s="896">
        <f t="shared" si="10"/>
        <v>0</v>
      </c>
      <c r="H48" s="896">
        <f t="shared" si="10"/>
        <v>0</v>
      </c>
      <c r="I48" s="896">
        <f t="shared" si="10"/>
        <v>0</v>
      </c>
      <c r="J48" s="896">
        <f t="shared" si="10"/>
        <v>0</v>
      </c>
      <c r="K48" s="896">
        <f t="shared" si="10"/>
        <v>0</v>
      </c>
      <c r="L48" s="896">
        <f t="shared" si="10"/>
        <v>0</v>
      </c>
      <c r="M48" s="896">
        <f t="shared" si="10"/>
        <v>0</v>
      </c>
      <c r="N48" s="893">
        <f t="shared" si="9"/>
        <v>0</v>
      </c>
      <c r="O48">
        <v>0</v>
      </c>
      <c r="P48">
        <f t="shared" si="2"/>
        <v>0</v>
      </c>
    </row>
    <row r="49" spans="1:16" ht="12.75">
      <c r="A49" s="894" t="s">
        <v>637</v>
      </c>
      <c r="B49" s="898">
        <f t="shared" si="5"/>
        <v>0</v>
      </c>
      <c r="C49" s="896">
        <f t="shared" si="6"/>
        <v>0</v>
      </c>
      <c r="D49" s="896">
        <f t="shared" si="10"/>
        <v>0</v>
      </c>
      <c r="E49" s="896">
        <f t="shared" si="10"/>
        <v>0</v>
      </c>
      <c r="F49" s="896">
        <f t="shared" si="10"/>
        <v>0</v>
      </c>
      <c r="G49" s="896">
        <f t="shared" si="10"/>
        <v>0</v>
      </c>
      <c r="H49" s="896">
        <f t="shared" si="10"/>
        <v>0</v>
      </c>
      <c r="I49" s="896">
        <f t="shared" si="10"/>
        <v>0</v>
      </c>
      <c r="J49" s="896">
        <f t="shared" si="10"/>
        <v>0</v>
      </c>
      <c r="K49" s="896">
        <f t="shared" si="10"/>
        <v>0</v>
      </c>
      <c r="L49" s="896">
        <f t="shared" si="10"/>
        <v>0</v>
      </c>
      <c r="M49" s="896">
        <f t="shared" si="10"/>
        <v>0</v>
      </c>
      <c r="N49" s="904">
        <f>SUM(N47:N48)</f>
        <v>0</v>
      </c>
      <c r="O49">
        <v>0</v>
      </c>
      <c r="P49">
        <f t="shared" si="2"/>
        <v>0</v>
      </c>
    </row>
    <row r="50" spans="1:16" ht="12.75">
      <c r="A50" s="894" t="s">
        <v>638</v>
      </c>
      <c r="B50" s="898">
        <f t="shared" si="5"/>
        <v>0</v>
      </c>
      <c r="C50" s="896">
        <f t="shared" si="6"/>
        <v>0</v>
      </c>
      <c r="D50" s="896">
        <f t="shared" si="10"/>
        <v>0</v>
      </c>
      <c r="E50" s="896">
        <f t="shared" si="10"/>
        <v>0</v>
      </c>
      <c r="F50" s="896">
        <f t="shared" si="10"/>
        <v>0</v>
      </c>
      <c r="G50" s="896">
        <f t="shared" si="10"/>
        <v>0</v>
      </c>
      <c r="H50" s="896">
        <f t="shared" si="10"/>
        <v>0</v>
      </c>
      <c r="I50" s="896">
        <f t="shared" si="10"/>
        <v>0</v>
      </c>
      <c r="J50" s="896">
        <f t="shared" si="10"/>
        <v>0</v>
      </c>
      <c r="K50" s="896">
        <f t="shared" si="10"/>
        <v>0</v>
      </c>
      <c r="L50" s="896">
        <f t="shared" si="10"/>
        <v>0</v>
      </c>
      <c r="M50" s="896">
        <f t="shared" si="10"/>
        <v>0</v>
      </c>
      <c r="N50" s="893">
        <f>SUM(B50:M50)</f>
        <v>0</v>
      </c>
      <c r="O50">
        <v>0</v>
      </c>
      <c r="P50">
        <f t="shared" si="2"/>
        <v>0</v>
      </c>
    </row>
    <row r="51" spans="1:16" ht="13.5" thickBot="1">
      <c r="A51" s="905" t="s">
        <v>639</v>
      </c>
      <c r="B51" s="898">
        <f t="shared" si="5"/>
        <v>216899.66213888887</v>
      </c>
      <c r="C51" s="896">
        <f t="shared" si="6"/>
        <v>216899.66213888887</v>
      </c>
      <c r="D51" s="896">
        <f t="shared" si="10"/>
        <v>216899.66213888887</v>
      </c>
      <c r="E51" s="896">
        <f t="shared" si="10"/>
        <v>216899.66213888887</v>
      </c>
      <c r="F51" s="896">
        <f t="shared" si="10"/>
        <v>216899.66213888887</v>
      </c>
      <c r="G51" s="896">
        <f t="shared" si="10"/>
        <v>216899.66213888887</v>
      </c>
      <c r="H51" s="896">
        <f t="shared" si="10"/>
        <v>216899.66213888887</v>
      </c>
      <c r="I51" s="896">
        <f t="shared" si="10"/>
        <v>216899.66213888887</v>
      </c>
      <c r="J51" s="896">
        <f t="shared" si="10"/>
        <v>216899.66213888887</v>
      </c>
      <c r="K51" s="896">
        <f t="shared" si="10"/>
        <v>216899.66213888887</v>
      </c>
      <c r="L51" s="896">
        <f t="shared" si="10"/>
        <v>216899.66213888887</v>
      </c>
      <c r="M51" s="896">
        <f t="shared" si="10"/>
        <v>216899.66213888887</v>
      </c>
      <c r="N51" s="893">
        <f>SUM(B51:M51)</f>
        <v>2602795.945666667</v>
      </c>
      <c r="O51">
        <v>2602795.9456666666</v>
      </c>
      <c r="P51">
        <f t="shared" si="2"/>
        <v>0</v>
      </c>
    </row>
    <row r="52" spans="1:14" ht="13.5" thickBot="1">
      <c r="A52" s="881" t="s">
        <v>460</v>
      </c>
      <c r="B52" s="882"/>
      <c r="C52" s="883"/>
      <c r="D52" s="883"/>
      <c r="E52" s="884" t="s">
        <v>547</v>
      </c>
      <c r="F52" s="884"/>
      <c r="G52" s="884"/>
      <c r="H52" s="884"/>
      <c r="I52" s="883"/>
      <c r="J52" s="883"/>
      <c r="K52" s="883"/>
      <c r="L52" s="883"/>
      <c r="M52" s="883"/>
      <c r="N52" s="885" t="s">
        <v>129</v>
      </c>
    </row>
    <row r="53" spans="1:14" ht="13.5" thickBot="1">
      <c r="A53" s="906" t="s">
        <v>561</v>
      </c>
      <c r="B53" s="887" t="s">
        <v>549</v>
      </c>
      <c r="C53" s="888" t="s">
        <v>550</v>
      </c>
      <c r="D53" s="889" t="s">
        <v>551</v>
      </c>
      <c r="E53" s="888" t="s">
        <v>552</v>
      </c>
      <c r="F53" s="889" t="s">
        <v>553</v>
      </c>
      <c r="G53" s="888" t="s">
        <v>554</v>
      </c>
      <c r="H53" s="889" t="s">
        <v>555</v>
      </c>
      <c r="I53" s="888" t="s">
        <v>556</v>
      </c>
      <c r="J53" s="889" t="s">
        <v>557</v>
      </c>
      <c r="K53" s="888" t="s">
        <v>558</v>
      </c>
      <c r="L53" s="889" t="s">
        <v>559</v>
      </c>
      <c r="M53" s="888" t="s">
        <v>560</v>
      </c>
      <c r="N53" s="890" t="s">
        <v>134</v>
      </c>
    </row>
    <row r="54" spans="1:15" ht="12.75">
      <c r="A54" s="907" t="s">
        <v>562</v>
      </c>
      <c r="B54" s="908">
        <f>O54/12</f>
        <v>37538.5</v>
      </c>
      <c r="C54" s="909">
        <f>B54</f>
        <v>37538.5</v>
      </c>
      <c r="D54" s="909">
        <f aca="true" t="shared" si="11" ref="D54:M54">C54</f>
        <v>37538.5</v>
      </c>
      <c r="E54" s="909">
        <f t="shared" si="11"/>
        <v>37538.5</v>
      </c>
      <c r="F54" s="909">
        <f t="shared" si="11"/>
        <v>37538.5</v>
      </c>
      <c r="G54" s="909">
        <f t="shared" si="11"/>
        <v>37538.5</v>
      </c>
      <c r="H54" s="909">
        <f t="shared" si="11"/>
        <v>37538.5</v>
      </c>
      <c r="I54" s="909">
        <f t="shared" si="11"/>
        <v>37538.5</v>
      </c>
      <c r="J54" s="909">
        <f t="shared" si="11"/>
        <v>37538.5</v>
      </c>
      <c r="K54" s="909">
        <f t="shared" si="11"/>
        <v>37538.5</v>
      </c>
      <c r="L54" s="909">
        <f t="shared" si="11"/>
        <v>37538.5</v>
      </c>
      <c r="M54" s="909">
        <f t="shared" si="11"/>
        <v>37538.5</v>
      </c>
      <c r="N54" s="893">
        <f aca="true" t="shared" si="12" ref="N54:N63">SUM(B54:M54)</f>
        <v>450462</v>
      </c>
      <c r="O54" s="59">
        <f>mérleg!F19</f>
        <v>450462</v>
      </c>
    </row>
    <row r="55" spans="1:15" ht="12.75">
      <c r="A55" s="910" t="s">
        <v>563</v>
      </c>
      <c r="B55" s="911">
        <f>113509/12</f>
        <v>9459.083333333334</v>
      </c>
      <c r="C55" s="911">
        <f aca="true" t="shared" si="13" ref="C55:M55">113509/12</f>
        <v>9459.083333333334</v>
      </c>
      <c r="D55" s="911">
        <f t="shared" si="13"/>
        <v>9459.083333333334</v>
      </c>
      <c r="E55" s="911">
        <f t="shared" si="13"/>
        <v>9459.083333333334</v>
      </c>
      <c r="F55" s="911">
        <f t="shared" si="13"/>
        <v>9459.083333333334</v>
      </c>
      <c r="G55" s="911">
        <f t="shared" si="13"/>
        <v>9459.083333333334</v>
      </c>
      <c r="H55" s="911">
        <f t="shared" si="13"/>
        <v>9459.083333333334</v>
      </c>
      <c r="I55" s="911">
        <f t="shared" si="13"/>
        <v>9459.083333333334</v>
      </c>
      <c r="J55" s="911">
        <f t="shared" si="13"/>
        <v>9459.083333333334</v>
      </c>
      <c r="K55" s="911">
        <f t="shared" si="13"/>
        <v>9459.083333333334</v>
      </c>
      <c r="L55" s="911">
        <f t="shared" si="13"/>
        <v>9459.083333333334</v>
      </c>
      <c r="M55" s="911">
        <f t="shared" si="13"/>
        <v>9459.083333333334</v>
      </c>
      <c r="N55" s="893">
        <f t="shared" si="12"/>
        <v>113508.99999999999</v>
      </c>
      <c r="O55" s="59">
        <f>mérleg!F20</f>
        <v>115443</v>
      </c>
    </row>
    <row r="56" spans="1:15" ht="12.75">
      <c r="A56" s="907" t="s">
        <v>564</v>
      </c>
      <c r="B56" s="901">
        <v>45298</v>
      </c>
      <c r="C56" s="901">
        <v>45298</v>
      </c>
      <c r="D56" s="901">
        <v>45298</v>
      </c>
      <c r="E56" s="901">
        <v>45298</v>
      </c>
      <c r="F56" s="901">
        <v>45298</v>
      </c>
      <c r="G56" s="901">
        <v>45298</v>
      </c>
      <c r="H56" s="901">
        <v>45298</v>
      </c>
      <c r="I56" s="901">
        <v>45298</v>
      </c>
      <c r="J56" s="901">
        <v>45298</v>
      </c>
      <c r="K56" s="901">
        <v>45298</v>
      </c>
      <c r="L56" s="901">
        <v>45298</v>
      </c>
      <c r="M56" s="901">
        <v>45298</v>
      </c>
      <c r="N56" s="893">
        <f t="shared" si="12"/>
        <v>543576</v>
      </c>
      <c r="O56" s="59">
        <f>mérleg!F21</f>
        <v>544653</v>
      </c>
    </row>
    <row r="57" spans="1:16" ht="30.75" customHeight="1">
      <c r="A57" s="912" t="s">
        <v>565</v>
      </c>
      <c r="B57" s="893">
        <v>33000</v>
      </c>
      <c r="C57" s="893">
        <v>33000</v>
      </c>
      <c r="D57" s="893">
        <v>35000</v>
      </c>
      <c r="E57" s="893">
        <v>35000</v>
      </c>
      <c r="F57" s="893">
        <v>33000</v>
      </c>
      <c r="G57" s="893">
        <v>33000</v>
      </c>
      <c r="H57" s="893">
        <v>33000</v>
      </c>
      <c r="I57" s="893">
        <v>33000</v>
      </c>
      <c r="J57" s="893">
        <v>33000</v>
      </c>
      <c r="K57" s="893">
        <v>33000</v>
      </c>
      <c r="L57" s="893">
        <v>41196</v>
      </c>
      <c r="M57" s="893">
        <v>33000</v>
      </c>
      <c r="N57" s="893">
        <f t="shared" si="12"/>
        <v>408196</v>
      </c>
      <c r="O57" s="59">
        <f>mérleg!F22</f>
        <v>408592</v>
      </c>
      <c r="P57" s="59">
        <f>O57-N57</f>
        <v>396</v>
      </c>
    </row>
    <row r="58" spans="1:16" ht="12.75">
      <c r="A58" s="912" t="s">
        <v>640</v>
      </c>
      <c r="B58" s="901"/>
      <c r="C58" s="909"/>
      <c r="D58" s="901"/>
      <c r="E58" s="909">
        <v>16009</v>
      </c>
      <c r="F58" s="901">
        <v>110000</v>
      </c>
      <c r="G58" s="909">
        <v>15000</v>
      </c>
      <c r="H58" s="901">
        <v>5000</v>
      </c>
      <c r="I58" s="909">
        <v>800000</v>
      </c>
      <c r="J58" s="901">
        <v>20000</v>
      </c>
      <c r="K58" s="913">
        <v>15000</v>
      </c>
      <c r="L58" s="901"/>
      <c r="M58" s="914"/>
      <c r="N58" s="893">
        <f t="shared" si="12"/>
        <v>981009</v>
      </c>
      <c r="O58" s="59">
        <f>mérleg!F45</f>
        <v>986009</v>
      </c>
      <c r="P58" s="59">
        <f>O58-N58</f>
        <v>5000</v>
      </c>
    </row>
    <row r="59" spans="1:16" ht="14.25" customHeight="1">
      <c r="A59" s="915" t="s">
        <v>566</v>
      </c>
      <c r="B59" s="916"/>
      <c r="C59" s="917"/>
      <c r="D59" s="893"/>
      <c r="E59" s="914"/>
      <c r="F59" s="893"/>
      <c r="G59" s="918">
        <v>8000</v>
      </c>
      <c r="H59" s="916">
        <v>7000</v>
      </c>
      <c r="I59" s="919">
        <v>5500</v>
      </c>
      <c r="J59" s="916"/>
      <c r="K59" s="919"/>
      <c r="L59" s="916"/>
      <c r="M59" s="914"/>
      <c r="N59" s="893">
        <f t="shared" si="12"/>
        <v>20500</v>
      </c>
      <c r="O59" s="59">
        <f>mérleg!F46</f>
        <v>20500</v>
      </c>
      <c r="P59" s="59">
        <f>O59-N59</f>
        <v>0</v>
      </c>
    </row>
    <row r="60" spans="1:16" ht="12.75">
      <c r="A60" s="893" t="s">
        <v>567</v>
      </c>
      <c r="B60" s="893">
        <v>6131</v>
      </c>
      <c r="C60" s="893">
        <v>6131</v>
      </c>
      <c r="D60" s="893">
        <v>6131</v>
      </c>
      <c r="E60" s="893">
        <v>6131</v>
      </c>
      <c r="F60" s="893">
        <v>6131</v>
      </c>
      <c r="G60" s="893">
        <v>6131</v>
      </c>
      <c r="H60" s="893">
        <v>6131</v>
      </c>
      <c r="I60" s="893">
        <v>6131</v>
      </c>
      <c r="J60" s="893">
        <v>6131</v>
      </c>
      <c r="K60" s="893">
        <v>6131</v>
      </c>
      <c r="L60" s="893">
        <v>6131</v>
      </c>
      <c r="M60" s="893">
        <v>6142</v>
      </c>
      <c r="N60" s="893">
        <f t="shared" si="12"/>
        <v>73583</v>
      </c>
      <c r="O60" s="59">
        <f>'teljes kiadás'!H29</f>
        <v>68294</v>
      </c>
      <c r="P60" s="59">
        <f>O60-N60</f>
        <v>-5289</v>
      </c>
    </row>
    <row r="61" spans="1:16" ht="12.75">
      <c r="A61" s="901" t="s">
        <v>568</v>
      </c>
      <c r="B61" s="916">
        <v>1450</v>
      </c>
      <c r="C61" s="916">
        <v>1450</v>
      </c>
      <c r="D61" s="916">
        <v>1450</v>
      </c>
      <c r="E61" s="916">
        <v>1450</v>
      </c>
      <c r="F61" s="916">
        <v>1450</v>
      </c>
      <c r="G61" s="916">
        <v>1450</v>
      </c>
      <c r="H61" s="916">
        <v>1450</v>
      </c>
      <c r="I61" s="916">
        <v>1450</v>
      </c>
      <c r="J61" s="916">
        <v>1450</v>
      </c>
      <c r="K61" s="916">
        <v>1450</v>
      </c>
      <c r="L61" s="916">
        <v>1616</v>
      </c>
      <c r="M61" s="916">
        <v>1450</v>
      </c>
      <c r="N61" s="893">
        <f t="shared" si="12"/>
        <v>17566</v>
      </c>
      <c r="O61" s="59">
        <f>'teljes kiadás'!I29</f>
        <v>15995</v>
      </c>
      <c r="P61" s="59">
        <f>O61-N61</f>
        <v>-1571</v>
      </c>
    </row>
    <row r="62" spans="1:15" ht="12.75">
      <c r="A62" s="893" t="s">
        <v>569</v>
      </c>
      <c r="B62" s="893"/>
      <c r="C62" s="914"/>
      <c r="D62" s="893"/>
      <c r="E62" s="914"/>
      <c r="F62" s="893"/>
      <c r="G62" s="893"/>
      <c r="H62" s="893"/>
      <c r="I62" s="914"/>
      <c r="J62" s="893"/>
      <c r="K62" s="914"/>
      <c r="L62" s="893"/>
      <c r="M62" s="893"/>
      <c r="N62" s="893">
        <f t="shared" si="12"/>
        <v>0</v>
      </c>
      <c r="O62">
        <v>0</v>
      </c>
    </row>
    <row r="63" spans="1:14" ht="13.5" thickBot="1">
      <c r="A63" s="920" t="s">
        <v>570</v>
      </c>
      <c r="B63" s="921">
        <f aca="true" t="shared" si="14" ref="B63:M63">SUM(B54:B62)</f>
        <v>132876.58333333334</v>
      </c>
      <c r="C63" s="921">
        <f t="shared" si="14"/>
        <v>132876.58333333334</v>
      </c>
      <c r="D63" s="921">
        <f t="shared" si="14"/>
        <v>134876.58333333334</v>
      </c>
      <c r="E63" s="921">
        <f t="shared" si="14"/>
        <v>150885.58333333334</v>
      </c>
      <c r="F63" s="921">
        <f t="shared" si="14"/>
        <v>242876.58333333334</v>
      </c>
      <c r="G63" s="921">
        <f t="shared" si="14"/>
        <v>155876.58333333334</v>
      </c>
      <c r="H63" s="921">
        <f t="shared" si="14"/>
        <v>144876.58333333334</v>
      </c>
      <c r="I63" s="921">
        <f t="shared" si="14"/>
        <v>938376.5833333334</v>
      </c>
      <c r="J63" s="921">
        <f t="shared" si="14"/>
        <v>152876.58333333334</v>
      </c>
      <c r="K63" s="921">
        <f t="shared" si="14"/>
        <v>147876.58333333334</v>
      </c>
      <c r="L63" s="921">
        <f t="shared" si="14"/>
        <v>141238.58333333334</v>
      </c>
      <c r="M63" s="921">
        <f t="shared" si="14"/>
        <v>132887.58333333334</v>
      </c>
      <c r="N63" s="893">
        <f t="shared" si="12"/>
        <v>2608401.000000001</v>
      </c>
    </row>
    <row r="64" spans="1:14" ht="13.5" thickBot="1">
      <c r="A64" s="922" t="s">
        <v>571</v>
      </c>
      <c r="B64" s="923">
        <f aca="true" t="shared" si="15" ref="B64:N64">B51</f>
        <v>216899.66213888887</v>
      </c>
      <c r="C64" s="923">
        <f t="shared" si="15"/>
        <v>216899.66213888887</v>
      </c>
      <c r="D64" s="923">
        <f t="shared" si="15"/>
        <v>216899.66213888887</v>
      </c>
      <c r="E64" s="923">
        <f t="shared" si="15"/>
        <v>216899.66213888887</v>
      </c>
      <c r="F64" s="923">
        <f t="shared" si="15"/>
        <v>216899.66213888887</v>
      </c>
      <c r="G64" s="923">
        <f t="shared" si="15"/>
        <v>216899.66213888887</v>
      </c>
      <c r="H64" s="923">
        <f t="shared" si="15"/>
        <v>216899.66213888887</v>
      </c>
      <c r="I64" s="923">
        <f t="shared" si="15"/>
        <v>216899.66213888887</v>
      </c>
      <c r="J64" s="923">
        <f t="shared" si="15"/>
        <v>216899.66213888887</v>
      </c>
      <c r="K64" s="923">
        <f t="shared" si="15"/>
        <v>216899.66213888887</v>
      </c>
      <c r="L64" s="923">
        <f t="shared" si="15"/>
        <v>216899.66213888887</v>
      </c>
      <c r="M64" s="923">
        <f t="shared" si="15"/>
        <v>216899.66213888887</v>
      </c>
      <c r="N64" s="923">
        <f t="shared" si="15"/>
        <v>2602795.945666667</v>
      </c>
    </row>
    <row r="65" spans="1:14" ht="13.5" thickBot="1">
      <c r="A65" s="924" t="s">
        <v>11</v>
      </c>
      <c r="B65" s="923">
        <f aca="true" t="shared" si="16" ref="B65:N65">B63</f>
        <v>132876.58333333334</v>
      </c>
      <c r="C65" s="923">
        <f t="shared" si="16"/>
        <v>132876.58333333334</v>
      </c>
      <c r="D65" s="923">
        <f t="shared" si="16"/>
        <v>134876.58333333334</v>
      </c>
      <c r="E65" s="923">
        <f t="shared" si="16"/>
        <v>150885.58333333334</v>
      </c>
      <c r="F65" s="923">
        <f t="shared" si="16"/>
        <v>242876.58333333334</v>
      </c>
      <c r="G65" s="923">
        <f t="shared" si="16"/>
        <v>155876.58333333334</v>
      </c>
      <c r="H65" s="923">
        <f t="shared" si="16"/>
        <v>144876.58333333334</v>
      </c>
      <c r="I65" s="923">
        <f t="shared" si="16"/>
        <v>938376.5833333334</v>
      </c>
      <c r="J65" s="923">
        <f t="shared" si="16"/>
        <v>152876.58333333334</v>
      </c>
      <c r="K65" s="923">
        <f t="shared" si="16"/>
        <v>147876.58333333334</v>
      </c>
      <c r="L65" s="923">
        <f t="shared" si="16"/>
        <v>141238.58333333334</v>
      </c>
      <c r="M65" s="925">
        <f t="shared" si="16"/>
        <v>132887.58333333334</v>
      </c>
      <c r="N65" s="925">
        <f t="shared" si="16"/>
        <v>2608401.000000001</v>
      </c>
    </row>
    <row r="66" spans="1:14" ht="13.5" thickBot="1">
      <c r="A66" s="924" t="s">
        <v>572</v>
      </c>
      <c r="B66" s="926">
        <f aca="true" t="shared" si="17" ref="B66:M66">B64-B65</f>
        <v>84023.07880555553</v>
      </c>
      <c r="C66" s="926">
        <f t="shared" si="17"/>
        <v>84023.07880555553</v>
      </c>
      <c r="D66" s="926">
        <f t="shared" si="17"/>
        <v>82023.07880555553</v>
      </c>
      <c r="E66" s="926">
        <f t="shared" si="17"/>
        <v>66014.07880555553</v>
      </c>
      <c r="F66" s="926">
        <f t="shared" si="17"/>
        <v>-25976.92119444447</v>
      </c>
      <c r="G66" s="926">
        <f t="shared" si="17"/>
        <v>61023.07880555553</v>
      </c>
      <c r="H66" s="926">
        <f t="shared" si="17"/>
        <v>72023.07880555553</v>
      </c>
      <c r="I66" s="926">
        <f t="shared" si="17"/>
        <v>-721476.9211944445</v>
      </c>
      <c r="J66" s="926">
        <f t="shared" si="17"/>
        <v>64023.07880555553</v>
      </c>
      <c r="K66" s="926">
        <f t="shared" si="17"/>
        <v>69023.07880555553</v>
      </c>
      <c r="L66" s="926">
        <f t="shared" si="17"/>
        <v>75661.07880555553</v>
      </c>
      <c r="M66" s="926">
        <f t="shared" si="17"/>
        <v>84012.07880555553</v>
      </c>
      <c r="N66" s="925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&amp;R..........................rendelet a város 2014 évi költégvetéséről
</oddHeader>
    <oddFooter>&amp;C&amp;D&amp;R&amp;P. 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F71" activeCellId="2" sqref="C65 C71 F71"/>
    </sheetView>
  </sheetViews>
  <sheetFormatPr defaultColWidth="9.140625" defaultRowHeight="12.75"/>
  <cols>
    <col min="1" max="1" width="24.8515625" style="0" customWidth="1"/>
    <col min="2" max="2" width="8.00390625" style="0" customWidth="1"/>
    <col min="3" max="3" width="8.140625" style="0" customWidth="1"/>
    <col min="4" max="4" width="7.421875" style="0" customWidth="1"/>
    <col min="7" max="7" width="7.7109375" style="0" customWidth="1"/>
    <col min="8" max="8" width="5.8515625" style="0" customWidth="1"/>
    <col min="13" max="13" width="7.00390625" style="0" customWidth="1"/>
    <col min="14" max="14" width="7.7109375" style="0" customWidth="1"/>
    <col min="15" max="25" width="0" style="0" hidden="1" customWidth="1"/>
  </cols>
  <sheetData>
    <row r="1" spans="1:12" ht="12.75">
      <c r="A1" s="57"/>
      <c r="E1" s="57" t="s">
        <v>573</v>
      </c>
      <c r="F1" s="57"/>
      <c r="H1" s="57"/>
      <c r="K1" s="57" t="s">
        <v>574</v>
      </c>
      <c r="L1" s="60"/>
    </row>
    <row r="4" ht="13.5" thickBot="1"/>
    <row r="5" spans="1:14" ht="13.5" thickBot="1">
      <c r="A5" s="881" t="s">
        <v>460</v>
      </c>
      <c r="B5" s="882"/>
      <c r="C5" s="883"/>
      <c r="D5" s="883"/>
      <c r="E5" s="884" t="s">
        <v>547</v>
      </c>
      <c r="F5" s="884"/>
      <c r="G5" s="884"/>
      <c r="H5" s="884"/>
      <c r="I5" s="883"/>
      <c r="J5" s="883"/>
      <c r="K5" s="883"/>
      <c r="L5" s="883"/>
      <c r="M5" s="883"/>
      <c r="N5" s="885" t="s">
        <v>129</v>
      </c>
    </row>
    <row r="6" spans="1:14" ht="13.5" thickBot="1">
      <c r="A6" s="886" t="s">
        <v>548</v>
      </c>
      <c r="B6" s="887" t="s">
        <v>549</v>
      </c>
      <c r="C6" s="888" t="s">
        <v>550</v>
      </c>
      <c r="D6" s="889" t="s">
        <v>551</v>
      </c>
      <c r="E6" s="888" t="s">
        <v>552</v>
      </c>
      <c r="F6" s="889" t="s">
        <v>553</v>
      </c>
      <c r="G6" s="888" t="s">
        <v>554</v>
      </c>
      <c r="H6" s="889" t="s">
        <v>555</v>
      </c>
      <c r="I6" s="888" t="s">
        <v>556</v>
      </c>
      <c r="J6" s="889" t="s">
        <v>557</v>
      </c>
      <c r="K6" s="888" t="s">
        <v>558</v>
      </c>
      <c r="L6" s="889" t="s">
        <v>559</v>
      </c>
      <c r="M6" s="888" t="s">
        <v>560</v>
      </c>
      <c r="N6" s="890" t="s">
        <v>134</v>
      </c>
    </row>
    <row r="7" spans="1:18" ht="12.75">
      <c r="A7" s="891" t="s">
        <v>594</v>
      </c>
      <c r="B7" s="892">
        <v>15433.666666666666</v>
      </c>
      <c r="C7" s="892">
        <v>15433.666666666666</v>
      </c>
      <c r="D7" s="892">
        <v>15433.666666666666</v>
      </c>
      <c r="E7" s="892">
        <v>15433.666666666666</v>
      </c>
      <c r="F7" s="892">
        <v>15433.666666666666</v>
      </c>
      <c r="G7" s="892">
        <v>15433.666666666666</v>
      </c>
      <c r="H7" s="892">
        <v>15433.666666666666</v>
      </c>
      <c r="I7" s="892">
        <v>15433.666666666666</v>
      </c>
      <c r="J7" s="892">
        <v>15433.666666666666</v>
      </c>
      <c r="K7" s="892">
        <v>15433.666666666666</v>
      </c>
      <c r="L7" s="892">
        <v>15433.666666666666</v>
      </c>
      <c r="M7" s="892">
        <v>15433.666666666666</v>
      </c>
      <c r="N7" s="893">
        <f aca="true" t="shared" si="0" ref="N7:N12">SUM(B7:M7)</f>
        <v>185203.99999999997</v>
      </c>
      <c r="Q7">
        <v>185204</v>
      </c>
      <c r="R7">
        <f>Q7-N7</f>
        <v>0</v>
      </c>
    </row>
    <row r="8" spans="1:18" ht="12.75">
      <c r="A8" s="894" t="s">
        <v>595</v>
      </c>
      <c r="B8" s="892"/>
      <c r="C8" s="895"/>
      <c r="D8" s="892"/>
      <c r="E8" s="895">
        <v>210</v>
      </c>
      <c r="F8" s="892"/>
      <c r="G8" s="895"/>
      <c r="H8" s="892">
        <v>200</v>
      </c>
      <c r="I8" s="895"/>
      <c r="J8" s="892"/>
      <c r="K8" s="895"/>
      <c r="L8" s="892"/>
      <c r="M8" s="896"/>
      <c r="N8" s="893">
        <f t="shared" si="0"/>
        <v>410</v>
      </c>
      <c r="Q8">
        <v>410</v>
      </c>
      <c r="R8">
        <f aca="true" t="shared" si="1" ref="R8:R53">Q8-N8</f>
        <v>0</v>
      </c>
    </row>
    <row r="9" spans="1:18" ht="12.75">
      <c r="A9" s="894" t="s">
        <v>596</v>
      </c>
      <c r="B9" s="897">
        <v>15103.333333333334</v>
      </c>
      <c r="C9" s="897">
        <v>15103.333333333334</v>
      </c>
      <c r="D9" s="897">
        <v>15103.333333333334</v>
      </c>
      <c r="E9" s="897">
        <v>15103.333333333334</v>
      </c>
      <c r="F9" s="897">
        <v>15103.333333333334</v>
      </c>
      <c r="G9" s="897">
        <v>15103.333333333334</v>
      </c>
      <c r="H9" s="897">
        <v>15103.333333333334</v>
      </c>
      <c r="I9" s="897">
        <v>15103.333333333334</v>
      </c>
      <c r="J9" s="897">
        <v>15103.333333333334</v>
      </c>
      <c r="K9" s="897">
        <v>15103.333333333334</v>
      </c>
      <c r="L9" s="897">
        <v>15103.333333333334</v>
      </c>
      <c r="M9" s="897">
        <v>15103.333333333334</v>
      </c>
      <c r="N9" s="893">
        <f t="shared" si="0"/>
        <v>181240.00000000003</v>
      </c>
      <c r="Q9">
        <v>181240</v>
      </c>
      <c r="R9">
        <f t="shared" si="1"/>
        <v>0</v>
      </c>
    </row>
    <row r="10" spans="1:18" ht="12.75">
      <c r="A10" s="894" t="s">
        <v>597</v>
      </c>
      <c r="B10" s="892">
        <v>225</v>
      </c>
      <c r="C10" s="892">
        <v>225</v>
      </c>
      <c r="D10" s="892">
        <v>225</v>
      </c>
      <c r="E10" s="892">
        <v>225</v>
      </c>
      <c r="F10" s="892">
        <v>225</v>
      </c>
      <c r="G10" s="892">
        <v>225</v>
      </c>
      <c r="H10" s="892">
        <v>225</v>
      </c>
      <c r="I10" s="892">
        <v>225</v>
      </c>
      <c r="J10" s="892">
        <v>225</v>
      </c>
      <c r="K10" s="892">
        <v>225</v>
      </c>
      <c r="L10" s="892">
        <v>225</v>
      </c>
      <c r="M10" s="892">
        <v>225</v>
      </c>
      <c r="N10" s="893">
        <f t="shared" si="0"/>
        <v>2700</v>
      </c>
      <c r="Q10">
        <v>2699</v>
      </c>
      <c r="R10">
        <f t="shared" si="1"/>
        <v>-1</v>
      </c>
    </row>
    <row r="11" spans="1:18" ht="12.75">
      <c r="A11" s="894" t="s">
        <v>598</v>
      </c>
      <c r="B11" s="898">
        <v>71.25</v>
      </c>
      <c r="C11" s="896">
        <v>71.25</v>
      </c>
      <c r="D11" s="896">
        <v>71.25</v>
      </c>
      <c r="E11" s="896">
        <v>71.25</v>
      </c>
      <c r="F11" s="896">
        <v>71.25</v>
      </c>
      <c r="G11" s="896">
        <v>71.25</v>
      </c>
      <c r="H11" s="896">
        <v>71.25</v>
      </c>
      <c r="I11" s="896">
        <v>71.25</v>
      </c>
      <c r="J11" s="896">
        <v>71.25</v>
      </c>
      <c r="K11" s="896">
        <v>71.25</v>
      </c>
      <c r="L11" s="896">
        <v>71.25</v>
      </c>
      <c r="M11" s="896">
        <v>71.25</v>
      </c>
      <c r="N11" s="893">
        <f t="shared" si="0"/>
        <v>855</v>
      </c>
      <c r="Q11">
        <v>855</v>
      </c>
      <c r="R11">
        <f t="shared" si="1"/>
        <v>0</v>
      </c>
    </row>
    <row r="12" spans="1:18" ht="12.75">
      <c r="A12" s="899" t="s">
        <v>599</v>
      </c>
      <c r="B12" s="898">
        <v>0</v>
      </c>
      <c r="C12" s="896">
        <v>0</v>
      </c>
      <c r="D12" s="896">
        <v>0</v>
      </c>
      <c r="E12" s="896">
        <v>0</v>
      </c>
      <c r="F12" s="896">
        <v>0</v>
      </c>
      <c r="G12" s="896">
        <v>0</v>
      </c>
      <c r="H12" s="896">
        <v>0</v>
      </c>
      <c r="I12" s="896">
        <v>0</v>
      </c>
      <c r="J12" s="896">
        <v>0</v>
      </c>
      <c r="K12" s="896">
        <v>0</v>
      </c>
      <c r="L12" s="896">
        <v>0</v>
      </c>
      <c r="M12" s="896">
        <v>0</v>
      </c>
      <c r="N12" s="893">
        <f t="shared" si="0"/>
        <v>0</v>
      </c>
      <c r="Q12">
        <v>0</v>
      </c>
      <c r="R12">
        <f t="shared" si="1"/>
        <v>0</v>
      </c>
    </row>
    <row r="13" spans="1:18" ht="12.75">
      <c r="A13" s="891" t="s">
        <v>600</v>
      </c>
      <c r="B13" s="898">
        <v>34653.916666666664</v>
      </c>
      <c r="C13" s="896">
        <v>34653.916666666664</v>
      </c>
      <c r="D13" s="896">
        <v>34653.916666666664</v>
      </c>
      <c r="E13" s="896">
        <v>34653.916666666664</v>
      </c>
      <c r="F13" s="896">
        <v>34653.916666666664</v>
      </c>
      <c r="G13" s="896">
        <v>34653.916666666664</v>
      </c>
      <c r="H13" s="896">
        <v>34653.916666666664</v>
      </c>
      <c r="I13" s="896">
        <v>34653.916666666664</v>
      </c>
      <c r="J13" s="896">
        <v>34653.916666666664</v>
      </c>
      <c r="K13" s="896">
        <v>34653.916666666664</v>
      </c>
      <c r="L13" s="896">
        <v>34653.916666666664</v>
      </c>
      <c r="M13" s="896">
        <v>34653.916666666664</v>
      </c>
      <c r="N13" s="893">
        <f>N12+N11</f>
        <v>855</v>
      </c>
      <c r="Q13">
        <v>415847</v>
      </c>
      <c r="R13">
        <f t="shared" si="1"/>
        <v>414992</v>
      </c>
    </row>
    <row r="14" spans="1:18" ht="12.75">
      <c r="A14" s="900" t="s">
        <v>601</v>
      </c>
      <c r="B14" s="898">
        <v>33591.666666666664</v>
      </c>
      <c r="C14" s="896">
        <v>33591.666666666664</v>
      </c>
      <c r="D14" s="896">
        <v>33591.666666666664</v>
      </c>
      <c r="E14" s="896">
        <v>33591.666666666664</v>
      </c>
      <c r="F14" s="896">
        <v>33591.666666666664</v>
      </c>
      <c r="G14" s="896">
        <v>33591.666666666664</v>
      </c>
      <c r="H14" s="896">
        <v>33591.666666666664</v>
      </c>
      <c r="I14" s="896">
        <v>33591.666666666664</v>
      </c>
      <c r="J14" s="896">
        <v>33591.666666666664</v>
      </c>
      <c r="K14" s="896">
        <v>33591.666666666664</v>
      </c>
      <c r="L14" s="896">
        <v>33591.666666666664</v>
      </c>
      <c r="M14" s="896">
        <v>33591.666666666664</v>
      </c>
      <c r="N14" s="901"/>
      <c r="Q14">
        <v>403100</v>
      </c>
      <c r="R14">
        <f t="shared" si="1"/>
        <v>403100</v>
      </c>
    </row>
    <row r="15" spans="1:18" ht="12.75">
      <c r="A15" s="891" t="s">
        <v>602</v>
      </c>
      <c r="B15" s="898">
        <v>28833.333333333332</v>
      </c>
      <c r="C15" s="896">
        <v>28833.333333333332</v>
      </c>
      <c r="D15" s="896">
        <v>28833.333333333332</v>
      </c>
      <c r="E15" s="896">
        <v>28833.333333333332</v>
      </c>
      <c r="F15" s="896">
        <v>28833.333333333332</v>
      </c>
      <c r="G15" s="896">
        <v>28833.333333333332</v>
      </c>
      <c r="H15" s="896">
        <v>28833.333333333332</v>
      </c>
      <c r="I15" s="896">
        <v>28833.333333333332</v>
      </c>
      <c r="J15" s="896">
        <v>28833.333333333332</v>
      </c>
      <c r="K15" s="896">
        <v>28833.333333333332</v>
      </c>
      <c r="L15" s="896">
        <v>28833.333333333332</v>
      </c>
      <c r="M15" s="896">
        <v>28833.333333333332</v>
      </c>
      <c r="N15" s="893">
        <v>0</v>
      </c>
      <c r="Q15">
        <v>346000</v>
      </c>
      <c r="R15">
        <f t="shared" si="1"/>
        <v>346000</v>
      </c>
    </row>
    <row r="16" spans="1:18" ht="12.75">
      <c r="A16" s="894" t="s">
        <v>603</v>
      </c>
      <c r="B16" s="898">
        <v>8916.666666666666</v>
      </c>
      <c r="C16" s="896">
        <v>8916.666666666666</v>
      </c>
      <c r="D16" s="896">
        <v>8916.666666666666</v>
      </c>
      <c r="E16" s="896">
        <v>8916.666666666666</v>
      </c>
      <c r="F16" s="896">
        <v>8916.666666666666</v>
      </c>
      <c r="G16" s="896">
        <v>8916.666666666666</v>
      </c>
      <c r="H16" s="896">
        <v>8916.666666666666</v>
      </c>
      <c r="I16" s="896">
        <v>8916.666666666666</v>
      </c>
      <c r="J16" s="896">
        <v>8916.666666666666</v>
      </c>
      <c r="K16" s="896">
        <v>8916.666666666666</v>
      </c>
      <c r="L16" s="896">
        <v>8916.666666666666</v>
      </c>
      <c r="M16" s="896">
        <v>8916.666666666666</v>
      </c>
      <c r="N16" s="893">
        <f>SUM(B16:M16)</f>
        <v>107000.00000000001</v>
      </c>
      <c r="Q16">
        <v>107000</v>
      </c>
      <c r="R16">
        <f t="shared" si="1"/>
        <v>0</v>
      </c>
    </row>
    <row r="17" spans="1:18" ht="12.75">
      <c r="A17" s="894" t="s">
        <v>604</v>
      </c>
      <c r="B17" s="898">
        <v>19166.666666666668</v>
      </c>
      <c r="C17" s="896">
        <v>19166.666666666668</v>
      </c>
      <c r="D17" s="896">
        <v>19166.666666666668</v>
      </c>
      <c r="E17" s="896">
        <v>19166.666666666668</v>
      </c>
      <c r="F17" s="896">
        <v>19166.666666666668</v>
      </c>
      <c r="G17" s="896">
        <v>19166.666666666668</v>
      </c>
      <c r="H17" s="896">
        <v>19166.666666666668</v>
      </c>
      <c r="I17" s="896">
        <v>19166.666666666668</v>
      </c>
      <c r="J17" s="896">
        <v>19166.666666666668</v>
      </c>
      <c r="K17" s="896">
        <v>19166.666666666668</v>
      </c>
      <c r="L17" s="896">
        <v>19166.666666666668</v>
      </c>
      <c r="M17" s="896">
        <v>19166.666666666668</v>
      </c>
      <c r="N17" s="893">
        <f>SUM(B17:M17)</f>
        <v>229999.99999999997</v>
      </c>
      <c r="Q17">
        <v>230000</v>
      </c>
      <c r="R17">
        <f t="shared" si="1"/>
        <v>0</v>
      </c>
    </row>
    <row r="18" spans="1:18" ht="12.75">
      <c r="A18" s="894" t="s">
        <v>605</v>
      </c>
      <c r="B18" s="898">
        <v>750</v>
      </c>
      <c r="C18" s="896">
        <v>750</v>
      </c>
      <c r="D18" s="896">
        <v>750</v>
      </c>
      <c r="E18" s="896">
        <v>750</v>
      </c>
      <c r="F18" s="896">
        <v>750</v>
      </c>
      <c r="G18" s="896">
        <v>750</v>
      </c>
      <c r="H18" s="896">
        <v>750</v>
      </c>
      <c r="I18" s="896">
        <v>750</v>
      </c>
      <c r="J18" s="896">
        <v>750</v>
      </c>
      <c r="K18" s="896">
        <v>750</v>
      </c>
      <c r="L18" s="896">
        <v>750</v>
      </c>
      <c r="M18" s="896">
        <v>750</v>
      </c>
      <c r="N18" s="927">
        <f>SUM(N15:N17)</f>
        <v>337000</v>
      </c>
      <c r="Q18">
        <v>9000</v>
      </c>
      <c r="R18">
        <f t="shared" si="1"/>
        <v>-328000</v>
      </c>
    </row>
    <row r="19" spans="1:18" ht="12.75">
      <c r="A19" s="894" t="s">
        <v>606</v>
      </c>
      <c r="B19" s="898">
        <v>0</v>
      </c>
      <c r="C19" s="896">
        <v>0</v>
      </c>
      <c r="D19" s="896">
        <v>0</v>
      </c>
      <c r="E19" s="896">
        <v>0</v>
      </c>
      <c r="F19" s="896">
        <v>0</v>
      </c>
      <c r="G19" s="896">
        <v>0</v>
      </c>
      <c r="H19" s="896">
        <v>0</v>
      </c>
      <c r="I19" s="896">
        <v>0</v>
      </c>
      <c r="J19" s="896">
        <v>0</v>
      </c>
      <c r="K19" s="896">
        <v>0</v>
      </c>
      <c r="L19" s="896">
        <v>0</v>
      </c>
      <c r="M19" s="896">
        <v>0</v>
      </c>
      <c r="N19" s="901"/>
      <c r="Q19">
        <v>0</v>
      </c>
      <c r="R19">
        <f t="shared" si="1"/>
        <v>0</v>
      </c>
    </row>
    <row r="20" spans="1:18" ht="12.75">
      <c r="A20" s="891" t="s">
        <v>607</v>
      </c>
      <c r="B20" s="898">
        <v>3091.6666666666665</v>
      </c>
      <c r="C20" s="896">
        <v>3091.6666666666665</v>
      </c>
      <c r="D20" s="896">
        <v>3091.6666666666665</v>
      </c>
      <c r="E20" s="896">
        <v>3091.6666666666665</v>
      </c>
      <c r="F20" s="896">
        <v>3091.6666666666665</v>
      </c>
      <c r="G20" s="896">
        <v>3091.6666666666665</v>
      </c>
      <c r="H20" s="896">
        <v>3091.6666666666665</v>
      </c>
      <c r="I20" s="896">
        <v>3091.6666666666665</v>
      </c>
      <c r="J20" s="896">
        <v>3091.6666666666665</v>
      </c>
      <c r="K20" s="896">
        <v>3091.6666666666665</v>
      </c>
      <c r="L20" s="896">
        <v>3091.6666666666665</v>
      </c>
      <c r="M20" s="896">
        <v>3091.6666666666665</v>
      </c>
      <c r="N20" s="893">
        <f aca="true" t="shared" si="2" ref="N20:N37">SUM(B20:M20)</f>
        <v>37100</v>
      </c>
      <c r="Q20">
        <v>37100</v>
      </c>
      <c r="R20">
        <f t="shared" si="1"/>
        <v>0</v>
      </c>
    </row>
    <row r="21" spans="1:18" ht="12.75">
      <c r="A21" s="894" t="s">
        <v>608</v>
      </c>
      <c r="B21" s="898">
        <v>0</v>
      </c>
      <c r="C21" s="896">
        <v>0</v>
      </c>
      <c r="D21" s="896">
        <v>0</v>
      </c>
      <c r="E21" s="896">
        <v>0</v>
      </c>
      <c r="F21" s="896">
        <v>0</v>
      </c>
      <c r="G21" s="896">
        <v>0</v>
      </c>
      <c r="H21" s="896">
        <v>0</v>
      </c>
      <c r="I21" s="896">
        <v>0</v>
      </c>
      <c r="J21" s="896">
        <v>0</v>
      </c>
      <c r="K21" s="896">
        <v>0</v>
      </c>
      <c r="L21" s="896">
        <v>0</v>
      </c>
      <c r="M21" s="896">
        <v>0</v>
      </c>
      <c r="N21" s="893">
        <f t="shared" si="2"/>
        <v>0</v>
      </c>
      <c r="Q21">
        <v>0</v>
      </c>
      <c r="R21">
        <f t="shared" si="1"/>
        <v>0</v>
      </c>
    </row>
    <row r="22" spans="1:18" ht="12.75">
      <c r="A22" s="894" t="s">
        <v>609</v>
      </c>
      <c r="B22" s="898">
        <v>3083.3333333333335</v>
      </c>
      <c r="C22" s="896">
        <v>3083.3333333333335</v>
      </c>
      <c r="D22" s="896">
        <v>3083.3333333333335</v>
      </c>
      <c r="E22" s="896">
        <v>3083.3333333333335</v>
      </c>
      <c r="F22" s="896">
        <v>3083.3333333333335</v>
      </c>
      <c r="G22" s="896">
        <v>3083.3333333333335</v>
      </c>
      <c r="H22" s="896">
        <v>3083.3333333333335</v>
      </c>
      <c r="I22" s="896">
        <v>3083.3333333333335</v>
      </c>
      <c r="J22" s="896">
        <v>3083.3333333333335</v>
      </c>
      <c r="K22" s="896">
        <v>3083.3333333333335</v>
      </c>
      <c r="L22" s="896">
        <v>3083.3333333333335</v>
      </c>
      <c r="M22" s="896">
        <v>3083.3333333333335</v>
      </c>
      <c r="N22" s="893">
        <f t="shared" si="2"/>
        <v>37000</v>
      </c>
      <c r="Q22">
        <v>37000</v>
      </c>
      <c r="R22">
        <f t="shared" si="1"/>
        <v>0</v>
      </c>
    </row>
    <row r="23" spans="1:18" ht="12.75">
      <c r="A23" s="894" t="s">
        <v>610</v>
      </c>
      <c r="B23" s="898">
        <v>8.333333333333334</v>
      </c>
      <c r="C23" s="896">
        <v>8.333333333333334</v>
      </c>
      <c r="D23" s="896">
        <v>8.333333333333334</v>
      </c>
      <c r="E23" s="896">
        <v>8.333333333333334</v>
      </c>
      <c r="F23" s="896">
        <v>8.333333333333334</v>
      </c>
      <c r="G23" s="896">
        <v>8.333333333333334</v>
      </c>
      <c r="H23" s="896">
        <v>8.333333333333334</v>
      </c>
      <c r="I23" s="896">
        <v>8.333333333333334</v>
      </c>
      <c r="J23" s="896">
        <v>8.333333333333334</v>
      </c>
      <c r="K23" s="896">
        <v>8.333333333333334</v>
      </c>
      <c r="L23" s="896">
        <v>8.333333333333334</v>
      </c>
      <c r="M23" s="896">
        <v>8.333333333333334</v>
      </c>
      <c r="N23" s="893">
        <f t="shared" si="2"/>
        <v>99.99999999999999</v>
      </c>
      <c r="Q23">
        <v>100</v>
      </c>
      <c r="R23">
        <f t="shared" si="1"/>
        <v>0</v>
      </c>
    </row>
    <row r="24" spans="1:18" ht="12.75">
      <c r="A24" s="894" t="s">
        <v>611</v>
      </c>
      <c r="B24" s="898">
        <v>0</v>
      </c>
      <c r="C24" s="896">
        <v>0</v>
      </c>
      <c r="D24" s="896">
        <v>0</v>
      </c>
      <c r="E24" s="896">
        <v>0</v>
      </c>
      <c r="F24" s="896">
        <v>0</v>
      </c>
      <c r="G24" s="896">
        <v>0</v>
      </c>
      <c r="H24" s="896">
        <v>0</v>
      </c>
      <c r="I24" s="896">
        <v>0</v>
      </c>
      <c r="J24" s="896">
        <v>0</v>
      </c>
      <c r="K24" s="896">
        <v>0</v>
      </c>
      <c r="L24" s="896">
        <v>0</v>
      </c>
      <c r="M24" s="896">
        <v>0</v>
      </c>
      <c r="N24" s="893">
        <f t="shared" si="2"/>
        <v>0</v>
      </c>
      <c r="Q24">
        <v>0</v>
      </c>
      <c r="R24">
        <f t="shared" si="1"/>
        <v>0</v>
      </c>
    </row>
    <row r="25" spans="1:18" ht="12.75">
      <c r="A25" s="891" t="s">
        <v>612</v>
      </c>
      <c r="B25" s="898">
        <v>583.3333333333334</v>
      </c>
      <c r="C25" s="896">
        <v>583.3333333333334</v>
      </c>
      <c r="D25" s="896">
        <v>583.3333333333334</v>
      </c>
      <c r="E25" s="896">
        <v>583.3333333333334</v>
      </c>
      <c r="F25" s="896">
        <v>583.3333333333334</v>
      </c>
      <c r="G25" s="896">
        <v>583.3333333333334</v>
      </c>
      <c r="H25" s="896">
        <v>583.3333333333334</v>
      </c>
      <c r="I25" s="896">
        <v>583.3333333333334</v>
      </c>
      <c r="J25" s="896">
        <v>583.3333333333334</v>
      </c>
      <c r="K25" s="896">
        <v>583.3333333333334</v>
      </c>
      <c r="L25" s="896">
        <v>583.3333333333334</v>
      </c>
      <c r="M25" s="896">
        <v>583.3333333333334</v>
      </c>
      <c r="N25" s="893">
        <f t="shared" si="2"/>
        <v>6999.999999999999</v>
      </c>
      <c r="Q25">
        <v>7000</v>
      </c>
      <c r="R25">
        <f t="shared" si="1"/>
        <v>0</v>
      </c>
    </row>
    <row r="26" spans="1:18" ht="12.75">
      <c r="A26" s="891" t="s">
        <v>613</v>
      </c>
      <c r="B26" s="898">
        <v>1083.3333333333333</v>
      </c>
      <c r="C26" s="896">
        <v>1083.3333333333333</v>
      </c>
      <c r="D26" s="896">
        <v>1083.3333333333333</v>
      </c>
      <c r="E26" s="896">
        <v>1083.3333333333333</v>
      </c>
      <c r="F26" s="896">
        <v>1083.3333333333333</v>
      </c>
      <c r="G26" s="896">
        <v>1083.3333333333333</v>
      </c>
      <c r="H26" s="896">
        <v>1083.3333333333333</v>
      </c>
      <c r="I26" s="896">
        <v>1083.3333333333333</v>
      </c>
      <c r="J26" s="896">
        <v>1083.3333333333333</v>
      </c>
      <c r="K26" s="896">
        <v>1083.3333333333333</v>
      </c>
      <c r="L26" s="896">
        <v>1083.3333333333333</v>
      </c>
      <c r="M26" s="896">
        <v>1083.3333333333333</v>
      </c>
      <c r="N26" s="893">
        <f t="shared" si="2"/>
        <v>13000.000000000002</v>
      </c>
      <c r="Q26">
        <v>13000</v>
      </c>
      <c r="R26">
        <f t="shared" si="1"/>
        <v>0</v>
      </c>
    </row>
    <row r="27" spans="1:18" ht="12.75">
      <c r="A27" s="902" t="s">
        <v>614</v>
      </c>
      <c r="B27" s="898">
        <v>1062.25</v>
      </c>
      <c r="C27" s="896">
        <v>1062.25</v>
      </c>
      <c r="D27" s="896">
        <v>1062.25</v>
      </c>
      <c r="E27" s="896">
        <v>1062.25</v>
      </c>
      <c r="F27" s="896">
        <v>1062.25</v>
      </c>
      <c r="G27" s="896">
        <v>1062.25</v>
      </c>
      <c r="H27" s="896">
        <v>1062.25</v>
      </c>
      <c r="I27" s="896">
        <v>1062.25</v>
      </c>
      <c r="J27" s="896">
        <v>1062.25</v>
      </c>
      <c r="K27" s="896">
        <v>1062.25</v>
      </c>
      <c r="L27" s="896">
        <v>1062.25</v>
      </c>
      <c r="M27" s="896">
        <v>1062.25</v>
      </c>
      <c r="N27" s="893">
        <f t="shared" si="2"/>
        <v>12747</v>
      </c>
      <c r="Q27">
        <v>12747</v>
      </c>
      <c r="R27">
        <f t="shared" si="1"/>
        <v>0</v>
      </c>
    </row>
    <row r="28" spans="1:18" ht="12.75">
      <c r="A28" s="891" t="s">
        <v>615</v>
      </c>
      <c r="B28" s="898">
        <v>158929.91213888887</v>
      </c>
      <c r="C28" s="896">
        <v>158929.91213888887</v>
      </c>
      <c r="D28" s="896">
        <v>158929.91213888887</v>
      </c>
      <c r="E28" s="896">
        <v>158929.91213888887</v>
      </c>
      <c r="F28" s="896">
        <v>158929.91213888887</v>
      </c>
      <c r="G28" s="896">
        <v>158929.91213888887</v>
      </c>
      <c r="H28" s="896">
        <v>158929.91213888887</v>
      </c>
      <c r="I28" s="896">
        <v>158929.91213888887</v>
      </c>
      <c r="J28" s="896">
        <v>158929.91213888887</v>
      </c>
      <c r="K28" s="896">
        <v>158929.91213888887</v>
      </c>
      <c r="L28" s="896">
        <v>158929.91213888887</v>
      </c>
      <c r="M28" s="896">
        <v>158929.91213888887</v>
      </c>
      <c r="N28" s="893">
        <f t="shared" si="2"/>
        <v>1907158.9456666664</v>
      </c>
      <c r="Q28">
        <v>1907158.9456666666</v>
      </c>
      <c r="R28">
        <f t="shared" si="1"/>
        <v>0</v>
      </c>
    </row>
    <row r="29" spans="1:18" ht="12.75">
      <c r="A29" s="891" t="s">
        <v>616</v>
      </c>
      <c r="B29" s="898">
        <v>56535.24547222222</v>
      </c>
      <c r="C29" s="896">
        <v>56535.24547222222</v>
      </c>
      <c r="D29" s="896">
        <v>56535.24547222222</v>
      </c>
      <c r="E29" s="896">
        <v>56535.24547222222</v>
      </c>
      <c r="F29" s="896">
        <v>56535.24547222222</v>
      </c>
      <c r="G29" s="896">
        <v>56535.24547222222</v>
      </c>
      <c r="H29" s="896">
        <v>56535.24547222222</v>
      </c>
      <c r="I29" s="896">
        <v>56535.24547222222</v>
      </c>
      <c r="J29" s="896">
        <v>56535.24547222222</v>
      </c>
      <c r="K29" s="896">
        <v>56535.24547222222</v>
      </c>
      <c r="L29" s="896">
        <v>56535.24547222222</v>
      </c>
      <c r="M29" s="896">
        <v>56535.24547222222</v>
      </c>
      <c r="N29" s="893">
        <f t="shared" si="2"/>
        <v>678422.9456666666</v>
      </c>
      <c r="Q29">
        <v>678422.9456666666</v>
      </c>
      <c r="R29">
        <f t="shared" si="1"/>
        <v>0</v>
      </c>
    </row>
    <row r="30" spans="1:18" ht="12.75">
      <c r="A30" s="894" t="s">
        <v>617</v>
      </c>
      <c r="B30" s="898">
        <v>52221.66213888888</v>
      </c>
      <c r="C30" s="896">
        <v>52221.66213888888</v>
      </c>
      <c r="D30" s="896">
        <v>52221.66213888888</v>
      </c>
      <c r="E30" s="896">
        <v>52221.66213888888</v>
      </c>
      <c r="F30" s="896">
        <v>52221.66213888888</v>
      </c>
      <c r="G30" s="896">
        <v>52221.66213888888</v>
      </c>
      <c r="H30" s="896">
        <v>52221.66213888888</v>
      </c>
      <c r="I30" s="896">
        <v>52221.66213888888</v>
      </c>
      <c r="J30" s="896">
        <v>52221.66213888888</v>
      </c>
      <c r="K30" s="896">
        <v>52221.66213888888</v>
      </c>
      <c r="L30" s="896">
        <v>52221.66213888888</v>
      </c>
      <c r="M30" s="896">
        <v>52221.66213888888</v>
      </c>
      <c r="N30" s="893">
        <f t="shared" si="2"/>
        <v>626659.9456666666</v>
      </c>
      <c r="Q30">
        <v>626659.9456666666</v>
      </c>
      <c r="R30">
        <f t="shared" si="1"/>
        <v>0</v>
      </c>
    </row>
    <row r="31" spans="1:18" ht="12.75">
      <c r="A31" s="894" t="s">
        <v>618</v>
      </c>
      <c r="B31" s="898">
        <v>0</v>
      </c>
      <c r="C31" s="896">
        <v>0</v>
      </c>
      <c r="D31" s="896">
        <v>0</v>
      </c>
      <c r="E31" s="896">
        <v>0</v>
      </c>
      <c r="F31" s="896">
        <v>0</v>
      </c>
      <c r="G31" s="896">
        <v>0</v>
      </c>
      <c r="H31" s="896">
        <v>0</v>
      </c>
      <c r="I31" s="896">
        <v>0</v>
      </c>
      <c r="J31" s="896">
        <v>0</v>
      </c>
      <c r="K31" s="896">
        <v>0</v>
      </c>
      <c r="L31" s="896">
        <v>0</v>
      </c>
      <c r="M31" s="896">
        <v>0</v>
      </c>
      <c r="N31" s="893">
        <f t="shared" si="2"/>
        <v>0</v>
      </c>
      <c r="Q31">
        <v>0</v>
      </c>
      <c r="R31">
        <f t="shared" si="1"/>
        <v>0</v>
      </c>
    </row>
    <row r="32" spans="1:18" ht="12.75">
      <c r="A32" s="894" t="s">
        <v>619</v>
      </c>
      <c r="B32" s="898">
        <v>4313.583333333333</v>
      </c>
      <c r="C32" s="896">
        <v>4313.583333333333</v>
      </c>
      <c r="D32" s="896">
        <v>4313.583333333333</v>
      </c>
      <c r="E32" s="896">
        <v>4313.583333333333</v>
      </c>
      <c r="F32" s="896">
        <v>4313.583333333333</v>
      </c>
      <c r="G32" s="896">
        <v>4313.583333333333</v>
      </c>
      <c r="H32" s="896">
        <v>4313.583333333333</v>
      </c>
      <c r="I32" s="896">
        <v>4313.583333333333</v>
      </c>
      <c r="J32" s="896">
        <v>4313.583333333333</v>
      </c>
      <c r="K32" s="896">
        <v>4313.583333333333</v>
      </c>
      <c r="L32" s="896">
        <v>4313.583333333333</v>
      </c>
      <c r="M32" s="896">
        <v>4313.583333333333</v>
      </c>
      <c r="N32" s="893">
        <f t="shared" si="2"/>
        <v>51763.00000000001</v>
      </c>
      <c r="Q32">
        <v>51763</v>
      </c>
      <c r="R32">
        <f t="shared" si="1"/>
        <v>0</v>
      </c>
    </row>
    <row r="33" spans="1:18" ht="12.75">
      <c r="A33" s="894" t="s">
        <v>620</v>
      </c>
      <c r="B33" s="898">
        <v>0</v>
      </c>
      <c r="C33" s="896">
        <v>0</v>
      </c>
      <c r="D33" s="896">
        <v>0</v>
      </c>
      <c r="E33" s="896">
        <v>0</v>
      </c>
      <c r="F33" s="896">
        <v>0</v>
      </c>
      <c r="G33" s="896">
        <v>0</v>
      </c>
      <c r="H33" s="896">
        <v>0</v>
      </c>
      <c r="I33" s="896">
        <v>0</v>
      </c>
      <c r="J33" s="896">
        <v>0</v>
      </c>
      <c r="K33" s="896">
        <v>0</v>
      </c>
      <c r="L33" s="896">
        <v>0</v>
      </c>
      <c r="M33" s="896">
        <v>0</v>
      </c>
      <c r="N33" s="893">
        <f t="shared" si="2"/>
        <v>0</v>
      </c>
      <c r="Q33">
        <v>0</v>
      </c>
      <c r="R33">
        <f t="shared" si="1"/>
        <v>0</v>
      </c>
    </row>
    <row r="34" spans="1:18" ht="12.75">
      <c r="A34" s="903" t="s">
        <v>621</v>
      </c>
      <c r="B34" s="898">
        <v>25112.5</v>
      </c>
      <c r="C34" s="896">
        <v>25112.5</v>
      </c>
      <c r="D34" s="896">
        <v>25112.5</v>
      </c>
      <c r="E34" s="896">
        <v>25112.5</v>
      </c>
      <c r="F34" s="896">
        <v>25112.5</v>
      </c>
      <c r="G34" s="896">
        <v>25112.5</v>
      </c>
      <c r="H34" s="896">
        <v>25112.5</v>
      </c>
      <c r="I34" s="896">
        <v>25112.5</v>
      </c>
      <c r="J34" s="896">
        <v>25112.5</v>
      </c>
      <c r="K34" s="896">
        <v>25112.5</v>
      </c>
      <c r="L34" s="896">
        <v>25112.5</v>
      </c>
      <c r="M34" s="896">
        <v>25112.5</v>
      </c>
      <c r="N34" s="893">
        <f t="shared" si="2"/>
        <v>301350</v>
      </c>
      <c r="Q34">
        <v>301350</v>
      </c>
      <c r="R34">
        <f t="shared" si="1"/>
        <v>0</v>
      </c>
    </row>
    <row r="35" spans="1:18" ht="12.75">
      <c r="A35" s="903" t="s">
        <v>672</v>
      </c>
      <c r="B35" s="898">
        <v>20866.666666666668</v>
      </c>
      <c r="C35" s="896">
        <v>20866.666666666668</v>
      </c>
      <c r="D35" s="896">
        <v>20866.666666666668</v>
      </c>
      <c r="E35" s="896">
        <v>20866.666666666668</v>
      </c>
      <c r="F35" s="896">
        <v>20866.666666666668</v>
      </c>
      <c r="G35" s="896">
        <v>20866.666666666668</v>
      </c>
      <c r="H35" s="896">
        <v>20866.666666666668</v>
      </c>
      <c r="I35" s="896">
        <v>20866.666666666668</v>
      </c>
      <c r="J35" s="896">
        <v>20866.666666666668</v>
      </c>
      <c r="K35" s="896">
        <v>20866.666666666668</v>
      </c>
      <c r="L35" s="896">
        <v>20866.666666666668</v>
      </c>
      <c r="M35" s="896">
        <v>20866.666666666668</v>
      </c>
      <c r="N35" s="893">
        <f t="shared" si="2"/>
        <v>250399.99999999997</v>
      </c>
      <c r="Q35">
        <v>250400</v>
      </c>
      <c r="R35">
        <f t="shared" si="1"/>
        <v>0</v>
      </c>
    </row>
    <row r="36" spans="1:18" ht="12.75">
      <c r="A36" s="903" t="s">
        <v>622</v>
      </c>
      <c r="B36" s="898">
        <v>76510.25</v>
      </c>
      <c r="C36" s="896">
        <v>76510.25</v>
      </c>
      <c r="D36" s="896">
        <v>76510.25</v>
      </c>
      <c r="E36" s="896">
        <v>76510.25</v>
      </c>
      <c r="F36" s="896">
        <v>76510.25</v>
      </c>
      <c r="G36" s="896">
        <v>76510.25</v>
      </c>
      <c r="H36" s="896">
        <v>76510.25</v>
      </c>
      <c r="I36" s="896">
        <v>76510.25</v>
      </c>
      <c r="J36" s="896">
        <v>76510.25</v>
      </c>
      <c r="K36" s="896">
        <v>76510.25</v>
      </c>
      <c r="L36" s="896">
        <v>76510.25</v>
      </c>
      <c r="M36" s="896">
        <v>76510.25</v>
      </c>
      <c r="N36" s="893">
        <f t="shared" si="2"/>
        <v>918123</v>
      </c>
      <c r="Q36">
        <v>918123</v>
      </c>
      <c r="R36">
        <f t="shared" si="1"/>
        <v>0</v>
      </c>
    </row>
    <row r="37" spans="1:18" ht="12.75">
      <c r="A37" s="903" t="s">
        <v>623</v>
      </c>
      <c r="B37" s="898">
        <v>771.9166666666666</v>
      </c>
      <c r="C37" s="896">
        <v>771.9166666666666</v>
      </c>
      <c r="D37" s="896">
        <v>771.9166666666666</v>
      </c>
      <c r="E37" s="896">
        <v>771.9166666666666</v>
      </c>
      <c r="F37" s="896">
        <v>771.9166666666666</v>
      </c>
      <c r="G37" s="896">
        <v>771.9166666666666</v>
      </c>
      <c r="H37" s="896">
        <v>771.9166666666666</v>
      </c>
      <c r="I37" s="896">
        <v>771.9166666666666</v>
      </c>
      <c r="J37" s="896">
        <v>771.9166666666666</v>
      </c>
      <c r="K37" s="896">
        <v>771.9166666666666</v>
      </c>
      <c r="L37" s="896">
        <v>771.9166666666666</v>
      </c>
      <c r="M37" s="896">
        <v>771.9166666666666</v>
      </c>
      <c r="N37" s="893">
        <f t="shared" si="2"/>
        <v>9263</v>
      </c>
      <c r="Q37">
        <v>9263</v>
      </c>
      <c r="R37">
        <f t="shared" si="1"/>
        <v>0</v>
      </c>
    </row>
    <row r="38" spans="1:18" ht="12.75">
      <c r="A38" s="891" t="s">
        <v>624</v>
      </c>
      <c r="B38" s="898">
        <v>550</v>
      </c>
      <c r="C38" s="896">
        <v>550</v>
      </c>
      <c r="D38" s="896">
        <v>550</v>
      </c>
      <c r="E38" s="896">
        <v>550</v>
      </c>
      <c r="F38" s="896">
        <v>550</v>
      </c>
      <c r="G38" s="896">
        <v>550</v>
      </c>
      <c r="H38" s="896">
        <v>550</v>
      </c>
      <c r="I38" s="896">
        <v>550</v>
      </c>
      <c r="J38" s="896">
        <v>550</v>
      </c>
      <c r="K38" s="896">
        <v>550</v>
      </c>
      <c r="L38" s="896">
        <v>550</v>
      </c>
      <c r="M38" s="896">
        <v>550</v>
      </c>
      <c r="N38" s="898">
        <v>0</v>
      </c>
      <c r="Q38">
        <v>6600</v>
      </c>
      <c r="R38">
        <f t="shared" si="1"/>
        <v>6600</v>
      </c>
    </row>
    <row r="39" spans="1:18" ht="12.75">
      <c r="A39" s="894" t="s">
        <v>625</v>
      </c>
      <c r="B39" s="898">
        <v>550</v>
      </c>
      <c r="C39" s="896">
        <v>550</v>
      </c>
      <c r="D39" s="896">
        <v>550</v>
      </c>
      <c r="E39" s="896">
        <v>550</v>
      </c>
      <c r="F39" s="896">
        <v>550</v>
      </c>
      <c r="G39" s="896">
        <v>550</v>
      </c>
      <c r="H39" s="896">
        <v>550</v>
      </c>
      <c r="I39" s="896">
        <v>550</v>
      </c>
      <c r="J39" s="896">
        <v>550</v>
      </c>
      <c r="K39" s="896">
        <v>550</v>
      </c>
      <c r="L39" s="896">
        <v>550</v>
      </c>
      <c r="M39" s="896">
        <v>550</v>
      </c>
      <c r="N39" s="892"/>
      <c r="Q39">
        <v>6600</v>
      </c>
      <c r="R39">
        <f t="shared" si="1"/>
        <v>6600</v>
      </c>
    </row>
    <row r="40" spans="1:18" ht="12.75">
      <c r="A40" s="894" t="s">
        <v>626</v>
      </c>
      <c r="B40" s="898">
        <v>0</v>
      </c>
      <c r="C40" s="896">
        <v>0</v>
      </c>
      <c r="D40" s="896">
        <v>0</v>
      </c>
      <c r="E40" s="896">
        <v>0</v>
      </c>
      <c r="F40" s="896">
        <v>0</v>
      </c>
      <c r="G40" s="896">
        <v>0</v>
      </c>
      <c r="H40" s="896">
        <v>0</v>
      </c>
      <c r="I40" s="896">
        <v>0</v>
      </c>
      <c r="J40" s="896">
        <v>0</v>
      </c>
      <c r="K40" s="896">
        <v>0</v>
      </c>
      <c r="L40" s="896">
        <v>0</v>
      </c>
      <c r="M40" s="896">
        <v>0</v>
      </c>
      <c r="N40" s="893">
        <f>SUM(B40:M40)</f>
        <v>0</v>
      </c>
      <c r="Q40">
        <v>0</v>
      </c>
      <c r="R40">
        <f t="shared" si="1"/>
        <v>0</v>
      </c>
    </row>
    <row r="41" spans="1:18" ht="12.75">
      <c r="A41" s="899" t="s">
        <v>627</v>
      </c>
      <c r="B41" s="898">
        <v>0</v>
      </c>
      <c r="C41" s="896">
        <v>0</v>
      </c>
      <c r="D41" s="896">
        <v>0</v>
      </c>
      <c r="E41" s="896">
        <v>0</v>
      </c>
      <c r="F41" s="896">
        <v>0</v>
      </c>
      <c r="G41" s="896">
        <v>0</v>
      </c>
      <c r="H41" s="896">
        <v>0</v>
      </c>
      <c r="I41" s="896">
        <v>0</v>
      </c>
      <c r="J41" s="896">
        <v>0</v>
      </c>
      <c r="K41" s="896">
        <v>0</v>
      </c>
      <c r="L41" s="896">
        <v>0</v>
      </c>
      <c r="M41" s="896">
        <v>0</v>
      </c>
      <c r="N41" s="893">
        <f>SUM(B41:M41)</f>
        <v>0</v>
      </c>
      <c r="Q41">
        <v>0</v>
      </c>
      <c r="R41">
        <f t="shared" si="1"/>
        <v>0</v>
      </c>
    </row>
    <row r="42" spans="1:18" ht="12.75">
      <c r="A42" s="891" t="s">
        <v>628</v>
      </c>
      <c r="B42" s="898">
        <v>0</v>
      </c>
      <c r="C42" s="896">
        <v>0</v>
      </c>
      <c r="D42" s="896">
        <v>0</v>
      </c>
      <c r="E42" s="896">
        <v>0</v>
      </c>
      <c r="F42" s="896">
        <v>0</v>
      </c>
      <c r="G42" s="896">
        <v>0</v>
      </c>
      <c r="H42" s="896">
        <v>0</v>
      </c>
      <c r="I42" s="896">
        <v>0</v>
      </c>
      <c r="J42" s="896">
        <v>0</v>
      </c>
      <c r="K42" s="896">
        <v>0</v>
      </c>
      <c r="L42" s="896">
        <v>0</v>
      </c>
      <c r="M42" s="896">
        <v>0</v>
      </c>
      <c r="N42" s="893">
        <f>SUM(B42:M42)</f>
        <v>0</v>
      </c>
      <c r="R42">
        <f t="shared" si="1"/>
        <v>0</v>
      </c>
    </row>
    <row r="43" spans="1:18" ht="12.75">
      <c r="A43" s="891" t="s">
        <v>629</v>
      </c>
      <c r="B43" s="898">
        <v>7332.166666666667</v>
      </c>
      <c r="C43" s="896">
        <v>7332.166666666667</v>
      </c>
      <c r="D43" s="896">
        <v>7332.166666666667</v>
      </c>
      <c r="E43" s="896">
        <v>7332.166666666667</v>
      </c>
      <c r="F43" s="896">
        <v>7332.166666666667</v>
      </c>
      <c r="G43" s="896">
        <v>7332.166666666667</v>
      </c>
      <c r="H43" s="896">
        <v>7332.166666666667</v>
      </c>
      <c r="I43" s="896">
        <v>7332.166666666667</v>
      </c>
      <c r="J43" s="896">
        <v>7332.166666666667</v>
      </c>
      <c r="K43" s="896">
        <v>7332.166666666667</v>
      </c>
      <c r="L43" s="896">
        <v>7332.166666666667</v>
      </c>
      <c r="M43" s="896">
        <v>7332.166666666667</v>
      </c>
      <c r="N43" s="904">
        <f>SUM(N40:N42)</f>
        <v>0</v>
      </c>
      <c r="Q43">
        <v>87986</v>
      </c>
      <c r="R43">
        <f t="shared" si="1"/>
        <v>87986</v>
      </c>
    </row>
    <row r="44" spans="1:18" ht="12.75">
      <c r="A44" s="894" t="s">
        <v>630</v>
      </c>
      <c r="B44" s="898">
        <v>258.3333333333333</v>
      </c>
      <c r="C44" s="896">
        <v>258.3333333333333</v>
      </c>
      <c r="D44" s="896">
        <v>258.3333333333333</v>
      </c>
      <c r="E44" s="896">
        <v>258.3333333333333</v>
      </c>
      <c r="F44" s="896">
        <v>258.3333333333333</v>
      </c>
      <c r="G44" s="896">
        <v>258.3333333333333</v>
      </c>
      <c r="H44" s="896">
        <v>258.3333333333333</v>
      </c>
      <c r="I44" s="896">
        <v>258.3333333333333</v>
      </c>
      <c r="J44" s="896">
        <v>258.3333333333333</v>
      </c>
      <c r="K44" s="896">
        <v>258.3333333333333</v>
      </c>
      <c r="L44" s="896">
        <v>258.3333333333333</v>
      </c>
      <c r="M44" s="896">
        <v>258.3333333333333</v>
      </c>
      <c r="N44" s="898"/>
      <c r="Q44">
        <v>3100</v>
      </c>
      <c r="R44">
        <f t="shared" si="1"/>
        <v>3100</v>
      </c>
    </row>
    <row r="45" spans="1:18" ht="12.75">
      <c r="A45" s="894" t="s">
        <v>631</v>
      </c>
      <c r="B45" s="898">
        <v>2488.6666666666665</v>
      </c>
      <c r="C45" s="896">
        <v>2488.6666666666665</v>
      </c>
      <c r="D45" s="896">
        <v>2488.6666666666665</v>
      </c>
      <c r="E45" s="896">
        <v>2488.6666666666665</v>
      </c>
      <c r="F45" s="896">
        <v>2488.6666666666665</v>
      </c>
      <c r="G45" s="896">
        <v>2488.6666666666665</v>
      </c>
      <c r="H45" s="896">
        <v>2488.6666666666665</v>
      </c>
      <c r="I45" s="896">
        <v>2488.6666666666665</v>
      </c>
      <c r="J45" s="896">
        <v>2488.6666666666665</v>
      </c>
      <c r="K45" s="896">
        <v>2488.6666666666665</v>
      </c>
      <c r="L45" s="896">
        <v>2488.6666666666665</v>
      </c>
      <c r="M45" s="896">
        <v>2488.6666666666665</v>
      </c>
      <c r="N45" s="893">
        <f>SUM(B45:M45)</f>
        <v>29864.000000000004</v>
      </c>
      <c r="Q45">
        <v>29864</v>
      </c>
      <c r="R45">
        <f t="shared" si="1"/>
        <v>0</v>
      </c>
    </row>
    <row r="46" spans="1:18" ht="12.75">
      <c r="A46" s="894" t="s">
        <v>632</v>
      </c>
      <c r="B46" s="898">
        <v>4585.166666666667</v>
      </c>
      <c r="C46" s="896">
        <v>4585.166666666667</v>
      </c>
      <c r="D46" s="896">
        <v>4585.166666666667</v>
      </c>
      <c r="E46" s="896">
        <v>4585.166666666667</v>
      </c>
      <c r="F46" s="896">
        <v>4585.166666666667</v>
      </c>
      <c r="G46" s="896">
        <v>4585.166666666667</v>
      </c>
      <c r="H46" s="896">
        <v>4585.166666666667</v>
      </c>
      <c r="I46" s="896">
        <v>4585.166666666667</v>
      </c>
      <c r="J46" s="896">
        <v>4585.166666666667</v>
      </c>
      <c r="K46" s="896">
        <v>4585.166666666667</v>
      </c>
      <c r="L46" s="896">
        <v>4585.166666666667</v>
      </c>
      <c r="M46" s="896">
        <v>4585.166666666667</v>
      </c>
      <c r="N46" s="893">
        <f>SUM(B46:M46)</f>
        <v>55021.99999999999</v>
      </c>
      <c r="Q46">
        <v>55022</v>
      </c>
      <c r="R46">
        <f t="shared" si="1"/>
        <v>0</v>
      </c>
    </row>
    <row r="47" spans="1:18" ht="12.75">
      <c r="A47" s="894" t="s">
        <v>633</v>
      </c>
      <c r="B47" s="898">
        <v>0</v>
      </c>
      <c r="C47" s="896">
        <v>0</v>
      </c>
      <c r="D47" s="896">
        <v>0</v>
      </c>
      <c r="E47" s="896">
        <v>0</v>
      </c>
      <c r="F47" s="896">
        <v>0</v>
      </c>
      <c r="G47" s="896">
        <v>0</v>
      </c>
      <c r="H47" s="896">
        <v>0</v>
      </c>
      <c r="I47" s="896">
        <v>0</v>
      </c>
      <c r="J47" s="896">
        <v>0</v>
      </c>
      <c r="K47" s="896">
        <v>0</v>
      </c>
      <c r="L47" s="896">
        <v>0</v>
      </c>
      <c r="M47" s="896">
        <v>0</v>
      </c>
      <c r="N47" s="897">
        <f>SUM(N45:N46)</f>
        <v>84886</v>
      </c>
      <c r="Q47">
        <v>0</v>
      </c>
      <c r="R47">
        <f t="shared" si="1"/>
        <v>-84886</v>
      </c>
    </row>
    <row r="48" spans="1:18" ht="12.75">
      <c r="A48" s="894" t="s">
        <v>634</v>
      </c>
      <c r="B48" s="898">
        <v>4585.166666666667</v>
      </c>
      <c r="C48" s="896">
        <v>4585.166666666667</v>
      </c>
      <c r="D48" s="896">
        <v>4585.166666666667</v>
      </c>
      <c r="E48" s="896">
        <v>4585.166666666667</v>
      </c>
      <c r="F48" s="896">
        <v>4585.166666666667</v>
      </c>
      <c r="G48" s="896">
        <v>4585.166666666667</v>
      </c>
      <c r="H48" s="896">
        <v>4585.166666666667</v>
      </c>
      <c r="I48" s="896">
        <v>4585.166666666667</v>
      </c>
      <c r="J48" s="896">
        <v>4585.166666666667</v>
      </c>
      <c r="K48" s="896">
        <v>4585.166666666667</v>
      </c>
      <c r="L48" s="896">
        <v>4585.166666666667</v>
      </c>
      <c r="M48" s="896">
        <v>4585.166666666667</v>
      </c>
      <c r="N48" s="897"/>
      <c r="Q48">
        <v>55022</v>
      </c>
      <c r="R48">
        <f t="shared" si="1"/>
        <v>55022</v>
      </c>
    </row>
    <row r="49" spans="1:18" ht="12.75">
      <c r="A49" s="894" t="s">
        <v>635</v>
      </c>
      <c r="B49" s="898">
        <v>0</v>
      </c>
      <c r="C49" s="896">
        <v>0</v>
      </c>
      <c r="D49" s="896">
        <v>0</v>
      </c>
      <c r="E49" s="896">
        <v>0</v>
      </c>
      <c r="F49" s="896">
        <v>0</v>
      </c>
      <c r="G49" s="896">
        <v>0</v>
      </c>
      <c r="H49" s="896">
        <v>0</v>
      </c>
      <c r="I49" s="896">
        <v>0</v>
      </c>
      <c r="J49" s="896">
        <v>0</v>
      </c>
      <c r="K49" s="896">
        <v>0</v>
      </c>
      <c r="L49" s="896">
        <v>0</v>
      </c>
      <c r="M49" s="896">
        <v>0</v>
      </c>
      <c r="N49" s="893">
        <f>SUM(B49:M49)</f>
        <v>0</v>
      </c>
      <c r="Q49">
        <v>0</v>
      </c>
      <c r="R49">
        <f t="shared" si="1"/>
        <v>0</v>
      </c>
    </row>
    <row r="50" spans="1:18" ht="12.75">
      <c r="A50" s="894" t="s">
        <v>636</v>
      </c>
      <c r="B50" s="898">
        <v>0</v>
      </c>
      <c r="C50" s="896">
        <v>0</v>
      </c>
      <c r="D50" s="896">
        <v>0</v>
      </c>
      <c r="E50" s="896">
        <v>0</v>
      </c>
      <c r="F50" s="896">
        <v>0</v>
      </c>
      <c r="G50" s="896">
        <v>0</v>
      </c>
      <c r="H50" s="896">
        <v>0</v>
      </c>
      <c r="I50" s="896">
        <v>0</v>
      </c>
      <c r="J50" s="896">
        <v>0</v>
      </c>
      <c r="K50" s="896">
        <v>0</v>
      </c>
      <c r="L50" s="896">
        <v>0</v>
      </c>
      <c r="M50" s="896">
        <v>0</v>
      </c>
      <c r="N50" s="893">
        <f>SUM(B50:M50)</f>
        <v>0</v>
      </c>
      <c r="Q50">
        <v>0</v>
      </c>
      <c r="R50">
        <f t="shared" si="1"/>
        <v>0</v>
      </c>
    </row>
    <row r="51" spans="1:18" ht="12.75">
      <c r="A51" s="894" t="s">
        <v>637</v>
      </c>
      <c r="B51" s="898">
        <v>0</v>
      </c>
      <c r="C51" s="896">
        <v>0</v>
      </c>
      <c r="D51" s="896">
        <v>0</v>
      </c>
      <c r="E51" s="896">
        <v>0</v>
      </c>
      <c r="F51" s="896">
        <v>0</v>
      </c>
      <c r="G51" s="896">
        <v>0</v>
      </c>
      <c r="H51" s="896">
        <v>0</v>
      </c>
      <c r="I51" s="896">
        <v>0</v>
      </c>
      <c r="J51" s="896">
        <v>0</v>
      </c>
      <c r="K51" s="896">
        <v>0</v>
      </c>
      <c r="L51" s="896">
        <v>0</v>
      </c>
      <c r="M51" s="896">
        <v>0</v>
      </c>
      <c r="N51" s="904">
        <f>SUM(N49:N50)</f>
        <v>0</v>
      </c>
      <c r="Q51">
        <v>0</v>
      </c>
      <c r="R51">
        <f t="shared" si="1"/>
        <v>0</v>
      </c>
    </row>
    <row r="52" spans="1:18" ht="12.75">
      <c r="A52" s="894" t="s">
        <v>638</v>
      </c>
      <c r="B52" s="898">
        <v>0</v>
      </c>
      <c r="C52" s="896">
        <v>0</v>
      </c>
      <c r="D52" s="896">
        <v>0</v>
      </c>
      <c r="E52" s="896">
        <v>0</v>
      </c>
      <c r="F52" s="896">
        <v>0</v>
      </c>
      <c r="G52" s="896">
        <v>0</v>
      </c>
      <c r="H52" s="896">
        <v>0</v>
      </c>
      <c r="I52" s="896">
        <v>0</v>
      </c>
      <c r="J52" s="896">
        <v>0</v>
      </c>
      <c r="K52" s="896">
        <v>0</v>
      </c>
      <c r="L52" s="896">
        <v>0</v>
      </c>
      <c r="M52" s="896">
        <v>0</v>
      </c>
      <c r="N52" s="893">
        <f>SUM(B52:M52)</f>
        <v>0</v>
      </c>
      <c r="Q52">
        <v>0</v>
      </c>
      <c r="R52">
        <f t="shared" si="1"/>
        <v>0</v>
      </c>
    </row>
    <row r="53" spans="1:18" ht="13.5" thickBot="1">
      <c r="A53" s="905" t="s">
        <v>639</v>
      </c>
      <c r="B53" s="898">
        <v>216899.66213888887</v>
      </c>
      <c r="C53" s="896">
        <v>216899.66213888887</v>
      </c>
      <c r="D53" s="896">
        <v>216899.66213888887</v>
      </c>
      <c r="E53" s="896">
        <v>216899.66213888887</v>
      </c>
      <c r="F53" s="896">
        <v>216899.66213888887</v>
      </c>
      <c r="G53" s="896">
        <v>216899.66213888887</v>
      </c>
      <c r="H53" s="896">
        <v>216899.66213888887</v>
      </c>
      <c r="I53" s="896">
        <v>216899.66213888887</v>
      </c>
      <c r="J53" s="896">
        <v>216899.66213888887</v>
      </c>
      <c r="K53" s="896">
        <v>216899.66213888887</v>
      </c>
      <c r="L53" s="896">
        <v>216899.66213888887</v>
      </c>
      <c r="M53" s="896">
        <v>216899.66213888887</v>
      </c>
      <c r="N53" s="893">
        <f>SUM(B53:M53)</f>
        <v>2602795.945666667</v>
      </c>
      <c r="Q53">
        <v>2602795.9456666666</v>
      </c>
      <c r="R53">
        <f t="shared" si="1"/>
        <v>0</v>
      </c>
    </row>
    <row r="54" spans="1:14" ht="13.5" thickBot="1">
      <c r="A54" s="881" t="s">
        <v>460</v>
      </c>
      <c r="B54" s="882"/>
      <c r="C54" s="883"/>
      <c r="D54" s="883"/>
      <c r="E54" s="884" t="s">
        <v>547</v>
      </c>
      <c r="F54" s="884"/>
      <c r="G54" s="884"/>
      <c r="H54" s="884"/>
      <c r="I54" s="883"/>
      <c r="J54" s="883"/>
      <c r="K54" s="883"/>
      <c r="L54" s="883"/>
      <c r="M54" s="883"/>
      <c r="N54" s="885" t="s">
        <v>129</v>
      </c>
    </row>
    <row r="55" spans="1:14" ht="13.5" thickBot="1">
      <c r="A55" s="906" t="s">
        <v>561</v>
      </c>
      <c r="B55" s="887" t="s">
        <v>549</v>
      </c>
      <c r="C55" s="888" t="s">
        <v>550</v>
      </c>
      <c r="D55" s="889" t="s">
        <v>551</v>
      </c>
      <c r="E55" s="888" t="s">
        <v>552</v>
      </c>
      <c r="F55" s="889" t="s">
        <v>553</v>
      </c>
      <c r="G55" s="888" t="s">
        <v>554</v>
      </c>
      <c r="H55" s="889" t="s">
        <v>555</v>
      </c>
      <c r="I55" s="888" t="s">
        <v>556</v>
      </c>
      <c r="J55" s="889" t="s">
        <v>557</v>
      </c>
      <c r="K55" s="888" t="s">
        <v>558</v>
      </c>
      <c r="L55" s="889" t="s">
        <v>559</v>
      </c>
      <c r="M55" s="888" t="s">
        <v>560</v>
      </c>
      <c r="N55" s="890" t="s">
        <v>134</v>
      </c>
    </row>
    <row r="56" spans="1:14" ht="12.75">
      <c r="A56" s="907" t="s">
        <v>562</v>
      </c>
      <c r="B56" s="908">
        <f>O56/12</f>
        <v>0</v>
      </c>
      <c r="C56" s="909">
        <f>B56</f>
        <v>0</v>
      </c>
      <c r="D56" s="909">
        <f aca="true" t="shared" si="3" ref="D56:M56">C56</f>
        <v>0</v>
      </c>
      <c r="E56" s="909">
        <f t="shared" si="3"/>
        <v>0</v>
      </c>
      <c r="F56" s="909">
        <f t="shared" si="3"/>
        <v>0</v>
      </c>
      <c r="G56" s="909">
        <f t="shared" si="3"/>
        <v>0</v>
      </c>
      <c r="H56" s="909">
        <f t="shared" si="3"/>
        <v>0</v>
      </c>
      <c r="I56" s="909">
        <f t="shared" si="3"/>
        <v>0</v>
      </c>
      <c r="J56" s="909">
        <f t="shared" si="3"/>
        <v>0</v>
      </c>
      <c r="K56" s="909">
        <f t="shared" si="3"/>
        <v>0</v>
      </c>
      <c r="L56" s="909">
        <f t="shared" si="3"/>
        <v>0</v>
      </c>
      <c r="M56" s="909">
        <f t="shared" si="3"/>
        <v>0</v>
      </c>
      <c r="N56" s="893">
        <f aca="true" t="shared" si="4" ref="N56:N65">SUM(B56:M56)</f>
        <v>0</v>
      </c>
    </row>
    <row r="57" spans="1:14" ht="12.75">
      <c r="A57" s="910" t="s">
        <v>563</v>
      </c>
      <c r="B57" s="911">
        <f>113509/12</f>
        <v>9459.083333333334</v>
      </c>
      <c r="C57" s="911">
        <f aca="true" t="shared" si="5" ref="C57:M57">113509/12</f>
        <v>9459.083333333334</v>
      </c>
      <c r="D57" s="911">
        <f t="shared" si="5"/>
        <v>9459.083333333334</v>
      </c>
      <c r="E57" s="911">
        <f t="shared" si="5"/>
        <v>9459.083333333334</v>
      </c>
      <c r="F57" s="911">
        <f t="shared" si="5"/>
        <v>9459.083333333334</v>
      </c>
      <c r="G57" s="911">
        <f t="shared" si="5"/>
        <v>9459.083333333334</v>
      </c>
      <c r="H57" s="911">
        <f t="shared" si="5"/>
        <v>9459.083333333334</v>
      </c>
      <c r="I57" s="911">
        <f t="shared" si="5"/>
        <v>9459.083333333334</v>
      </c>
      <c r="J57" s="911">
        <f t="shared" si="5"/>
        <v>9459.083333333334</v>
      </c>
      <c r="K57" s="911">
        <f t="shared" si="5"/>
        <v>9459.083333333334</v>
      </c>
      <c r="L57" s="911">
        <f t="shared" si="5"/>
        <v>9459.083333333334</v>
      </c>
      <c r="M57" s="911">
        <f t="shared" si="5"/>
        <v>9459.083333333334</v>
      </c>
      <c r="N57" s="893">
        <f t="shared" si="4"/>
        <v>113508.99999999999</v>
      </c>
    </row>
    <row r="58" spans="1:14" ht="12.75">
      <c r="A58" s="907" t="s">
        <v>564</v>
      </c>
      <c r="B58" s="901">
        <v>45298</v>
      </c>
      <c r="C58" s="901">
        <v>45298</v>
      </c>
      <c r="D58" s="901">
        <v>45298</v>
      </c>
      <c r="E58" s="901">
        <v>45298</v>
      </c>
      <c r="F58" s="901">
        <v>45298</v>
      </c>
      <c r="G58" s="901">
        <v>45298</v>
      </c>
      <c r="H58" s="901">
        <v>45298</v>
      </c>
      <c r="I58" s="901">
        <v>45298</v>
      </c>
      <c r="J58" s="901">
        <v>45298</v>
      </c>
      <c r="K58" s="901">
        <v>45298</v>
      </c>
      <c r="L58" s="901">
        <v>45298</v>
      </c>
      <c r="M58" s="901">
        <v>45298</v>
      </c>
      <c r="N58" s="893">
        <f t="shared" si="4"/>
        <v>543576</v>
      </c>
    </row>
    <row r="59" spans="1:14" ht="12.75">
      <c r="A59" s="912" t="s">
        <v>565</v>
      </c>
      <c r="B59" s="893">
        <v>33000</v>
      </c>
      <c r="C59" s="893">
        <v>33000</v>
      </c>
      <c r="D59" s="893">
        <v>35000</v>
      </c>
      <c r="E59" s="893">
        <v>35000</v>
      </c>
      <c r="F59" s="893">
        <v>33000</v>
      </c>
      <c r="G59" s="893">
        <v>33000</v>
      </c>
      <c r="H59" s="893">
        <v>33000</v>
      </c>
      <c r="I59" s="893">
        <v>33000</v>
      </c>
      <c r="J59" s="893">
        <v>33000</v>
      </c>
      <c r="K59" s="893">
        <v>33000</v>
      </c>
      <c r="L59" s="893">
        <v>41196</v>
      </c>
      <c r="M59" s="893">
        <v>33000</v>
      </c>
      <c r="N59" s="893">
        <f t="shared" si="4"/>
        <v>408196</v>
      </c>
    </row>
    <row r="60" spans="1:14" ht="12.75">
      <c r="A60" s="912" t="s">
        <v>640</v>
      </c>
      <c r="B60" s="901"/>
      <c r="C60" s="909"/>
      <c r="D60" s="901"/>
      <c r="E60" s="909">
        <v>16009</v>
      </c>
      <c r="F60" s="901">
        <v>110000</v>
      </c>
      <c r="G60" s="909">
        <v>15000</v>
      </c>
      <c r="H60" s="901">
        <v>5000</v>
      </c>
      <c r="I60" s="909">
        <v>800000</v>
      </c>
      <c r="J60" s="901">
        <v>20000</v>
      </c>
      <c r="K60" s="913">
        <v>15000</v>
      </c>
      <c r="L60" s="901"/>
      <c r="M60" s="914"/>
      <c r="N60" s="893">
        <f t="shared" si="4"/>
        <v>981009</v>
      </c>
    </row>
    <row r="61" spans="1:14" ht="12.75">
      <c r="A61" s="915" t="s">
        <v>566</v>
      </c>
      <c r="B61" s="916"/>
      <c r="C61" s="917"/>
      <c r="D61" s="893"/>
      <c r="E61" s="914"/>
      <c r="F61" s="893"/>
      <c r="G61" s="918">
        <v>8000</v>
      </c>
      <c r="H61" s="916">
        <v>7000</v>
      </c>
      <c r="I61" s="919">
        <v>5500</v>
      </c>
      <c r="J61" s="916"/>
      <c r="K61" s="919"/>
      <c r="L61" s="916"/>
      <c r="M61" s="914"/>
      <c r="N61" s="893">
        <f t="shared" si="4"/>
        <v>20500</v>
      </c>
    </row>
    <row r="62" spans="1:14" ht="12.75">
      <c r="A62" s="893" t="s">
        <v>567</v>
      </c>
      <c r="B62" s="893">
        <v>6131</v>
      </c>
      <c r="C62" s="893">
        <v>6131</v>
      </c>
      <c r="D62" s="893">
        <v>6131</v>
      </c>
      <c r="E62" s="893">
        <v>6131</v>
      </c>
      <c r="F62" s="893">
        <v>6131</v>
      </c>
      <c r="G62" s="893">
        <v>6131</v>
      </c>
      <c r="H62" s="893">
        <v>6131</v>
      </c>
      <c r="I62" s="893">
        <v>6131</v>
      </c>
      <c r="J62" s="893">
        <v>6131</v>
      </c>
      <c r="K62" s="893">
        <v>6131</v>
      </c>
      <c r="L62" s="893">
        <v>6131</v>
      </c>
      <c r="M62" s="893">
        <v>6142</v>
      </c>
      <c r="N62" s="893">
        <f t="shared" si="4"/>
        <v>73583</v>
      </c>
    </row>
    <row r="63" spans="1:14" ht="12.75">
      <c r="A63" s="901" t="s">
        <v>568</v>
      </c>
      <c r="B63" s="916">
        <v>1450</v>
      </c>
      <c r="C63" s="916">
        <v>1450</v>
      </c>
      <c r="D63" s="916">
        <v>1450</v>
      </c>
      <c r="E63" s="916">
        <v>1450</v>
      </c>
      <c r="F63" s="916">
        <v>1450</v>
      </c>
      <c r="G63" s="916">
        <v>1450</v>
      </c>
      <c r="H63" s="916">
        <v>1450</v>
      </c>
      <c r="I63" s="916">
        <v>1450</v>
      </c>
      <c r="J63" s="916">
        <v>1450</v>
      </c>
      <c r="K63" s="916">
        <v>1450</v>
      </c>
      <c r="L63" s="916">
        <v>1616</v>
      </c>
      <c r="M63" s="916">
        <v>1450</v>
      </c>
      <c r="N63" s="893">
        <f t="shared" si="4"/>
        <v>17566</v>
      </c>
    </row>
    <row r="64" spans="1:14" ht="12.75">
      <c r="A64" s="893" t="s">
        <v>569</v>
      </c>
      <c r="B64" s="893"/>
      <c r="C64" s="914"/>
      <c r="D64" s="893"/>
      <c r="E64" s="914"/>
      <c r="F64" s="893"/>
      <c r="G64" s="893"/>
      <c r="H64" s="893"/>
      <c r="I64" s="914"/>
      <c r="J64" s="893"/>
      <c r="K64" s="914"/>
      <c r="L64" s="893"/>
      <c r="M64" s="893"/>
      <c r="N64" s="893">
        <f t="shared" si="4"/>
        <v>0</v>
      </c>
    </row>
    <row r="65" spans="1:14" ht="13.5" thickBot="1">
      <c r="A65" s="920" t="s">
        <v>570</v>
      </c>
      <c r="B65" s="921">
        <f aca="true" t="shared" si="6" ref="B65:M65">SUM(B56:B64)</f>
        <v>95338.08333333334</v>
      </c>
      <c r="C65" s="921">
        <f t="shared" si="6"/>
        <v>95338.08333333334</v>
      </c>
      <c r="D65" s="921">
        <f t="shared" si="6"/>
        <v>97338.08333333334</v>
      </c>
      <c r="E65" s="921">
        <f t="shared" si="6"/>
        <v>113347.08333333334</v>
      </c>
      <c r="F65" s="921">
        <f t="shared" si="6"/>
        <v>205338.08333333334</v>
      </c>
      <c r="G65" s="921">
        <f t="shared" si="6"/>
        <v>118338.08333333334</v>
      </c>
      <c r="H65" s="921">
        <f t="shared" si="6"/>
        <v>107338.08333333334</v>
      </c>
      <c r="I65" s="921">
        <f t="shared" si="6"/>
        <v>900838.0833333334</v>
      </c>
      <c r="J65" s="921">
        <f t="shared" si="6"/>
        <v>115338.08333333334</v>
      </c>
      <c r="K65" s="921">
        <f t="shared" si="6"/>
        <v>110338.08333333334</v>
      </c>
      <c r="L65" s="921">
        <f t="shared" si="6"/>
        <v>103700.08333333334</v>
      </c>
      <c r="M65" s="921">
        <f t="shared" si="6"/>
        <v>95349.08333333334</v>
      </c>
      <c r="N65" s="893">
        <f t="shared" si="4"/>
        <v>2157939</v>
      </c>
    </row>
    <row r="66" spans="1:14" ht="13.5" thickBot="1">
      <c r="A66" s="922" t="s">
        <v>571</v>
      </c>
      <c r="B66" s="923">
        <f aca="true" t="shared" si="7" ref="B66:N66">B53</f>
        <v>216899.66213888887</v>
      </c>
      <c r="C66" s="923">
        <f t="shared" si="7"/>
        <v>216899.66213888887</v>
      </c>
      <c r="D66" s="923">
        <f t="shared" si="7"/>
        <v>216899.66213888887</v>
      </c>
      <c r="E66" s="923">
        <f t="shared" si="7"/>
        <v>216899.66213888887</v>
      </c>
      <c r="F66" s="923">
        <f t="shared" si="7"/>
        <v>216899.66213888887</v>
      </c>
      <c r="G66" s="923">
        <f t="shared" si="7"/>
        <v>216899.66213888887</v>
      </c>
      <c r="H66" s="923">
        <f t="shared" si="7"/>
        <v>216899.66213888887</v>
      </c>
      <c r="I66" s="923">
        <f t="shared" si="7"/>
        <v>216899.66213888887</v>
      </c>
      <c r="J66" s="923">
        <f t="shared" si="7"/>
        <v>216899.66213888887</v>
      </c>
      <c r="K66" s="923">
        <f t="shared" si="7"/>
        <v>216899.66213888887</v>
      </c>
      <c r="L66" s="923">
        <f t="shared" si="7"/>
        <v>216899.66213888887</v>
      </c>
      <c r="M66" s="923">
        <f t="shared" si="7"/>
        <v>216899.66213888887</v>
      </c>
      <c r="N66" s="923">
        <f t="shared" si="7"/>
        <v>2602795.945666667</v>
      </c>
    </row>
    <row r="67" spans="1:14" ht="13.5" thickBot="1">
      <c r="A67" s="924" t="s">
        <v>11</v>
      </c>
      <c r="B67" s="923">
        <f aca="true" t="shared" si="8" ref="B67:N67">B65</f>
        <v>95338.08333333334</v>
      </c>
      <c r="C67" s="923">
        <f t="shared" si="8"/>
        <v>95338.08333333334</v>
      </c>
      <c r="D67" s="923">
        <f t="shared" si="8"/>
        <v>97338.08333333334</v>
      </c>
      <c r="E67" s="923">
        <f t="shared" si="8"/>
        <v>113347.08333333334</v>
      </c>
      <c r="F67" s="923">
        <f t="shared" si="8"/>
        <v>205338.08333333334</v>
      </c>
      <c r="G67" s="923">
        <f t="shared" si="8"/>
        <v>118338.08333333334</v>
      </c>
      <c r="H67" s="923">
        <f t="shared" si="8"/>
        <v>107338.08333333334</v>
      </c>
      <c r="I67" s="923">
        <f t="shared" si="8"/>
        <v>900838.0833333334</v>
      </c>
      <c r="J67" s="923">
        <f t="shared" si="8"/>
        <v>115338.08333333334</v>
      </c>
      <c r="K67" s="923">
        <f t="shared" si="8"/>
        <v>110338.08333333334</v>
      </c>
      <c r="L67" s="923">
        <f t="shared" si="8"/>
        <v>103700.08333333334</v>
      </c>
      <c r="M67" s="925">
        <f t="shared" si="8"/>
        <v>95349.08333333334</v>
      </c>
      <c r="N67" s="925">
        <f t="shared" si="8"/>
        <v>2157939</v>
      </c>
    </row>
    <row r="68" spans="1:14" ht="13.5" thickBot="1">
      <c r="A68" s="924" t="s">
        <v>572</v>
      </c>
      <c r="B68" s="926">
        <f aca="true" t="shared" si="9" ref="B68:M68">B66-B67</f>
        <v>121561.57880555553</v>
      </c>
      <c r="C68" s="926">
        <f t="shared" si="9"/>
        <v>121561.57880555553</v>
      </c>
      <c r="D68" s="926">
        <f t="shared" si="9"/>
        <v>119561.57880555553</v>
      </c>
      <c r="E68" s="926">
        <f t="shared" si="9"/>
        <v>103552.57880555553</v>
      </c>
      <c r="F68" s="926">
        <f t="shared" si="9"/>
        <v>11561.578805555531</v>
      </c>
      <c r="G68" s="926">
        <f t="shared" si="9"/>
        <v>98561.57880555553</v>
      </c>
      <c r="H68" s="926">
        <f t="shared" si="9"/>
        <v>109561.57880555553</v>
      </c>
      <c r="I68" s="926">
        <f t="shared" si="9"/>
        <v>-683938.4211944445</v>
      </c>
      <c r="J68" s="926">
        <f t="shared" si="9"/>
        <v>101561.57880555553</v>
      </c>
      <c r="K68" s="926">
        <f t="shared" si="9"/>
        <v>106561.57880555553</v>
      </c>
      <c r="L68" s="926">
        <f t="shared" si="9"/>
        <v>113199.57880555553</v>
      </c>
      <c r="M68" s="926">
        <f t="shared" si="9"/>
        <v>121550.57880555553</v>
      </c>
      <c r="N68" s="925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&amp;R..........................rendelet a város 2014 évi költégvetéséről
</oddHeader>
    <oddFooter>&amp;C&amp;D&amp;R&amp;P. oldal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Q13"/>
  <sheetViews>
    <sheetView workbookViewId="0" topLeftCell="A1">
      <selection activeCell="F71" activeCellId="2" sqref="C65 C71 F71"/>
    </sheetView>
  </sheetViews>
  <sheetFormatPr defaultColWidth="9.140625" defaultRowHeight="12.75"/>
  <cols>
    <col min="1" max="1" width="20.00390625" style="0" customWidth="1"/>
    <col min="2" max="2" width="13.28125" style="0" hidden="1" customWidth="1"/>
    <col min="3" max="3" width="26.140625" style="0" hidden="1" customWidth="1"/>
    <col min="4" max="4" width="2.140625" style="0" hidden="1" customWidth="1"/>
    <col min="5" max="6" width="10.421875" style="0" bestFit="1" customWidth="1"/>
    <col min="8" max="8" width="8.140625" style="0" bestFit="1" customWidth="1"/>
    <col min="9" max="9" width="9.28125" style="0" customWidth="1"/>
    <col min="10" max="14" width="8.140625" style="0" bestFit="1" customWidth="1"/>
    <col min="15" max="15" width="9.8515625" style="0" customWidth="1"/>
    <col min="16" max="16" width="6.8515625" style="0" hidden="1" customWidth="1"/>
    <col min="17" max="17" width="8.28125" style="0" hidden="1" customWidth="1"/>
  </cols>
  <sheetData>
    <row r="1" spans="1:11" ht="12.75">
      <c r="A1" s="692"/>
      <c r="K1" s="57" t="s">
        <v>575</v>
      </c>
    </row>
    <row r="2" spans="1:11" ht="13.5" thickBot="1">
      <c r="A2" s="692"/>
      <c r="K2" s="57" t="s">
        <v>576</v>
      </c>
    </row>
    <row r="3" spans="1:17" ht="37.5" customHeight="1">
      <c r="A3" s="826" t="s">
        <v>460</v>
      </c>
      <c r="B3" s="827">
        <v>2009</v>
      </c>
      <c r="C3" s="827">
        <v>2011</v>
      </c>
      <c r="D3" s="827" t="s">
        <v>577</v>
      </c>
      <c r="E3" s="828">
        <v>2014</v>
      </c>
      <c r="F3" s="828">
        <v>2015</v>
      </c>
      <c r="G3" s="828">
        <v>2016</v>
      </c>
      <c r="H3" s="828">
        <v>2017</v>
      </c>
      <c r="I3" s="828">
        <v>2018</v>
      </c>
      <c r="J3" s="828">
        <v>2019</v>
      </c>
      <c r="K3" s="828">
        <v>2020</v>
      </c>
      <c r="L3" s="828">
        <v>2021</v>
      </c>
      <c r="M3" s="828">
        <v>2022</v>
      </c>
      <c r="N3" s="828">
        <v>2023</v>
      </c>
      <c r="O3" s="828">
        <v>2024</v>
      </c>
      <c r="P3" s="828">
        <v>2025</v>
      </c>
      <c r="Q3" s="828">
        <v>2026</v>
      </c>
    </row>
    <row r="4" spans="1:17" ht="63.75" customHeight="1">
      <c r="A4" s="928" t="s">
        <v>679</v>
      </c>
      <c r="B4" s="929"/>
      <c r="C4" s="929"/>
      <c r="D4" s="929"/>
      <c r="E4" s="930"/>
      <c r="F4" s="930"/>
      <c r="G4" s="930">
        <v>23812</v>
      </c>
      <c r="H4" s="931">
        <v>47625</v>
      </c>
      <c r="I4" s="930">
        <v>47625</v>
      </c>
      <c r="J4" s="930">
        <v>47625</v>
      </c>
      <c r="K4" s="930">
        <v>47625</v>
      </c>
      <c r="L4" s="930">
        <v>47625</v>
      </c>
      <c r="M4" s="930">
        <v>47625</v>
      </c>
      <c r="N4" s="930">
        <v>47625</v>
      </c>
      <c r="O4" s="930">
        <v>23812</v>
      </c>
      <c r="P4" s="930"/>
      <c r="Q4" s="930"/>
    </row>
    <row r="5" spans="1:17" ht="51" customHeight="1">
      <c r="A5" s="928" t="s">
        <v>677</v>
      </c>
      <c r="B5" s="929"/>
      <c r="C5" s="929"/>
      <c r="D5" s="929"/>
      <c r="E5" s="930">
        <v>19050</v>
      </c>
      <c r="F5" s="930">
        <v>38100</v>
      </c>
      <c r="G5" s="930">
        <v>37207</v>
      </c>
      <c r="H5" s="931">
        <v>32742</v>
      </c>
      <c r="I5" s="930">
        <v>27979</v>
      </c>
      <c r="J5" s="930">
        <v>23217</v>
      </c>
      <c r="K5" s="930">
        <v>18454</v>
      </c>
      <c r="L5" s="930">
        <v>13692</v>
      </c>
      <c r="M5" s="930">
        <v>8929</v>
      </c>
      <c r="N5" s="930">
        <v>4167</v>
      </c>
      <c r="O5" s="930"/>
      <c r="P5" s="930"/>
      <c r="Q5" s="930"/>
    </row>
    <row r="6" spans="1:17" ht="63">
      <c r="A6" s="847" t="s">
        <v>578</v>
      </c>
      <c r="B6" s="830"/>
      <c r="C6" s="58">
        <f>SUM(D6:Q6)</f>
        <v>3436</v>
      </c>
      <c r="D6" s="831">
        <v>1718</v>
      </c>
      <c r="E6" s="831">
        <v>1718</v>
      </c>
      <c r="F6" s="831"/>
      <c r="G6" s="831"/>
      <c r="H6" s="844"/>
      <c r="I6" s="831"/>
      <c r="J6" s="831"/>
      <c r="K6" s="831"/>
      <c r="L6" s="831"/>
      <c r="M6" s="831"/>
      <c r="N6" s="831"/>
      <c r="O6" s="831"/>
      <c r="P6" s="831"/>
      <c r="Q6" s="831"/>
    </row>
    <row r="7" spans="1:17" ht="15.75">
      <c r="A7" s="847" t="s">
        <v>580</v>
      </c>
      <c r="B7" s="830"/>
      <c r="C7" s="619">
        <f>SUM(D7:Q7)</f>
        <v>0</v>
      </c>
      <c r="D7" s="831">
        <v>0</v>
      </c>
      <c r="E7" s="831"/>
      <c r="F7" s="831"/>
      <c r="G7" s="831"/>
      <c r="H7" s="844"/>
      <c r="I7" s="831"/>
      <c r="J7" s="831"/>
      <c r="K7" s="831"/>
      <c r="L7" s="831"/>
      <c r="M7" s="831"/>
      <c r="N7" s="831"/>
      <c r="O7" s="832"/>
      <c r="P7" s="832"/>
      <c r="Q7" s="832"/>
    </row>
    <row r="8" spans="1:17" ht="15.75">
      <c r="A8" s="848" t="s">
        <v>678</v>
      </c>
      <c r="B8" s="839"/>
      <c r="C8" s="841">
        <v>110005</v>
      </c>
      <c r="D8" s="840"/>
      <c r="E8" s="840">
        <f>57194/10/2</f>
        <v>2859.7</v>
      </c>
      <c r="F8" s="840">
        <f aca="true" t="shared" si="0" ref="F8:N8">57194/10</f>
        <v>5719.4</v>
      </c>
      <c r="G8" s="840">
        <f t="shared" si="0"/>
        <v>5719.4</v>
      </c>
      <c r="H8" s="840">
        <f t="shared" si="0"/>
        <v>5719.4</v>
      </c>
      <c r="I8" s="840">
        <f t="shared" si="0"/>
        <v>5719.4</v>
      </c>
      <c r="J8" s="840">
        <f t="shared" si="0"/>
        <v>5719.4</v>
      </c>
      <c r="K8" s="840">
        <f t="shared" si="0"/>
        <v>5719.4</v>
      </c>
      <c r="L8" s="840">
        <f t="shared" si="0"/>
        <v>5719.4</v>
      </c>
      <c r="M8" s="840">
        <f t="shared" si="0"/>
        <v>5719.4</v>
      </c>
      <c r="N8" s="840">
        <f t="shared" si="0"/>
        <v>5719.4</v>
      </c>
      <c r="O8" s="840">
        <f>E8</f>
        <v>2859.7</v>
      </c>
      <c r="P8" s="840"/>
      <c r="Q8" s="840"/>
    </row>
    <row r="9" spans="1:17" ht="15.75">
      <c r="A9" s="848" t="s">
        <v>642</v>
      </c>
      <c r="B9" s="839"/>
      <c r="C9" s="841"/>
      <c r="D9" s="840"/>
      <c r="E9" s="840">
        <f>SUM(E8:O8)</f>
        <v>57194</v>
      </c>
      <c r="F9" s="840">
        <f>E9-F8</f>
        <v>51474.6</v>
      </c>
      <c r="G9" s="840">
        <f>F9-G8</f>
        <v>45755.2</v>
      </c>
      <c r="H9" s="840">
        <f aca="true" t="shared" si="1" ref="H9:O9">G9-H8</f>
        <v>40035.799999999996</v>
      </c>
      <c r="I9" s="840">
        <f t="shared" si="1"/>
        <v>34316.399999999994</v>
      </c>
      <c r="J9" s="840">
        <f t="shared" si="1"/>
        <v>28596.999999999993</v>
      </c>
      <c r="K9" s="840">
        <f t="shared" si="1"/>
        <v>22877.59999999999</v>
      </c>
      <c r="L9" s="840">
        <f t="shared" si="1"/>
        <v>17158.19999999999</v>
      </c>
      <c r="M9" s="840">
        <f t="shared" si="1"/>
        <v>11438.79999999999</v>
      </c>
      <c r="N9" s="840">
        <f t="shared" si="1"/>
        <v>5719.3999999999905</v>
      </c>
      <c r="O9" s="840">
        <f t="shared" si="1"/>
        <v>2859.6999999999907</v>
      </c>
      <c r="P9" s="840"/>
      <c r="Q9" s="840"/>
    </row>
    <row r="10" spans="1:17" ht="15.75">
      <c r="A10" s="848" t="s">
        <v>580</v>
      </c>
      <c r="B10" s="839"/>
      <c r="C10" s="841"/>
      <c r="D10" s="840"/>
      <c r="E10" s="840">
        <f>E9*0.06/2</f>
        <v>1715.82</v>
      </c>
      <c r="F10" s="840">
        <f aca="true" t="shared" si="2" ref="F10:O10">F9*0.06</f>
        <v>3088.4759999999997</v>
      </c>
      <c r="G10" s="840">
        <f t="shared" si="2"/>
        <v>2745.312</v>
      </c>
      <c r="H10" s="840">
        <f t="shared" si="2"/>
        <v>2402.1479999999997</v>
      </c>
      <c r="I10" s="840">
        <f t="shared" si="2"/>
        <v>2058.9839999999995</v>
      </c>
      <c r="J10" s="840">
        <f t="shared" si="2"/>
        <v>1715.8199999999995</v>
      </c>
      <c r="K10" s="840">
        <f t="shared" si="2"/>
        <v>1372.6559999999995</v>
      </c>
      <c r="L10" s="840">
        <f t="shared" si="2"/>
        <v>1029.4919999999993</v>
      </c>
      <c r="M10" s="840">
        <f t="shared" si="2"/>
        <v>686.3279999999994</v>
      </c>
      <c r="N10" s="840">
        <f t="shared" si="2"/>
        <v>343.1639999999994</v>
      </c>
      <c r="O10" s="840">
        <f t="shared" si="2"/>
        <v>171.58199999999943</v>
      </c>
      <c r="P10" s="840"/>
      <c r="Q10" s="842"/>
    </row>
    <row r="11" spans="1:17" ht="12.75">
      <c r="A11" s="833" t="s">
        <v>579</v>
      </c>
      <c r="B11" s="834"/>
      <c r="C11" s="834" t="e">
        <f>#REF!+#REF!+#REF!+#REF!+#REF!+#REF!+#REF!+#REF!+#REF!</f>
        <v>#REF!</v>
      </c>
      <c r="D11" s="834"/>
      <c r="E11" s="835">
        <f aca="true" t="shared" si="3" ref="E11:O11">E4+E6+E8</f>
        <v>4577.7</v>
      </c>
      <c r="F11" s="835">
        <f t="shared" si="3"/>
        <v>5719.4</v>
      </c>
      <c r="G11" s="835">
        <f t="shared" si="3"/>
        <v>29531.4</v>
      </c>
      <c r="H11" s="835">
        <f t="shared" si="3"/>
        <v>53344.4</v>
      </c>
      <c r="I11" s="835">
        <f t="shared" si="3"/>
        <v>53344.4</v>
      </c>
      <c r="J11" s="835">
        <f t="shared" si="3"/>
        <v>53344.4</v>
      </c>
      <c r="K11" s="835">
        <f t="shared" si="3"/>
        <v>53344.4</v>
      </c>
      <c r="L11" s="835">
        <f t="shared" si="3"/>
        <v>53344.4</v>
      </c>
      <c r="M11" s="835">
        <f t="shared" si="3"/>
        <v>53344.4</v>
      </c>
      <c r="N11" s="835">
        <f t="shared" si="3"/>
        <v>53344.4</v>
      </c>
      <c r="O11" s="835">
        <f t="shared" si="3"/>
        <v>26671.7</v>
      </c>
      <c r="P11" s="835">
        <f>P6+P8</f>
        <v>0</v>
      </c>
      <c r="Q11" s="835">
        <f>Q6+Q8</f>
        <v>0</v>
      </c>
    </row>
    <row r="12" spans="1:17" ht="13.5" thickBot="1">
      <c r="A12" s="836" t="s">
        <v>580</v>
      </c>
      <c r="B12" s="837"/>
      <c r="C12" s="837" t="e">
        <f>#REF!+#REF!+#REF!+#REF!+#REF!+#REF!+#REF!+#REF!+#REF!</f>
        <v>#REF!</v>
      </c>
      <c r="D12" s="837"/>
      <c r="E12" s="835">
        <f aca="true" t="shared" si="4" ref="E12:O12">E5+E7+E10</f>
        <v>20765.82</v>
      </c>
      <c r="F12" s="835">
        <f t="shared" si="4"/>
        <v>41188.476</v>
      </c>
      <c r="G12" s="835">
        <f t="shared" si="4"/>
        <v>39952.312</v>
      </c>
      <c r="H12" s="835">
        <f t="shared" si="4"/>
        <v>35144.148</v>
      </c>
      <c r="I12" s="835">
        <f t="shared" si="4"/>
        <v>30037.984</v>
      </c>
      <c r="J12" s="835">
        <f t="shared" si="4"/>
        <v>24932.82</v>
      </c>
      <c r="K12" s="835">
        <f t="shared" si="4"/>
        <v>19826.656</v>
      </c>
      <c r="L12" s="835">
        <f t="shared" si="4"/>
        <v>14721.491999999998</v>
      </c>
      <c r="M12" s="835">
        <f t="shared" si="4"/>
        <v>9615.328</v>
      </c>
      <c r="N12" s="835">
        <f t="shared" si="4"/>
        <v>4510.164</v>
      </c>
      <c r="O12" s="835">
        <f t="shared" si="4"/>
        <v>171.58199999999943</v>
      </c>
      <c r="P12" s="835">
        <f>P7+P10</f>
        <v>0</v>
      </c>
      <c r="Q12" s="835">
        <f>Q7+Q10</f>
        <v>0</v>
      </c>
    </row>
    <row r="13" spans="1:17" ht="12.75">
      <c r="A13" s="31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&amp;R..........................rendelet a város 2014 évi költégvetéséről
</oddHeader>
    <oddFooter>&amp;C&amp;D&amp;R&amp;P.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selection activeCell="F71" activeCellId="2" sqref="C65 C71 F71"/>
    </sheetView>
  </sheetViews>
  <sheetFormatPr defaultColWidth="9.140625" defaultRowHeight="12.75"/>
  <cols>
    <col min="1" max="1" width="30.00390625" style="0" customWidth="1"/>
    <col min="2" max="2" width="3.57421875" style="0" hidden="1" customWidth="1"/>
    <col min="3" max="3" width="16.00390625" style="0" hidden="1" customWidth="1"/>
    <col min="4" max="4" width="11.57421875" style="0" bestFit="1" customWidth="1"/>
    <col min="12" max="12" width="10.8515625" style="0" customWidth="1"/>
  </cols>
  <sheetData>
    <row r="1" spans="1:9" ht="12.75">
      <c r="A1" s="692"/>
      <c r="I1" s="57" t="s">
        <v>581</v>
      </c>
    </row>
    <row r="2" spans="1:8" ht="13.5" thickBot="1">
      <c r="A2" s="692"/>
      <c r="E2" s="761" t="s">
        <v>582</v>
      </c>
      <c r="G2" s="761"/>
      <c r="H2" s="761"/>
    </row>
    <row r="3" spans="1:14" ht="47.25">
      <c r="A3" s="829" t="s">
        <v>460</v>
      </c>
      <c r="B3" s="829">
        <v>2009</v>
      </c>
      <c r="C3" s="829" t="s">
        <v>577</v>
      </c>
      <c r="D3" s="838">
        <v>2014</v>
      </c>
      <c r="E3" s="838">
        <v>2015</v>
      </c>
      <c r="F3" s="838">
        <v>2016</v>
      </c>
      <c r="G3" s="838">
        <v>2017</v>
      </c>
      <c r="H3" s="843">
        <v>2018</v>
      </c>
      <c r="I3" s="828">
        <v>2019</v>
      </c>
      <c r="J3" s="828">
        <v>2020</v>
      </c>
      <c r="K3" s="828">
        <v>2021</v>
      </c>
      <c r="L3" s="828">
        <v>2022</v>
      </c>
      <c r="M3" s="828">
        <v>2023</v>
      </c>
      <c r="N3" s="828">
        <v>2024</v>
      </c>
    </row>
    <row r="4" spans="1:14" ht="31.5">
      <c r="A4" s="829" t="str">
        <f>kötelezettség!A4</f>
        <v>függő kötelezettség szigetek ivóvíz tőke 381.000 e ft</v>
      </c>
      <c r="B4" s="829"/>
      <c r="C4" s="829"/>
      <c r="D4" s="838">
        <f>kötelezettség!E4</f>
        <v>0</v>
      </c>
      <c r="E4" s="838">
        <f>kötelezettség!F4</f>
        <v>0</v>
      </c>
      <c r="F4" s="838">
        <f>kötelezettség!G4</f>
        <v>23812</v>
      </c>
      <c r="G4" s="838">
        <f>kötelezettség!H4</f>
        <v>47625</v>
      </c>
      <c r="H4" s="838">
        <f>kötelezettség!I4</f>
        <v>47625</v>
      </c>
      <c r="I4" s="838">
        <f>kötelezettség!J4</f>
        <v>47625</v>
      </c>
      <c r="J4" s="838">
        <f>kötelezettség!K4</f>
        <v>47625</v>
      </c>
      <c r="K4" s="838">
        <f>kötelezettség!L4</f>
        <v>47625</v>
      </c>
      <c r="L4" s="838">
        <f>kötelezettség!M4</f>
        <v>47625</v>
      </c>
      <c r="M4" s="838">
        <f>kötelezettség!N4</f>
        <v>47625</v>
      </c>
      <c r="N4" s="838">
        <f>kötelezettség!O4</f>
        <v>23812</v>
      </c>
    </row>
    <row r="5" spans="1:14" ht="31.5">
      <c r="A5" s="829" t="str">
        <f>kötelezettség!A5</f>
        <v>függő kötelezettség szigetek ivóvíz kamat</v>
      </c>
      <c r="B5" s="829"/>
      <c r="C5" s="829"/>
      <c r="D5" s="838">
        <f>kötelezettség!E5</f>
        <v>19050</v>
      </c>
      <c r="E5" s="838">
        <f>kötelezettség!F5</f>
        <v>38100</v>
      </c>
      <c r="F5" s="838">
        <f>kötelezettség!G5</f>
        <v>37207</v>
      </c>
      <c r="G5" s="838">
        <f>kötelezettség!H5</f>
        <v>32742</v>
      </c>
      <c r="H5" s="838">
        <f>kötelezettség!I5</f>
        <v>27979</v>
      </c>
      <c r="I5" s="838">
        <f>kötelezettség!J5</f>
        <v>23217</v>
      </c>
      <c r="J5" s="838">
        <f>kötelezettség!K5</f>
        <v>18454</v>
      </c>
      <c r="K5" s="838">
        <f>kötelezettség!L5</f>
        <v>13692</v>
      </c>
      <c r="L5" s="838">
        <f>kötelezettség!M5</f>
        <v>8929</v>
      </c>
      <c r="M5" s="838">
        <f>kötelezettség!N5</f>
        <v>4167</v>
      </c>
      <c r="N5" s="838">
        <f>kötelezettség!O5</f>
        <v>0</v>
      </c>
    </row>
    <row r="6" spans="1:14" ht="49.5" customHeight="1">
      <c r="A6" s="847" t="s">
        <v>578</v>
      </c>
      <c r="B6" s="830"/>
      <c r="C6" s="58">
        <f>SUM(D6:N6)</f>
        <v>1718</v>
      </c>
      <c r="D6" s="831">
        <v>1718</v>
      </c>
      <c r="E6" s="831"/>
      <c r="F6" s="831"/>
      <c r="G6" s="831"/>
      <c r="H6" s="844"/>
      <c r="I6" s="831"/>
      <c r="J6" s="831"/>
      <c r="K6" s="831"/>
      <c r="L6" s="831"/>
      <c r="M6" s="831"/>
      <c r="N6" s="831"/>
    </row>
    <row r="7" spans="1:14" s="117" customFormat="1" ht="15.75">
      <c r="A7" s="847" t="s">
        <v>580</v>
      </c>
      <c r="B7" s="830"/>
      <c r="C7" s="619">
        <f>SUM(D7:N7)</f>
        <v>0</v>
      </c>
      <c r="D7" s="831">
        <v>0</v>
      </c>
      <c r="E7" s="831"/>
      <c r="F7" s="831"/>
      <c r="G7" s="831"/>
      <c r="H7" s="844"/>
      <c r="I7" s="831"/>
      <c r="J7" s="831"/>
      <c r="K7" s="831"/>
      <c r="L7" s="831"/>
      <c r="M7" s="831"/>
      <c r="N7" s="831"/>
    </row>
    <row r="8" spans="1:14" s="118" customFormat="1" ht="15.75">
      <c r="A8" s="848" t="s">
        <v>583</v>
      </c>
      <c r="B8" s="839"/>
      <c r="C8" s="841">
        <v>110005</v>
      </c>
      <c r="D8" s="840">
        <f>kötelezettség!E8</f>
        <v>2859.7</v>
      </c>
      <c r="E8" s="840">
        <f>kötelezettség!F8</f>
        <v>5719.4</v>
      </c>
      <c r="F8" s="840">
        <f>kötelezettség!G8</f>
        <v>5719.4</v>
      </c>
      <c r="G8" s="840">
        <f>kötelezettség!H8</f>
        <v>5719.4</v>
      </c>
      <c r="H8" s="840">
        <f>kötelezettség!I8</f>
        <v>5719.4</v>
      </c>
      <c r="I8" s="840">
        <f>kötelezettség!J8</f>
        <v>5719.4</v>
      </c>
      <c r="J8" s="840">
        <f>kötelezettség!K8</f>
        <v>5719.4</v>
      </c>
      <c r="K8" s="840">
        <f>kötelezettség!L8</f>
        <v>5719.4</v>
      </c>
      <c r="L8" s="840">
        <f>59022/10</f>
        <v>5902.2</v>
      </c>
      <c r="M8" s="840">
        <f>59022/10</f>
        <v>5902.2</v>
      </c>
      <c r="N8" s="840">
        <v>2951</v>
      </c>
    </row>
    <row r="9" spans="1:14" s="118" customFormat="1" ht="15.75">
      <c r="A9" s="848"/>
      <c r="B9" s="839"/>
      <c r="C9" s="841"/>
      <c r="D9" s="840">
        <f>kötelezettség!E9</f>
        <v>57194</v>
      </c>
      <c r="E9" s="840">
        <f>D9-E8</f>
        <v>51474.6</v>
      </c>
      <c r="F9" s="840">
        <f>E9-F8</f>
        <v>45755.2</v>
      </c>
      <c r="G9" s="840">
        <f aca="true" t="shared" si="0" ref="G9:N9">F9-G8</f>
        <v>40035.799999999996</v>
      </c>
      <c r="H9" s="840">
        <f t="shared" si="0"/>
        <v>34316.399999999994</v>
      </c>
      <c r="I9" s="840">
        <f t="shared" si="0"/>
        <v>28596.999999999993</v>
      </c>
      <c r="J9" s="840">
        <f t="shared" si="0"/>
        <v>22877.59999999999</v>
      </c>
      <c r="K9" s="840">
        <f t="shared" si="0"/>
        <v>17158.19999999999</v>
      </c>
      <c r="L9" s="840">
        <f t="shared" si="0"/>
        <v>11255.999999999989</v>
      </c>
      <c r="M9" s="840">
        <f t="shared" si="0"/>
        <v>5353.799999999989</v>
      </c>
      <c r="N9" s="840">
        <f t="shared" si="0"/>
        <v>2402.7999999999893</v>
      </c>
    </row>
    <row r="10" spans="1:14" s="118" customFormat="1" ht="15.75">
      <c r="A10" s="848" t="s">
        <v>580</v>
      </c>
      <c r="B10" s="839"/>
      <c r="C10" s="841"/>
      <c r="D10" s="840">
        <f>kötelezettség!E10</f>
        <v>1715.82</v>
      </c>
      <c r="E10" s="840">
        <f aca="true" t="shared" si="1" ref="E10:N10">E9*0.06</f>
        <v>3088.4759999999997</v>
      </c>
      <c r="F10" s="840">
        <f t="shared" si="1"/>
        <v>2745.312</v>
      </c>
      <c r="G10" s="840">
        <f t="shared" si="1"/>
        <v>2402.1479999999997</v>
      </c>
      <c r="H10" s="840">
        <f t="shared" si="1"/>
        <v>2058.9839999999995</v>
      </c>
      <c r="I10" s="840">
        <f t="shared" si="1"/>
        <v>1715.8199999999995</v>
      </c>
      <c r="J10" s="840">
        <f t="shared" si="1"/>
        <v>1372.6559999999995</v>
      </c>
      <c r="K10" s="840">
        <f t="shared" si="1"/>
        <v>1029.4919999999993</v>
      </c>
      <c r="L10" s="840">
        <f t="shared" si="1"/>
        <v>675.3599999999993</v>
      </c>
      <c r="M10" s="840">
        <f t="shared" si="1"/>
        <v>321.2279999999993</v>
      </c>
      <c r="N10" s="840">
        <f t="shared" si="1"/>
        <v>144.16799999999935</v>
      </c>
    </row>
    <row r="11" spans="1:14" ht="12.75">
      <c r="A11" s="834" t="s">
        <v>579</v>
      </c>
      <c r="B11" s="834"/>
      <c r="C11" s="834"/>
      <c r="D11" s="835">
        <f>D4+D8</f>
        <v>2859.7</v>
      </c>
      <c r="E11" s="835">
        <f aca="true" t="shared" si="2" ref="E11:N11">E4+E8</f>
        <v>5719.4</v>
      </c>
      <c r="F11" s="835">
        <f t="shared" si="2"/>
        <v>29531.4</v>
      </c>
      <c r="G11" s="835">
        <f t="shared" si="2"/>
        <v>53344.4</v>
      </c>
      <c r="H11" s="835">
        <f t="shared" si="2"/>
        <v>53344.4</v>
      </c>
      <c r="I11" s="835">
        <f t="shared" si="2"/>
        <v>53344.4</v>
      </c>
      <c r="J11" s="835">
        <f t="shared" si="2"/>
        <v>53344.4</v>
      </c>
      <c r="K11" s="835">
        <f t="shared" si="2"/>
        <v>53344.4</v>
      </c>
      <c r="L11" s="835">
        <f t="shared" si="2"/>
        <v>53527.2</v>
      </c>
      <c r="M11" s="835">
        <f t="shared" si="2"/>
        <v>53527.2</v>
      </c>
      <c r="N11" s="835">
        <f t="shared" si="2"/>
        <v>26763</v>
      </c>
    </row>
    <row r="12" spans="1:14" ht="12.75">
      <c r="A12" s="834" t="s">
        <v>580</v>
      </c>
      <c r="B12" s="834"/>
      <c r="C12" s="834"/>
      <c r="D12" s="835">
        <f>D5+D10</f>
        <v>20765.82</v>
      </c>
      <c r="E12" s="835">
        <f aca="true" t="shared" si="3" ref="E12:N12">E5+E10</f>
        <v>41188.476</v>
      </c>
      <c r="F12" s="835">
        <f t="shared" si="3"/>
        <v>39952.312</v>
      </c>
      <c r="G12" s="835">
        <f t="shared" si="3"/>
        <v>35144.148</v>
      </c>
      <c r="H12" s="835">
        <f t="shared" si="3"/>
        <v>30037.984</v>
      </c>
      <c r="I12" s="835">
        <f t="shared" si="3"/>
        <v>24932.82</v>
      </c>
      <c r="J12" s="835">
        <f t="shared" si="3"/>
        <v>19826.656</v>
      </c>
      <c r="K12" s="835">
        <f t="shared" si="3"/>
        <v>14721.491999999998</v>
      </c>
      <c r="L12" s="835">
        <f t="shared" si="3"/>
        <v>9604.359999999999</v>
      </c>
      <c r="M12" s="835">
        <f t="shared" si="3"/>
        <v>4488.227999999999</v>
      </c>
      <c r="N12" s="835">
        <f t="shared" si="3"/>
        <v>144.16799999999935</v>
      </c>
    </row>
    <row r="13" spans="1:14" ht="12.75">
      <c r="A13" s="106" t="s">
        <v>584</v>
      </c>
      <c r="B13" s="105"/>
      <c r="C13" s="105"/>
      <c r="D13" s="105"/>
      <c r="E13" s="105"/>
      <c r="F13" s="105"/>
      <c r="G13" s="105"/>
      <c r="H13" s="821"/>
      <c r="I13" s="105"/>
      <c r="J13" s="105"/>
      <c r="K13" s="105"/>
      <c r="L13" s="105"/>
      <c r="M13" s="105"/>
      <c r="N13" s="105"/>
    </row>
    <row r="14" spans="1:14" ht="12.75">
      <c r="A14" s="106" t="s">
        <v>585</v>
      </c>
      <c r="B14" s="105"/>
      <c r="C14" s="105"/>
      <c r="D14" s="105">
        <v>346000</v>
      </c>
      <c r="E14" s="105">
        <v>346000</v>
      </c>
      <c r="F14" s="105">
        <v>346000</v>
      </c>
      <c r="G14" s="105">
        <v>346000</v>
      </c>
      <c r="H14" s="821">
        <v>346000</v>
      </c>
      <c r="I14" s="105">
        <v>346000</v>
      </c>
      <c r="J14" s="105">
        <v>346000</v>
      </c>
      <c r="K14" s="105">
        <v>346000</v>
      </c>
      <c r="L14" s="105">
        <v>322000</v>
      </c>
      <c r="M14" s="105">
        <v>322000</v>
      </c>
      <c r="N14" s="105">
        <v>322000</v>
      </c>
    </row>
    <row r="15" spans="1:14" ht="12.75">
      <c r="A15" s="106" t="s">
        <v>586</v>
      </c>
      <c r="B15" s="105"/>
      <c r="C15" s="105"/>
      <c r="D15" s="105">
        <v>17100</v>
      </c>
      <c r="E15" s="105">
        <v>17000</v>
      </c>
      <c r="F15" s="105">
        <v>17000</v>
      </c>
      <c r="G15" s="105">
        <v>17000</v>
      </c>
      <c r="H15" s="821">
        <v>17000</v>
      </c>
      <c r="I15" s="105">
        <v>17000</v>
      </c>
      <c r="J15" s="105">
        <v>17000</v>
      </c>
      <c r="K15" s="105">
        <v>17000</v>
      </c>
      <c r="L15" s="105">
        <v>17000</v>
      </c>
      <c r="M15" s="105">
        <v>17000</v>
      </c>
      <c r="N15" s="105">
        <v>17000</v>
      </c>
    </row>
    <row r="16" spans="1:14" ht="12.75">
      <c r="A16" s="106" t="s">
        <v>587</v>
      </c>
      <c r="B16" s="105"/>
      <c r="C16" s="105"/>
      <c r="D16" s="105"/>
      <c r="E16" s="105"/>
      <c r="F16" s="105"/>
      <c r="G16" s="105"/>
      <c r="H16" s="821"/>
      <c r="I16" s="105"/>
      <c r="J16" s="105"/>
      <c r="K16" s="105"/>
      <c r="L16" s="105"/>
      <c r="M16" s="105"/>
      <c r="N16" s="105"/>
    </row>
    <row r="17" spans="1:14" ht="12.75">
      <c r="A17" s="106" t="s">
        <v>588</v>
      </c>
      <c r="B17" s="105"/>
      <c r="C17" s="105"/>
      <c r="D17" s="105">
        <f>6600+2997</f>
        <v>9597</v>
      </c>
      <c r="E17" s="105"/>
      <c r="F17" s="105"/>
      <c r="G17" s="105"/>
      <c r="H17" s="821"/>
      <c r="I17" s="105"/>
      <c r="J17" s="105"/>
      <c r="K17" s="105"/>
      <c r="L17" s="105"/>
      <c r="M17" s="105"/>
      <c r="N17" s="105"/>
    </row>
    <row r="18" spans="1:14" ht="12.75">
      <c r="A18" s="106" t="s">
        <v>589</v>
      </c>
      <c r="B18" s="105"/>
      <c r="C18" s="105"/>
      <c r="D18" s="58">
        <f>7000+855+13000</f>
        <v>20855</v>
      </c>
      <c r="E18" s="105">
        <v>25000</v>
      </c>
      <c r="F18" s="105">
        <v>25000</v>
      </c>
      <c r="G18" s="105">
        <v>25000</v>
      </c>
      <c r="H18" s="821">
        <v>25000</v>
      </c>
      <c r="I18" s="105">
        <v>25000</v>
      </c>
      <c r="J18" s="105">
        <v>25000</v>
      </c>
      <c r="K18" s="105">
        <v>25000</v>
      </c>
      <c r="L18" s="105">
        <v>25000</v>
      </c>
      <c r="M18" s="105">
        <v>25000</v>
      </c>
      <c r="N18" s="105">
        <v>25000</v>
      </c>
    </row>
    <row r="19" spans="1:14" ht="12.75">
      <c r="A19" s="106" t="s">
        <v>590</v>
      </c>
      <c r="B19" s="105"/>
      <c r="C19" s="105"/>
      <c r="D19" s="105"/>
      <c r="E19" s="105"/>
      <c r="F19" s="105"/>
      <c r="G19" s="105"/>
      <c r="H19" s="821"/>
      <c r="I19" s="105"/>
      <c r="J19" s="105"/>
      <c r="K19" s="105"/>
      <c r="L19" s="105"/>
      <c r="M19" s="105"/>
      <c r="N19" s="105"/>
    </row>
    <row r="20" spans="1:14" ht="12.75">
      <c r="A20" s="106" t="s">
        <v>21</v>
      </c>
      <c r="B20" s="105"/>
      <c r="C20" s="105"/>
      <c r="D20" s="105">
        <f>SUM(D14:D19)</f>
        <v>393552</v>
      </c>
      <c r="E20" s="105">
        <f aca="true" t="shared" si="4" ref="E20:N20">SUM(E14:E19)</f>
        <v>388000</v>
      </c>
      <c r="F20" s="105">
        <f t="shared" si="4"/>
        <v>388000</v>
      </c>
      <c r="G20" s="105">
        <f t="shared" si="4"/>
        <v>388000</v>
      </c>
      <c r="H20" s="821">
        <f t="shared" si="4"/>
        <v>388000</v>
      </c>
      <c r="I20" s="105">
        <f t="shared" si="4"/>
        <v>388000</v>
      </c>
      <c r="J20" s="105">
        <f t="shared" si="4"/>
        <v>388000</v>
      </c>
      <c r="K20" s="105">
        <f t="shared" si="4"/>
        <v>388000</v>
      </c>
      <c r="L20" s="105">
        <f t="shared" si="4"/>
        <v>364000</v>
      </c>
      <c r="M20" s="105">
        <f t="shared" si="4"/>
        <v>364000</v>
      </c>
      <c r="N20" s="105">
        <f t="shared" si="4"/>
        <v>364000</v>
      </c>
    </row>
    <row r="21" spans="1:14" ht="12.75">
      <c r="A21" s="106" t="s">
        <v>591</v>
      </c>
      <c r="B21" s="105"/>
      <c r="C21" s="105"/>
      <c r="D21" s="106">
        <f>D20/2</f>
        <v>196776</v>
      </c>
      <c r="E21" s="106">
        <f aca="true" t="shared" si="5" ref="E21:N21">E20/2</f>
        <v>194000</v>
      </c>
      <c r="F21" s="106">
        <f t="shared" si="5"/>
        <v>194000</v>
      </c>
      <c r="G21" s="106">
        <f t="shared" si="5"/>
        <v>194000</v>
      </c>
      <c r="H21" s="846">
        <f t="shared" si="5"/>
        <v>194000</v>
      </c>
      <c r="I21" s="106">
        <f t="shared" si="5"/>
        <v>194000</v>
      </c>
      <c r="J21" s="106">
        <f t="shared" si="5"/>
        <v>194000</v>
      </c>
      <c r="K21" s="106">
        <f t="shared" si="5"/>
        <v>194000</v>
      </c>
      <c r="L21" s="106">
        <f t="shared" si="5"/>
        <v>182000</v>
      </c>
      <c r="M21" s="106">
        <f t="shared" si="5"/>
        <v>182000</v>
      </c>
      <c r="N21" s="106">
        <f t="shared" si="5"/>
        <v>182000</v>
      </c>
    </row>
    <row r="22" spans="1:14" ht="12.75">
      <c r="A22" s="834" t="s">
        <v>592</v>
      </c>
      <c r="B22" s="849"/>
      <c r="C22" s="849"/>
      <c r="D22" s="835">
        <f aca="true" t="shared" si="6" ref="D22:M22">D21-D12-D11</f>
        <v>173150.47999999998</v>
      </c>
      <c r="E22" s="835">
        <f t="shared" si="6"/>
        <v>147092.124</v>
      </c>
      <c r="F22" s="835">
        <f t="shared" si="6"/>
        <v>124516.288</v>
      </c>
      <c r="G22" s="835">
        <f t="shared" si="6"/>
        <v>105511.45200000002</v>
      </c>
      <c r="H22" s="845">
        <f t="shared" si="6"/>
        <v>110617.61600000001</v>
      </c>
      <c r="I22" s="835">
        <f t="shared" si="6"/>
        <v>115722.78</v>
      </c>
      <c r="J22" s="835">
        <f t="shared" si="6"/>
        <v>120828.94400000002</v>
      </c>
      <c r="K22" s="835">
        <f t="shared" si="6"/>
        <v>125934.10800000001</v>
      </c>
      <c r="L22" s="835">
        <f t="shared" si="6"/>
        <v>118868.44000000002</v>
      </c>
      <c r="M22" s="835">
        <f t="shared" si="6"/>
        <v>123984.572</v>
      </c>
      <c r="N22" s="834" t="e">
        <f>N21-#REF!</f>
        <v>#REF!</v>
      </c>
    </row>
    <row r="24" ht="12.75">
      <c r="D24" s="59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&amp;R..........................rendelet a város 2014 évi költégvetéséről
</oddHeader>
    <oddFooter>&amp;C&amp;D&amp;R&amp;P.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P62"/>
  <sheetViews>
    <sheetView workbookViewId="0" topLeftCell="A26">
      <selection activeCell="F71" activeCellId="2" sqref="C65 C71 F71"/>
    </sheetView>
  </sheetViews>
  <sheetFormatPr defaultColWidth="10.8515625" defaultRowHeight="12.75"/>
  <cols>
    <col min="1" max="1" width="11.57421875" style="0" customWidth="1"/>
    <col min="2" max="2" width="13.28125" style="0" customWidth="1"/>
    <col min="3" max="3" width="26.140625" style="0" customWidth="1"/>
    <col min="4" max="4" width="11.57421875" style="0" customWidth="1"/>
    <col min="5" max="5" width="7.8515625" style="0" hidden="1" customWidth="1"/>
    <col min="6" max="6" width="18.28125" style="117" customWidth="1"/>
    <col min="7" max="8" width="10.8515625" style="0" hidden="1" customWidth="1"/>
    <col min="9" max="9" width="5.140625" style="0" hidden="1" customWidth="1"/>
    <col min="10" max="10" width="9.28125" style="259" hidden="1" customWidth="1"/>
    <col min="11" max="11" width="10.8515625" style="0" hidden="1" customWidth="1"/>
    <col min="12" max="12" width="3.57421875" style="0" hidden="1" customWidth="1"/>
    <col min="13" max="13" width="10.8515625" style="0" hidden="1" customWidth="1"/>
    <col min="14" max="14" width="9.00390625" style="0" hidden="1" customWidth="1"/>
    <col min="15" max="15" width="10.8515625" style="0" hidden="1" customWidth="1"/>
    <col min="16" max="16" width="4.140625" style="0" hidden="1" customWidth="1"/>
    <col min="17" max="22" width="10.8515625" style="0" hidden="1" customWidth="1"/>
    <col min="23" max="33" width="0" style="0" hidden="1" customWidth="1"/>
    <col min="34" max="34" width="0" style="59" hidden="1" customWidth="1"/>
    <col min="35" max="41" width="0" style="0" hidden="1" customWidth="1"/>
  </cols>
  <sheetData>
    <row r="1" spans="1:6" ht="15">
      <c r="A1" s="15" t="s">
        <v>4</v>
      </c>
      <c r="B1" s="15"/>
      <c r="C1" s="258"/>
      <c r="D1" s="64"/>
      <c r="E1" s="64"/>
      <c r="F1" s="335" t="s">
        <v>278</v>
      </c>
    </row>
    <row r="2" spans="1:5" ht="15">
      <c r="A2" s="15"/>
      <c r="B2" s="258" t="s">
        <v>367</v>
      </c>
      <c r="C2" s="64"/>
      <c r="D2" s="64"/>
      <c r="E2" s="64"/>
    </row>
    <row r="3" spans="1:6" ht="16.5" thickBot="1">
      <c r="A3" s="260"/>
      <c r="B3" s="825" t="s">
        <v>544</v>
      </c>
      <c r="C3" s="260"/>
      <c r="D3" s="261"/>
      <c r="E3" s="261"/>
      <c r="F3" s="513"/>
    </row>
    <row r="4" spans="1:42" ht="13.5" thickBot="1">
      <c r="A4" s="262"/>
      <c r="B4" s="263"/>
      <c r="C4" s="264" t="s">
        <v>279</v>
      </c>
      <c r="D4" s="264"/>
      <c r="E4" s="92"/>
      <c r="F4" s="590">
        <v>2014</v>
      </c>
      <c r="AH4" s="59" t="s">
        <v>338</v>
      </c>
      <c r="AI4" t="s">
        <v>182</v>
      </c>
      <c r="AP4" s="590">
        <v>2013</v>
      </c>
    </row>
    <row r="5" spans="1:42" ht="16.5" thickBot="1">
      <c r="A5" s="265" t="s">
        <v>280</v>
      </c>
      <c r="B5" s="266"/>
      <c r="C5" s="266"/>
      <c r="D5" s="267"/>
      <c r="E5" s="268" t="s">
        <v>281</v>
      </c>
      <c r="F5" s="591" t="s">
        <v>282</v>
      </c>
      <c r="AH5" s="59" t="s">
        <v>282</v>
      </c>
      <c r="AK5" t="s">
        <v>339</v>
      </c>
      <c r="AP5" s="591" t="s">
        <v>282</v>
      </c>
    </row>
    <row r="6" spans="1:42" ht="15" thickBot="1">
      <c r="A6" s="269" t="s">
        <v>283</v>
      </c>
      <c r="B6" s="270"/>
      <c r="C6" s="270"/>
      <c r="D6" s="270"/>
      <c r="E6" s="271"/>
      <c r="F6" s="592">
        <f>mérleg!F6</f>
        <v>185204</v>
      </c>
      <c r="I6">
        <v>108637</v>
      </c>
      <c r="J6" s="259">
        <f>F6-I6</f>
        <v>76567</v>
      </c>
      <c r="K6" t="s">
        <v>284</v>
      </c>
      <c r="L6">
        <f>F6/I6</f>
        <v>1.7047967083038007</v>
      </c>
      <c r="AH6" s="59">
        <v>174734</v>
      </c>
      <c r="AI6" s="59">
        <f>F6-AH6</f>
        <v>10470</v>
      </c>
      <c r="AK6">
        <v>146533</v>
      </c>
      <c r="AL6" s="59">
        <f>F6-104257</f>
        <v>80947</v>
      </c>
      <c r="AP6" s="592">
        <v>167998</v>
      </c>
    </row>
    <row r="7" spans="1:42" ht="15" thickBot="1">
      <c r="A7" s="272" t="s">
        <v>285</v>
      </c>
      <c r="B7" s="273"/>
      <c r="C7" s="273"/>
      <c r="D7" s="273"/>
      <c r="E7" s="274"/>
      <c r="F7" s="592">
        <f>mérleg!F7</f>
        <v>403100</v>
      </c>
      <c r="I7">
        <v>304828</v>
      </c>
      <c r="J7" s="259">
        <f>F7-I7</f>
        <v>98272</v>
      </c>
      <c r="K7" t="s">
        <v>286</v>
      </c>
      <c r="L7">
        <f>F7/I7</f>
        <v>1.3223850827351817</v>
      </c>
      <c r="AH7" s="59">
        <v>643222.37</v>
      </c>
      <c r="AI7" s="59">
        <f>F7-AH7</f>
        <v>-240122.37</v>
      </c>
      <c r="AK7">
        <v>660592</v>
      </c>
      <c r="AL7" s="59">
        <f>F7-369539</f>
        <v>33561</v>
      </c>
      <c r="AP7" s="593">
        <v>382539</v>
      </c>
    </row>
    <row r="8" spans="1:42" ht="15" thickBot="1">
      <c r="A8" s="275" t="s">
        <v>287</v>
      </c>
      <c r="B8" s="276"/>
      <c r="C8" s="276"/>
      <c r="D8" s="276"/>
      <c r="E8" s="277"/>
      <c r="F8" s="592">
        <f>mérleg!F8</f>
        <v>678422.9456666666</v>
      </c>
      <c r="J8" s="259">
        <f>F8-I8</f>
        <v>678422.9456666666</v>
      </c>
      <c r="L8" t="e">
        <f>F8/I8</f>
        <v>#DIV/0!</v>
      </c>
      <c r="AL8" s="59">
        <f>F8-539678</f>
        <v>138744.9456666666</v>
      </c>
      <c r="AP8" s="594">
        <v>547578.029645</v>
      </c>
    </row>
    <row r="9" spans="1:42" ht="15" thickBot="1">
      <c r="A9" s="269" t="s">
        <v>288</v>
      </c>
      <c r="B9" s="270"/>
      <c r="C9" s="270"/>
      <c r="D9" s="270"/>
      <c r="E9" s="271"/>
      <c r="F9" s="592">
        <f>mérleg!F9</f>
        <v>0</v>
      </c>
      <c r="I9">
        <v>801994</v>
      </c>
      <c r="J9" s="259">
        <f>F9-I9</f>
        <v>-801994</v>
      </c>
      <c r="L9">
        <f>F9/I9</f>
        <v>0</v>
      </c>
      <c r="AH9" s="59">
        <v>491822.878</v>
      </c>
      <c r="AI9" s="59">
        <f>F8-AH9</f>
        <v>186600.06766666658</v>
      </c>
      <c r="AP9" s="595"/>
    </row>
    <row r="10" spans="1:42" ht="15" thickBot="1">
      <c r="A10" s="269" t="s">
        <v>289</v>
      </c>
      <c r="B10" s="270"/>
      <c r="C10" s="270"/>
      <c r="D10" s="270"/>
      <c r="E10" s="271"/>
      <c r="F10" s="592">
        <f>mérleg!F10</f>
        <v>305080</v>
      </c>
      <c r="I10">
        <v>336649</v>
      </c>
      <c r="J10" s="259">
        <f>F10-I10</f>
        <v>-31569</v>
      </c>
      <c r="L10">
        <f>F10/I10</f>
        <v>0.906225772243494</v>
      </c>
      <c r="AH10" s="59">
        <v>323579.5</v>
      </c>
      <c r="AI10" s="59">
        <f>F10-AH10</f>
        <v>-18499.5</v>
      </c>
      <c r="AK10">
        <v>312621</v>
      </c>
      <c r="AL10" s="59">
        <f>F10-276696</f>
        <v>28384</v>
      </c>
      <c r="AP10" s="596">
        <v>307380.3961</v>
      </c>
    </row>
    <row r="11" spans="1:42" ht="15" thickBot="1">
      <c r="A11" s="269" t="s">
        <v>290</v>
      </c>
      <c r="B11" s="270"/>
      <c r="C11" s="270"/>
      <c r="D11" s="270"/>
      <c r="E11" s="271"/>
      <c r="F11" s="592">
        <f>mérleg!F11</f>
        <v>0</v>
      </c>
      <c r="AH11" s="59">
        <v>0</v>
      </c>
      <c r="AL11" s="59">
        <f>F11</f>
        <v>0</v>
      </c>
      <c r="AP11" s="595">
        <v>10000</v>
      </c>
    </row>
    <row r="12" spans="1:42" ht="15" thickBot="1">
      <c r="A12" s="269" t="s">
        <v>291</v>
      </c>
      <c r="B12" s="270"/>
      <c r="C12" s="270"/>
      <c r="D12" s="270"/>
      <c r="E12" s="271"/>
      <c r="F12" s="592">
        <f>mérleg!F12</f>
        <v>0</v>
      </c>
      <c r="AH12" s="59">
        <v>0</v>
      </c>
      <c r="AP12" s="596"/>
    </row>
    <row r="13" spans="1:42" ht="15" thickBot="1">
      <c r="A13" s="269" t="s">
        <v>292</v>
      </c>
      <c r="B13" s="270"/>
      <c r="C13" s="270"/>
      <c r="D13" s="270"/>
      <c r="E13" s="271"/>
      <c r="F13" s="592">
        <f>mérleg!F13</f>
        <v>0</v>
      </c>
      <c r="AP13" s="595"/>
    </row>
    <row r="14" spans="1:42" ht="15" thickBot="1">
      <c r="A14" s="269" t="s">
        <v>293</v>
      </c>
      <c r="B14" s="270"/>
      <c r="C14" s="270"/>
      <c r="D14" s="270"/>
      <c r="E14" s="271"/>
      <c r="F14" s="592">
        <f>mérleg!F14</f>
        <v>19864</v>
      </c>
      <c r="I14">
        <v>17038</v>
      </c>
      <c r="J14" s="259">
        <f>F14-I14</f>
        <v>2826</v>
      </c>
      <c r="K14" t="s">
        <v>294</v>
      </c>
      <c r="L14">
        <f>F14/I14</f>
        <v>1.1658645380913253</v>
      </c>
      <c r="AH14" s="59">
        <v>22227</v>
      </c>
      <c r="AI14" s="59">
        <f>F14-AH14</f>
        <v>-2363</v>
      </c>
      <c r="AP14" s="595">
        <v>19067</v>
      </c>
    </row>
    <row r="15" spans="1:42" ht="15.75" thickBot="1">
      <c r="A15" s="278" t="s">
        <v>295</v>
      </c>
      <c r="B15" s="279"/>
      <c r="C15" s="279"/>
      <c r="D15" s="279"/>
      <c r="E15" s="280"/>
      <c r="F15" s="597">
        <f>SUM(F6:F14)</f>
        <v>1591670.9456666666</v>
      </c>
      <c r="G15" s="59"/>
      <c r="I15" s="281">
        <f>SUM(I6:I14)</f>
        <v>1569146</v>
      </c>
      <c r="J15" s="259">
        <f>F15/I15</f>
        <v>1.0143549074889568</v>
      </c>
      <c r="L15">
        <f>F15/I15</f>
        <v>1.0143549074889568</v>
      </c>
      <c r="AH15" s="59">
        <v>1655585.7480000001</v>
      </c>
      <c r="AI15" s="59">
        <f>F15-AH15</f>
        <v>-63914.80233333353</v>
      </c>
      <c r="AL15" s="59">
        <f>1309237-F15</f>
        <v>-282433.9456666666</v>
      </c>
      <c r="AM15" s="59">
        <f>67073+AL15</f>
        <v>-215360.9456666666</v>
      </c>
      <c r="AP15" s="597">
        <v>1434562.4257450001</v>
      </c>
    </row>
    <row r="16" spans="1:42" ht="13.5" hidden="1" thickBot="1">
      <c r="A16" s="282"/>
      <c r="B16" s="92"/>
      <c r="C16" s="92"/>
      <c r="D16" s="92"/>
      <c r="E16" s="283"/>
      <c r="F16" s="598"/>
      <c r="AH16" s="59">
        <v>487</v>
      </c>
      <c r="AP16" s="598"/>
    </row>
    <row r="17" spans="1:42" ht="13.5" hidden="1" thickBot="1">
      <c r="A17" s="284"/>
      <c r="D17" s="285"/>
      <c r="E17" s="95"/>
      <c r="F17" s="599"/>
      <c r="AH17" s="59">
        <v>728</v>
      </c>
      <c r="AP17" s="599"/>
    </row>
    <row r="18" spans="1:42" ht="16.5" thickBot="1">
      <c r="A18" s="286"/>
      <c r="B18" s="287" t="s">
        <v>296</v>
      </c>
      <c r="C18" s="287"/>
      <c r="D18" s="264"/>
      <c r="E18" s="280"/>
      <c r="F18" s="600" t="s">
        <v>297</v>
      </c>
      <c r="AH18" s="59" t="s">
        <v>297</v>
      </c>
      <c r="AP18" s="600" t="s">
        <v>297</v>
      </c>
    </row>
    <row r="19" spans="1:42" ht="15" thickBot="1">
      <c r="A19" s="269" t="s">
        <v>298</v>
      </c>
      <c r="B19" s="270"/>
      <c r="C19" s="270"/>
      <c r="D19" s="270"/>
      <c r="E19" s="288"/>
      <c r="F19" s="592">
        <f>mérleg!F19</f>
        <v>450462</v>
      </c>
      <c r="G19" s="59">
        <f>F19-'[1]MŰKÖDÉSI'!E31</f>
        <v>-311612</v>
      </c>
      <c r="I19">
        <v>747329</v>
      </c>
      <c r="J19" s="259">
        <f>F19-I19</f>
        <v>-296867</v>
      </c>
      <c r="K19" t="s">
        <v>299</v>
      </c>
      <c r="L19">
        <f>F19/I19</f>
        <v>0.6027626386772091</v>
      </c>
      <c r="AH19" s="59">
        <v>768624</v>
      </c>
      <c r="AI19" s="59">
        <f>F19-AH19</f>
        <v>-318162</v>
      </c>
      <c r="AP19" s="592">
        <v>568213</v>
      </c>
    </row>
    <row r="20" spans="1:42" ht="15" thickBot="1">
      <c r="A20" s="269" t="s">
        <v>300</v>
      </c>
      <c r="B20" s="270"/>
      <c r="C20" s="270"/>
      <c r="D20" s="270"/>
      <c r="E20" s="288"/>
      <c r="F20" s="592">
        <f>mérleg!F20</f>
        <v>115443</v>
      </c>
      <c r="G20" s="59">
        <f>'[1]MŰKÖDÉSI'!H31</f>
        <v>223346.14</v>
      </c>
      <c r="I20">
        <v>230249</v>
      </c>
      <c r="J20" s="259">
        <f>F20-I20</f>
        <v>-114806</v>
      </c>
      <c r="AH20" s="59">
        <v>187537</v>
      </c>
      <c r="AI20" s="59">
        <f>F20-AH20</f>
        <v>-72094</v>
      </c>
      <c r="AP20" s="595">
        <v>151186</v>
      </c>
    </row>
    <row r="21" spans="1:42" ht="15" thickBot="1">
      <c r="A21" s="269" t="s">
        <v>301</v>
      </c>
      <c r="B21" s="270"/>
      <c r="C21" s="270"/>
      <c r="D21" s="270"/>
      <c r="E21" s="288"/>
      <c r="F21" s="592">
        <f>mérleg!F21</f>
        <v>544653</v>
      </c>
      <c r="G21" s="59">
        <f>'[1]MŰKÖDÉSI'!K31</f>
        <v>631123.24</v>
      </c>
      <c r="H21" s="59">
        <f>G21-F21</f>
        <v>86470.23999999999</v>
      </c>
      <c r="I21" s="59">
        <v>445868</v>
      </c>
      <c r="J21" s="259">
        <f>F21-I21</f>
        <v>98785</v>
      </c>
      <c r="K21" t="s">
        <v>302</v>
      </c>
      <c r="L21">
        <f>F21/I21</f>
        <v>1.2215566041967578</v>
      </c>
      <c r="AH21" s="59">
        <v>550051</v>
      </c>
      <c r="AI21" s="59">
        <f>F21-AH21</f>
        <v>-5398</v>
      </c>
      <c r="AP21" s="595">
        <v>541729.99</v>
      </c>
    </row>
    <row r="22" spans="1:42" ht="15" thickBot="1">
      <c r="A22" s="269" t="s">
        <v>303</v>
      </c>
      <c r="B22" s="270"/>
      <c r="C22" s="270"/>
      <c r="D22" s="270"/>
      <c r="E22" s="289"/>
      <c r="F22" s="592">
        <f>mérleg!F22</f>
        <v>408592</v>
      </c>
      <c r="G22" s="59">
        <f>F22-'[1]teljes kiadás'!F30</f>
        <v>312616</v>
      </c>
      <c r="H22" s="59">
        <f>H21-5548</f>
        <v>80922.23999999999</v>
      </c>
      <c r="I22">
        <v>104715</v>
      </c>
      <c r="J22" s="259">
        <f>F22-I22</f>
        <v>303877</v>
      </c>
      <c r="K22" t="s">
        <v>304</v>
      </c>
      <c r="L22">
        <f>F22/I22</f>
        <v>3.9019433700997945</v>
      </c>
      <c r="AH22" s="59">
        <v>119304</v>
      </c>
      <c r="AI22" s="59">
        <f>F22-AH22</f>
        <v>289288</v>
      </c>
      <c r="AP22" s="596">
        <v>103767.5</v>
      </c>
    </row>
    <row r="23" spans="1:42" ht="14.25" customHeight="1" thickBot="1">
      <c r="A23" s="269" t="s">
        <v>305</v>
      </c>
      <c r="B23" s="270"/>
      <c r="C23" s="270"/>
      <c r="D23" s="270"/>
      <c r="E23" s="290"/>
      <c r="F23" s="592">
        <f>mérleg!F23</f>
        <v>0</v>
      </c>
      <c r="AP23" s="595"/>
    </row>
    <row r="24" spans="1:42" ht="15" thickBot="1">
      <c r="A24" s="269" t="s">
        <v>306</v>
      </c>
      <c r="B24" s="270"/>
      <c r="C24" s="270"/>
      <c r="D24" s="270"/>
      <c r="E24" s="289"/>
      <c r="F24" s="592">
        <f>mérleg!F24</f>
        <v>0</v>
      </c>
      <c r="AP24" s="596"/>
    </row>
    <row r="25" spans="1:42" ht="15" thickBot="1">
      <c r="A25" s="269" t="s">
        <v>307</v>
      </c>
      <c r="B25" s="270"/>
      <c r="C25" s="270"/>
      <c r="D25" s="270"/>
      <c r="E25" s="288"/>
      <c r="F25" s="592">
        <f>mérleg!F25</f>
        <v>0</v>
      </c>
      <c r="AP25" s="595"/>
    </row>
    <row r="26" spans="1:42" ht="17.25" customHeight="1" thickBot="1">
      <c r="A26" s="269" t="s">
        <v>308</v>
      </c>
      <c r="B26" s="270"/>
      <c r="C26" s="270"/>
      <c r="D26" s="270"/>
      <c r="E26" s="290"/>
      <c r="F26" s="592">
        <f>mérleg!F26</f>
        <v>0</v>
      </c>
      <c r="AH26" s="59">
        <v>0</v>
      </c>
      <c r="AP26" s="595"/>
    </row>
    <row r="27" spans="1:42" ht="15" thickBot="1">
      <c r="A27" s="269" t="s">
        <v>309</v>
      </c>
      <c r="B27" s="270"/>
      <c r="C27" s="270"/>
      <c r="D27" s="270"/>
      <c r="E27" s="288"/>
      <c r="F27" s="592">
        <f>mérleg!F27</f>
        <v>0</v>
      </c>
      <c r="AP27" s="595"/>
    </row>
    <row r="28" spans="1:42" ht="15" thickBot="1">
      <c r="A28" s="269" t="s">
        <v>310</v>
      </c>
      <c r="B28" s="270"/>
      <c r="C28" s="270"/>
      <c r="D28" s="270"/>
      <c r="E28" s="288"/>
      <c r="F28" s="592">
        <f>mérleg!F28</f>
        <v>23344</v>
      </c>
      <c r="I28">
        <v>43085</v>
      </c>
      <c r="J28" s="259">
        <f>F28-I28</f>
        <v>-19741</v>
      </c>
      <c r="K28" t="s">
        <v>311</v>
      </c>
      <c r="L28">
        <f>F28/I28</f>
        <v>0.5418126958338169</v>
      </c>
      <c r="AH28" s="59">
        <v>30070</v>
      </c>
      <c r="AI28" s="59">
        <f>F28-AH28</f>
        <v>-6726</v>
      </c>
      <c r="AP28" s="595">
        <v>35666</v>
      </c>
    </row>
    <row r="29" spans="1:42" ht="15.75" thickBot="1">
      <c r="A29" s="278" t="s">
        <v>312</v>
      </c>
      <c r="B29" s="291"/>
      <c r="C29" s="291"/>
      <c r="D29" s="291"/>
      <c r="E29" s="292"/>
      <c r="F29" s="597">
        <f>SUM(F19:F28)</f>
        <v>1542494</v>
      </c>
      <c r="G29" s="59"/>
      <c r="I29" s="281">
        <f>SUM(I19:I28)</f>
        <v>1571246</v>
      </c>
      <c r="J29" s="259">
        <f>F29/I29</f>
        <v>0.9817011467332295</v>
      </c>
      <c r="L29">
        <f>F29/I29</f>
        <v>0.9817011467332295</v>
      </c>
      <c r="AH29" s="59">
        <v>1655586</v>
      </c>
      <c r="AI29" s="59">
        <f>F29-AH29</f>
        <v>-113092</v>
      </c>
      <c r="AL29" s="59">
        <f>F29-1387461</f>
        <v>155033</v>
      </c>
      <c r="AM29" s="59">
        <f>AL29+4381</f>
        <v>159414</v>
      </c>
      <c r="AP29" s="597">
        <v>1400562.49</v>
      </c>
    </row>
    <row r="30" spans="1:42" ht="15.75" thickBot="1">
      <c r="A30" s="419" t="s">
        <v>313</v>
      </c>
      <c r="B30" s="425"/>
      <c r="C30" s="425"/>
      <c r="D30" s="425"/>
      <c r="E30" s="425"/>
      <c r="F30" s="601">
        <f>F15-F29</f>
        <v>49176.94566666661</v>
      </c>
      <c r="AH30" s="59">
        <v>487</v>
      </c>
      <c r="AL30" s="348"/>
      <c r="AM30" s="349"/>
      <c r="AP30" s="601">
        <v>33999.93574500014</v>
      </c>
    </row>
    <row r="31" spans="1:42" ht="16.5" thickBot="1">
      <c r="A31" s="262"/>
      <c r="B31" s="293"/>
      <c r="C31" s="294" t="s">
        <v>314</v>
      </c>
      <c r="D31" s="295"/>
      <c r="E31" s="296"/>
      <c r="F31" s="602" t="s">
        <v>297</v>
      </c>
      <c r="AH31" s="59" t="s">
        <v>297</v>
      </c>
      <c r="AL31" s="350"/>
      <c r="AM31" s="351"/>
      <c r="AP31" s="602" t="s">
        <v>297</v>
      </c>
    </row>
    <row r="32" spans="1:42" ht="15" thickBot="1">
      <c r="A32" s="297" t="s">
        <v>315</v>
      </c>
      <c r="B32" s="298"/>
      <c r="C32" s="298"/>
      <c r="D32" s="298"/>
      <c r="E32" s="299"/>
      <c r="F32" s="592">
        <f>mérleg!F32</f>
        <v>9263</v>
      </c>
      <c r="AH32" s="59">
        <v>39825</v>
      </c>
      <c r="AI32" s="59">
        <f>F32-AH32</f>
        <v>-30562</v>
      </c>
      <c r="AJ32">
        <v>20147</v>
      </c>
      <c r="AL32" s="350"/>
      <c r="AM32" s="351"/>
      <c r="AP32" s="603">
        <v>32950</v>
      </c>
    </row>
    <row r="33" spans="1:42" ht="15" thickBot="1">
      <c r="A33" s="269" t="s">
        <v>316</v>
      </c>
      <c r="B33" s="270"/>
      <c r="C33" s="270"/>
      <c r="D33" s="270"/>
      <c r="E33" s="300"/>
      <c r="F33" s="592">
        <f>mérleg!F33</f>
        <v>918123</v>
      </c>
      <c r="AJ33">
        <v>7258</v>
      </c>
      <c r="AL33" s="352"/>
      <c r="AM33" s="353"/>
      <c r="AP33" s="604">
        <v>0</v>
      </c>
    </row>
    <row r="34" spans="1:42" ht="15" thickBot="1">
      <c r="A34" s="269" t="s">
        <v>317</v>
      </c>
      <c r="B34" s="270"/>
      <c r="C34" s="270"/>
      <c r="D34" s="270"/>
      <c r="E34" s="300"/>
      <c r="F34" s="592">
        <f>mérleg!F34</f>
        <v>12747</v>
      </c>
      <c r="G34" s="59"/>
      <c r="AH34" s="59">
        <v>659363</v>
      </c>
      <c r="AP34" s="604">
        <v>222598</v>
      </c>
    </row>
    <row r="35" spans="1:42" ht="15" thickBot="1">
      <c r="A35" s="269" t="s">
        <v>318</v>
      </c>
      <c r="B35" s="270"/>
      <c r="C35" s="270"/>
      <c r="D35" s="270"/>
      <c r="E35" s="300"/>
      <c r="F35" s="592">
        <f>mérleg!F35</f>
        <v>0</v>
      </c>
      <c r="AH35" s="59">
        <v>0</v>
      </c>
      <c r="AP35" s="676"/>
    </row>
    <row r="36" spans="1:42" ht="15" thickBot="1">
      <c r="A36" s="269" t="s">
        <v>341</v>
      </c>
      <c r="B36" s="270"/>
      <c r="C36" s="270"/>
      <c r="D36" s="270"/>
      <c r="E36" s="300"/>
      <c r="F36" s="592">
        <f>mérleg!F36</f>
        <v>6600</v>
      </c>
      <c r="AH36" s="59">
        <v>0</v>
      </c>
      <c r="AP36" s="604">
        <v>14532</v>
      </c>
    </row>
    <row r="37" spans="1:42" ht="15" thickBot="1">
      <c r="A37" s="269" t="s">
        <v>319</v>
      </c>
      <c r="B37" s="270"/>
      <c r="C37" s="270"/>
      <c r="D37" s="270"/>
      <c r="E37" s="300"/>
      <c r="F37" s="592">
        <f>mérleg!F37</f>
        <v>3100</v>
      </c>
      <c r="AH37" s="59">
        <v>5000</v>
      </c>
      <c r="AI37" s="59">
        <f>F37-AH37</f>
        <v>-1900</v>
      </c>
      <c r="AP37" s="604">
        <v>3100</v>
      </c>
    </row>
    <row r="38" spans="1:42" ht="15" thickBot="1">
      <c r="A38" s="269" t="s">
        <v>320</v>
      </c>
      <c r="B38" s="270"/>
      <c r="C38" s="270"/>
      <c r="D38" s="270"/>
      <c r="E38" s="300"/>
      <c r="F38" s="592">
        <f>mérleg!F38</f>
        <v>57194</v>
      </c>
      <c r="AH38" s="59">
        <v>265230</v>
      </c>
      <c r="AI38" s="59">
        <f>F38-AH38</f>
        <v>-208036</v>
      </c>
      <c r="AP38" s="604">
        <v>207440</v>
      </c>
    </row>
    <row r="39" spans="1:42" ht="15" thickBot="1">
      <c r="A39" s="269" t="s">
        <v>321</v>
      </c>
      <c r="B39" s="270"/>
      <c r="C39" s="270"/>
      <c r="D39" s="270"/>
      <c r="E39" s="300"/>
      <c r="F39" s="592">
        <f>mérleg!F39</f>
        <v>11250</v>
      </c>
      <c r="G39" s="59"/>
      <c r="U39" t="s">
        <v>322</v>
      </c>
      <c r="AH39" s="59">
        <v>20000</v>
      </c>
      <c r="AI39" s="59">
        <f>F39-AH39</f>
        <v>-8750</v>
      </c>
      <c r="AP39" s="604">
        <v>113329</v>
      </c>
    </row>
    <row r="40" spans="1:42" ht="13.5" thickBot="1">
      <c r="A40" s="301" t="s">
        <v>323</v>
      </c>
      <c r="B40" s="264"/>
      <c r="C40" s="264"/>
      <c r="D40" s="264"/>
      <c r="E40" s="264"/>
      <c r="F40" s="606">
        <f>SUM(F32:F39)</f>
        <v>1018277</v>
      </c>
      <c r="AH40" s="59">
        <v>989418</v>
      </c>
      <c r="AI40" s="59">
        <f>F40-AH40</f>
        <v>28859</v>
      </c>
      <c r="AK40" s="59"/>
      <c r="AP40" s="606">
        <v>593949</v>
      </c>
    </row>
    <row r="41" spans="1:42" ht="13.5" thickBot="1">
      <c r="A41" s="301" t="s">
        <v>324</v>
      </c>
      <c r="B41" s="264"/>
      <c r="C41" s="264"/>
      <c r="D41" s="264"/>
      <c r="E41" s="264"/>
      <c r="F41" s="607">
        <f>F40+F15</f>
        <v>2609947.9456666666</v>
      </c>
      <c r="G41" s="59">
        <f>F41-F55</f>
        <v>-0.054333333391696215</v>
      </c>
      <c r="I41" s="59">
        <f>F41-'[3]bevételi összesen'!$U$55</f>
        <v>-570714.6239999998</v>
      </c>
      <c r="M41" s="59">
        <f>F41-F39-F14-F38</f>
        <v>2521639.9456666666</v>
      </c>
      <c r="S41">
        <f>F29/F41</f>
        <v>0.5910056568603311</v>
      </c>
      <c r="U41" s="59"/>
      <c r="W41" s="59">
        <f>F41-F38-F39-F14</f>
        <v>2521639.9456666666</v>
      </c>
      <c r="AH41" s="59">
        <v>2645003.748</v>
      </c>
      <c r="AI41" s="59">
        <f>F41-AH41</f>
        <v>-35055.80233333353</v>
      </c>
      <c r="AP41" s="607">
        <v>2028511.4257450001</v>
      </c>
    </row>
    <row r="42" spans="1:42" ht="12.75">
      <c r="A42" s="16"/>
      <c r="B42" s="16"/>
      <c r="C42" s="16"/>
      <c r="D42" s="16"/>
      <c r="E42" s="16"/>
      <c r="F42" s="677">
        <f>'[4]bevételi összesen'!$S$55</f>
        <v>0</v>
      </c>
      <c r="AK42" s="59">
        <f>F42-F41</f>
        <v>-2609947.9456666666</v>
      </c>
      <c r="AL42" s="59"/>
      <c r="AP42" s="677"/>
    </row>
    <row r="43" spans="1:42" ht="13.5" thickBot="1">
      <c r="A43" s="16"/>
      <c r="B43" s="16"/>
      <c r="C43" s="16"/>
      <c r="D43" s="16"/>
      <c r="E43" s="16"/>
      <c r="F43" s="257"/>
      <c r="AP43" s="257"/>
    </row>
    <row r="44" spans="1:42" ht="16.5" thickBot="1">
      <c r="A44" s="302"/>
      <c r="B44" s="303" t="s">
        <v>325</v>
      </c>
      <c r="C44" s="283"/>
      <c r="D44" s="283"/>
      <c r="E44" s="304"/>
      <c r="F44" s="610" t="s">
        <v>297</v>
      </c>
      <c r="AH44" s="59" t="s">
        <v>297</v>
      </c>
      <c r="AP44" s="610" t="s">
        <v>297</v>
      </c>
    </row>
    <row r="45" spans="1:42" ht="15" thickBot="1">
      <c r="A45" s="297" t="s">
        <v>326</v>
      </c>
      <c r="B45" s="298"/>
      <c r="C45" s="298"/>
      <c r="D45" s="298"/>
      <c r="E45" s="305">
        <f>173014-28176-2152</f>
        <v>142686</v>
      </c>
      <c r="F45" s="592">
        <f>mérleg!F45</f>
        <v>986009</v>
      </c>
      <c r="AH45" s="59">
        <v>800357.5</v>
      </c>
      <c r="AI45" s="59">
        <f>F45-AH45</f>
        <v>185651.5</v>
      </c>
      <c r="AP45" s="678">
        <v>498043</v>
      </c>
    </row>
    <row r="46" spans="1:42" ht="15" thickBot="1">
      <c r="A46" s="269" t="s">
        <v>327</v>
      </c>
      <c r="B46" s="270"/>
      <c r="C46" s="270"/>
      <c r="D46" s="270"/>
      <c r="E46" s="306">
        <v>74070</v>
      </c>
      <c r="F46" s="592">
        <f>mérleg!F46</f>
        <v>20500</v>
      </c>
      <c r="G46" s="59"/>
      <c r="AH46" s="59">
        <v>144749</v>
      </c>
      <c r="AI46" s="59">
        <f>F46-AH46</f>
        <v>-124249</v>
      </c>
      <c r="AP46" s="679">
        <v>34851</v>
      </c>
    </row>
    <row r="47" spans="1:42" ht="15" thickBot="1">
      <c r="A47" s="269" t="s">
        <v>328</v>
      </c>
      <c r="B47" s="270"/>
      <c r="C47" s="270"/>
      <c r="D47" s="270"/>
      <c r="E47" s="307"/>
      <c r="F47" s="592">
        <f>mérleg!F47</f>
        <v>0</v>
      </c>
      <c r="AH47" s="59">
        <v>0</v>
      </c>
      <c r="AP47" s="679"/>
    </row>
    <row r="48" spans="1:42" ht="15" thickBot="1">
      <c r="A48" s="269" t="s">
        <v>329</v>
      </c>
      <c r="B48" s="270"/>
      <c r="C48" s="270"/>
      <c r="D48" s="270"/>
      <c r="E48" s="308">
        <v>28176</v>
      </c>
      <c r="F48" s="592">
        <f>mérleg!F48</f>
        <v>0</v>
      </c>
      <c r="G48" s="59"/>
      <c r="AH48" s="59">
        <v>0</v>
      </c>
      <c r="AP48" s="679">
        <v>0</v>
      </c>
    </row>
    <row r="49" spans="1:42" ht="15" thickBot="1">
      <c r="A49" s="269" t="s">
        <v>330</v>
      </c>
      <c r="B49" s="270"/>
      <c r="C49" s="270"/>
      <c r="D49" s="270"/>
      <c r="E49" s="306"/>
      <c r="F49" s="592">
        <f>mérleg!F49</f>
        <v>0</v>
      </c>
      <c r="G49" s="59"/>
      <c r="AH49" s="59">
        <v>0</v>
      </c>
      <c r="AP49" s="679">
        <v>0</v>
      </c>
    </row>
    <row r="50" spans="1:42" ht="15" thickBot="1">
      <c r="A50" s="269" t="s">
        <v>331</v>
      </c>
      <c r="B50" s="270"/>
      <c r="C50" s="270"/>
      <c r="D50" s="270"/>
      <c r="E50" s="307"/>
      <c r="F50" s="592">
        <f>mérleg!F50</f>
        <v>0</v>
      </c>
      <c r="G50" s="59"/>
      <c r="AH50" s="59">
        <v>11633</v>
      </c>
      <c r="AI50" s="59">
        <f>F50-AH50</f>
        <v>-11633</v>
      </c>
      <c r="AP50" s="679">
        <v>13525</v>
      </c>
    </row>
    <row r="51" spans="1:42" ht="15" thickBot="1">
      <c r="A51" s="269" t="s">
        <v>332</v>
      </c>
      <c r="B51" s="270"/>
      <c r="C51" s="270"/>
      <c r="D51" s="270"/>
      <c r="E51" s="308">
        <v>2152</v>
      </c>
      <c r="F51" s="592">
        <f>mérleg!F51</f>
        <v>0</v>
      </c>
      <c r="AH51" s="59">
        <v>0</v>
      </c>
      <c r="AP51" s="679">
        <v>0</v>
      </c>
    </row>
    <row r="52" spans="1:42" ht="15" thickBot="1">
      <c r="A52" s="269" t="s">
        <v>333</v>
      </c>
      <c r="B52" s="270"/>
      <c r="C52" s="270"/>
      <c r="D52" s="270"/>
      <c r="E52" s="308">
        <v>77640</v>
      </c>
      <c r="F52" s="592">
        <f>mérleg!F52</f>
        <v>60945</v>
      </c>
      <c r="AH52" s="59">
        <v>32678</v>
      </c>
      <c r="AI52" s="59">
        <f>F52-AH52</f>
        <v>28267</v>
      </c>
      <c r="AP52" s="680">
        <v>81530</v>
      </c>
    </row>
    <row r="53" spans="1:42" ht="15.75" thickBot="1">
      <c r="A53" s="278" t="s">
        <v>334</v>
      </c>
      <c r="B53" s="279"/>
      <c r="C53" s="279"/>
      <c r="D53" s="279"/>
      <c r="E53" s="309">
        <f>E45+E46+E47+E48+E50+E51+E49+E52</f>
        <v>324724</v>
      </c>
      <c r="F53" s="592">
        <f>mérleg!F53</f>
        <v>1067454</v>
      </c>
      <c r="G53" s="59"/>
      <c r="I53">
        <f>F53/F55</f>
        <v>0.4089943554430969</v>
      </c>
      <c r="AH53" s="59">
        <v>989417.5</v>
      </c>
      <c r="AI53" s="59">
        <f>F53-AH53</f>
        <v>78036.5</v>
      </c>
      <c r="AP53" s="681">
        <v>627949</v>
      </c>
    </row>
    <row r="54" spans="6:42" ht="15" thickBot="1">
      <c r="F54" s="592">
        <f>mérleg!F54</f>
        <v>0</v>
      </c>
      <c r="AP54" s="117"/>
    </row>
    <row r="55" spans="1:42" ht="15.75" thickBot="1">
      <c r="A55" s="278" t="s">
        <v>335</v>
      </c>
      <c r="B55" s="279"/>
      <c r="C55" s="279"/>
      <c r="D55" s="291"/>
      <c r="E55" s="310">
        <v>0</v>
      </c>
      <c r="F55" s="592">
        <f>mérleg!F55</f>
        <v>2609948</v>
      </c>
      <c r="G55" s="59">
        <f>F55-'[1]teljes kiadás'!K30</f>
        <v>-354278.17749999976</v>
      </c>
      <c r="I55" s="59">
        <f>F55-'[2]teljes kiadás'!K30</f>
        <v>-35055.5</v>
      </c>
      <c r="M55" s="59">
        <f>F55-F50</f>
        <v>2609948</v>
      </c>
      <c r="W55" s="59">
        <f>F55-'[2]teljes kiadás'!K30</f>
        <v>-35055.5</v>
      </c>
      <c r="X55" s="59">
        <f>F55-F50</f>
        <v>2609948</v>
      </c>
      <c r="Y55" s="59">
        <f>F55-F50</f>
        <v>2609948</v>
      </c>
      <c r="AH55" s="59">
        <v>2645003.5</v>
      </c>
      <c r="AI55" s="59">
        <f>F55-AH55</f>
        <v>-35055.5</v>
      </c>
      <c r="AN55" s="59">
        <f>F55-F50</f>
        <v>2609948</v>
      </c>
      <c r="AP55" s="615">
        <v>2028511.49</v>
      </c>
    </row>
    <row r="56" spans="1:42" ht="15.75" thickBot="1">
      <c r="A56" s="419" t="s">
        <v>336</v>
      </c>
      <c r="B56" s="420"/>
      <c r="C56" s="420"/>
      <c r="D56" s="420"/>
      <c r="E56" s="421"/>
      <c r="F56" s="592">
        <f>mérleg!F56</f>
        <v>-49177</v>
      </c>
      <c r="AH56" s="59">
        <v>0</v>
      </c>
      <c r="AP56" s="616">
        <v>-34000</v>
      </c>
    </row>
    <row r="57" spans="1:42" ht="13.5" thickBot="1">
      <c r="A57" s="16"/>
      <c r="B57" s="16"/>
      <c r="C57" s="16"/>
      <c r="D57" s="16"/>
      <c r="E57" s="16"/>
      <c r="F57" s="257"/>
      <c r="AH57"/>
      <c r="AP57" s="257"/>
    </row>
    <row r="58" spans="1:42" ht="15.75" thickBot="1">
      <c r="A58" s="422" t="s">
        <v>337</v>
      </c>
      <c r="B58" s="423"/>
      <c r="C58" s="423"/>
      <c r="D58" s="424"/>
      <c r="E58" s="424"/>
      <c r="F58" s="592">
        <f>mérleg!F58</f>
        <v>-0.054333333391696215</v>
      </c>
      <c r="AH58" s="59">
        <v>0</v>
      </c>
      <c r="AP58" s="617">
        <v>-0.06425499985925853</v>
      </c>
    </row>
    <row r="59" spans="1:34" ht="12.75">
      <c r="A59" s="16"/>
      <c r="B59" s="16"/>
      <c r="C59" s="16"/>
      <c r="D59" s="16"/>
      <c r="E59" s="16"/>
      <c r="F59" s="257"/>
      <c r="AH59"/>
    </row>
    <row r="60" ht="12.75">
      <c r="AH60"/>
    </row>
    <row r="61" ht="12.75">
      <c r="AH61"/>
    </row>
    <row r="62" spans="1:34" ht="15.75">
      <c r="A62" s="100"/>
      <c r="AH62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&amp;R..........................rendelet a város 2014 évi költégvetéséről
</oddHeader>
    <oddFooter>&amp;C&amp;D&amp;R&amp;P. oldal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3">
      <selection activeCell="F71" activeCellId="2" sqref="C65 C71 F71"/>
    </sheetView>
  </sheetViews>
  <sheetFormatPr defaultColWidth="9.140625" defaultRowHeight="12.75"/>
  <cols>
    <col min="1" max="1" width="43.8515625" style="0" customWidth="1"/>
    <col min="2" max="2" width="5.7109375" style="0" customWidth="1"/>
    <col min="3" max="3" width="13.00390625" style="0" customWidth="1"/>
    <col min="4" max="4" width="11.8515625" style="0" customWidth="1"/>
    <col min="5" max="5" width="13.421875" style="0" customWidth="1"/>
  </cols>
  <sheetData>
    <row r="1" spans="1:5" ht="12.75">
      <c r="A1" s="57" t="s">
        <v>4</v>
      </c>
      <c r="B1" s="57"/>
      <c r="C1" s="57"/>
      <c r="D1" s="60" t="s">
        <v>470</v>
      </c>
      <c r="E1" s="57"/>
    </row>
    <row r="3" spans="1:4" ht="12.75">
      <c r="A3" s="57" t="s">
        <v>471</v>
      </c>
      <c r="B3" s="57"/>
      <c r="C3" s="57"/>
      <c r="D3" s="57"/>
    </row>
    <row r="4" ht="13.5" thickBot="1">
      <c r="D4" s="57" t="s">
        <v>472</v>
      </c>
    </row>
    <row r="5" spans="1:5" ht="16.5" thickBot="1" thickTop="1">
      <c r="A5" s="774" t="s">
        <v>460</v>
      </c>
      <c r="B5" s="775" t="s">
        <v>473</v>
      </c>
      <c r="C5" s="776">
        <v>2014</v>
      </c>
      <c r="D5" s="777">
        <v>2015</v>
      </c>
      <c r="E5" s="778">
        <v>2016</v>
      </c>
    </row>
    <row r="6" spans="1:5" ht="15.75" thickTop="1">
      <c r="A6" s="779" t="s">
        <v>474</v>
      </c>
      <c r="B6" s="780"/>
      <c r="C6" s="781"/>
      <c r="D6" s="782"/>
      <c r="E6" s="783"/>
    </row>
    <row r="7" spans="1:5" ht="12.75">
      <c r="A7" s="784" t="s">
        <v>475</v>
      </c>
      <c r="B7" s="785"/>
      <c r="C7" s="105"/>
      <c r="D7" s="105"/>
      <c r="E7" s="105"/>
    </row>
    <row r="8" spans="1:5" ht="12.75">
      <c r="A8" s="786" t="s">
        <v>476</v>
      </c>
      <c r="B8" s="352">
        <v>1</v>
      </c>
      <c r="C8" s="58">
        <f>mérleg!F6</f>
        <v>185204</v>
      </c>
      <c r="D8" s="58">
        <f aca="true" t="shared" si="0" ref="D8:E10">C8*1.02+10000</f>
        <v>198908.08000000002</v>
      </c>
      <c r="E8" s="58">
        <f t="shared" si="0"/>
        <v>212886.2416</v>
      </c>
    </row>
    <row r="9" spans="1:5" ht="12.75">
      <c r="A9" s="787" t="s">
        <v>477</v>
      </c>
      <c r="B9" s="350">
        <v>2</v>
      </c>
      <c r="C9" s="58">
        <f>mérleg!F7</f>
        <v>403100</v>
      </c>
      <c r="D9" s="58">
        <f t="shared" si="0"/>
        <v>421162</v>
      </c>
      <c r="E9" s="58">
        <f t="shared" si="0"/>
        <v>439585.24</v>
      </c>
    </row>
    <row r="10" spans="1:5" ht="12.75">
      <c r="A10" s="788" t="s">
        <v>478</v>
      </c>
      <c r="B10" s="789">
        <v>3</v>
      </c>
      <c r="C10" s="58">
        <f>mérleg!F8</f>
        <v>678422.9456666666</v>
      </c>
      <c r="D10" s="58">
        <f t="shared" si="0"/>
        <v>701991.40458</v>
      </c>
      <c r="E10" s="58">
        <f t="shared" si="0"/>
        <v>726031.2326716</v>
      </c>
    </row>
    <row r="11" spans="1:5" ht="12.75">
      <c r="A11" s="788" t="s">
        <v>479</v>
      </c>
      <c r="B11" s="789">
        <v>4</v>
      </c>
      <c r="C11" s="58">
        <f>mérleg!F9</f>
        <v>0</v>
      </c>
      <c r="D11" s="58">
        <f>C11*1.05</f>
        <v>0</v>
      </c>
      <c r="E11" s="58">
        <f>D11*1.07</f>
        <v>0</v>
      </c>
    </row>
    <row r="12" spans="1:5" ht="12.75">
      <c r="A12" s="786" t="s">
        <v>480</v>
      </c>
      <c r="B12" s="352">
        <v>5</v>
      </c>
      <c r="C12" s="58">
        <f>mérleg!F10</f>
        <v>305080</v>
      </c>
      <c r="D12" s="58">
        <f>C12*1.02+10000</f>
        <v>321181.6</v>
      </c>
      <c r="E12" s="58">
        <f>D12*1.02+10000</f>
        <v>337605.23199999996</v>
      </c>
    </row>
    <row r="13" spans="1:5" ht="12.75">
      <c r="A13" s="786" t="s">
        <v>481</v>
      </c>
      <c r="B13" s="352">
        <v>6</v>
      </c>
      <c r="C13" s="58">
        <f>mérleg!F11</f>
        <v>0</v>
      </c>
      <c r="D13" s="58"/>
      <c r="E13" s="58"/>
    </row>
    <row r="14" spans="1:5" ht="12.75">
      <c r="A14" s="788" t="s">
        <v>482</v>
      </c>
      <c r="B14" s="789">
        <v>7</v>
      </c>
      <c r="C14" s="58">
        <f>mérleg!F12</f>
        <v>0</v>
      </c>
      <c r="D14" s="58"/>
      <c r="E14" s="58"/>
    </row>
    <row r="15" spans="1:5" ht="12.75">
      <c r="A15" s="787" t="s">
        <v>483</v>
      </c>
      <c r="B15" s="350">
        <v>8</v>
      </c>
      <c r="C15" s="58">
        <f>'[8]mérleg'!F13</f>
        <v>0</v>
      </c>
      <c r="D15" s="58"/>
      <c r="E15" s="58"/>
    </row>
    <row r="16" spans="1:5" ht="12.75">
      <c r="A16" s="787" t="s">
        <v>484</v>
      </c>
      <c r="B16" s="350">
        <v>10</v>
      </c>
      <c r="C16" s="58">
        <f>mérleg!F14</f>
        <v>19864</v>
      </c>
      <c r="D16" s="58">
        <v>10000</v>
      </c>
      <c r="E16" s="58">
        <v>15000</v>
      </c>
    </row>
    <row r="17" spans="1:5" ht="12.75">
      <c r="A17" s="790" t="s">
        <v>485</v>
      </c>
      <c r="B17" s="689">
        <v>11</v>
      </c>
      <c r="C17" s="114">
        <f>SUM(C8:C16)</f>
        <v>1591670.9456666666</v>
      </c>
      <c r="D17" s="114">
        <f>SUM(D8:D16)</f>
        <v>1653243.08458</v>
      </c>
      <c r="E17" s="114">
        <f>SUM(E8:E16)</f>
        <v>1731107.9462715997</v>
      </c>
    </row>
    <row r="18" spans="1:5" ht="12.75">
      <c r="A18" s="787" t="s">
        <v>298</v>
      </c>
      <c r="B18" s="350">
        <v>12</v>
      </c>
      <c r="C18" s="58">
        <f>mérleg!F19</f>
        <v>450462</v>
      </c>
      <c r="D18" s="58">
        <f aca="true" t="shared" si="1" ref="D18:E21">C18*1.02+10000</f>
        <v>469471.24</v>
      </c>
      <c r="E18" s="58">
        <f t="shared" si="1"/>
        <v>488860.6648</v>
      </c>
    </row>
    <row r="19" spans="1:5" ht="12.75">
      <c r="A19" s="788" t="s">
        <v>486</v>
      </c>
      <c r="B19" s="789">
        <v>13</v>
      </c>
      <c r="C19" s="58">
        <f>mérleg!F20</f>
        <v>115443</v>
      </c>
      <c r="D19" s="58">
        <f t="shared" si="1"/>
        <v>127751.86</v>
      </c>
      <c r="E19" s="58">
        <f t="shared" si="1"/>
        <v>140306.8972</v>
      </c>
    </row>
    <row r="20" spans="1:5" ht="12.75">
      <c r="A20" s="787" t="s">
        <v>487</v>
      </c>
      <c r="B20" s="350"/>
      <c r="C20" s="58">
        <f>mérleg!F21</f>
        <v>544653</v>
      </c>
      <c r="D20" s="58">
        <f t="shared" si="1"/>
        <v>565546.06</v>
      </c>
      <c r="E20" s="58">
        <f t="shared" si="1"/>
        <v>586856.9812</v>
      </c>
    </row>
    <row r="21" spans="1:5" ht="12.75">
      <c r="A21" s="788" t="s">
        <v>488</v>
      </c>
      <c r="B21" s="789">
        <v>15</v>
      </c>
      <c r="C21" s="58">
        <f>mérleg!F22</f>
        <v>408592</v>
      </c>
      <c r="D21" s="58">
        <f t="shared" si="1"/>
        <v>426763.84</v>
      </c>
      <c r="E21" s="58">
        <f t="shared" si="1"/>
        <v>445299.1168</v>
      </c>
    </row>
    <row r="22" spans="1:5" ht="12.75">
      <c r="A22" s="788" t="s">
        <v>489</v>
      </c>
      <c r="B22" s="789">
        <v>16</v>
      </c>
      <c r="C22" s="58">
        <f>mérleg!F23</f>
        <v>0</v>
      </c>
      <c r="D22" s="58">
        <f>C22*1.04</f>
        <v>0</v>
      </c>
      <c r="E22" s="58">
        <f>D22*1.05</f>
        <v>0</v>
      </c>
    </row>
    <row r="23" spans="1:5" ht="12.75">
      <c r="A23" s="788" t="s">
        <v>490</v>
      </c>
      <c r="B23" s="789">
        <v>17</v>
      </c>
      <c r="C23" s="58">
        <f>mérleg!F24</f>
        <v>0</v>
      </c>
      <c r="D23" s="58"/>
      <c r="E23" s="58"/>
    </row>
    <row r="24" spans="1:5" ht="12.75">
      <c r="A24" s="787" t="s">
        <v>305</v>
      </c>
      <c r="B24" s="350">
        <v>18</v>
      </c>
      <c r="C24" s="58">
        <f>mérleg!F25</f>
        <v>0</v>
      </c>
      <c r="D24" s="58">
        <f>C24*1.01</f>
        <v>0</v>
      </c>
      <c r="E24" s="58">
        <v>0</v>
      </c>
    </row>
    <row r="25" spans="1:5" ht="12.75">
      <c r="A25" s="788" t="s">
        <v>491</v>
      </c>
      <c r="B25" s="789">
        <v>19</v>
      </c>
      <c r="C25" s="58">
        <f>mérleg!F26</f>
        <v>0</v>
      </c>
      <c r="D25" s="58"/>
      <c r="E25" s="58"/>
    </row>
    <row r="26" spans="1:5" ht="12.75">
      <c r="A26" s="787" t="s">
        <v>492</v>
      </c>
      <c r="B26" s="350">
        <v>20</v>
      </c>
      <c r="C26" s="58">
        <f>mérleg!F27</f>
        <v>0</v>
      </c>
      <c r="D26" s="58">
        <v>0</v>
      </c>
      <c r="E26" s="58"/>
    </row>
    <row r="27" spans="1:5" ht="12.75">
      <c r="A27" s="788" t="s">
        <v>493</v>
      </c>
      <c r="B27" s="789">
        <v>21</v>
      </c>
      <c r="C27" s="58">
        <v>0</v>
      </c>
      <c r="D27" s="58">
        <v>0</v>
      </c>
      <c r="E27" s="58"/>
    </row>
    <row r="28" spans="1:5" ht="12.75">
      <c r="A28" s="787" t="s">
        <v>494</v>
      </c>
      <c r="B28" s="350">
        <v>22</v>
      </c>
      <c r="C28" s="58">
        <v>0</v>
      </c>
      <c r="D28" s="58"/>
      <c r="E28" s="58"/>
    </row>
    <row r="29" spans="1:5" ht="12.75">
      <c r="A29" s="788" t="s">
        <v>310</v>
      </c>
      <c r="B29" s="789">
        <v>23</v>
      </c>
      <c r="C29" s="58">
        <f>mérleg!F28</f>
        <v>23344</v>
      </c>
      <c r="D29" s="58">
        <v>43000</v>
      </c>
      <c r="E29" s="58">
        <v>28955</v>
      </c>
    </row>
    <row r="30" spans="1:5" ht="12.75">
      <c r="A30" s="791" t="s">
        <v>495</v>
      </c>
      <c r="B30" s="792">
        <v>24</v>
      </c>
      <c r="C30" s="114">
        <f>SUM(C18:C29)</f>
        <v>1542494</v>
      </c>
      <c r="D30" s="114">
        <f>SUM(D18:D29)</f>
        <v>1632533.0000000002</v>
      </c>
      <c r="E30" s="114">
        <f>SUM(E18:E29)</f>
        <v>1690278.6600000001</v>
      </c>
    </row>
    <row r="31" spans="1:5" ht="15">
      <c r="A31" s="793" t="s">
        <v>496</v>
      </c>
      <c r="B31" s="794"/>
      <c r="C31" s="795"/>
      <c r="D31" s="795"/>
      <c r="E31" s="795"/>
    </row>
    <row r="32" spans="1:5" ht="12.75">
      <c r="A32" s="788" t="s">
        <v>497</v>
      </c>
      <c r="B32" s="789">
        <v>25</v>
      </c>
      <c r="C32" s="58">
        <f>mérleg!F32</f>
        <v>9263</v>
      </c>
      <c r="D32" s="58">
        <f>28200-5640+20000</f>
        <v>42560</v>
      </c>
      <c r="E32" s="58">
        <v>21570</v>
      </c>
    </row>
    <row r="33" spans="1:5" ht="12.75">
      <c r="A33" s="787" t="s">
        <v>498</v>
      </c>
      <c r="B33" s="350">
        <v>26</v>
      </c>
      <c r="C33" s="58">
        <f>mérleg!F33</f>
        <v>918123</v>
      </c>
      <c r="D33" s="58">
        <v>0</v>
      </c>
      <c r="E33" s="58">
        <f>D33*1.019</f>
        <v>0</v>
      </c>
    </row>
    <row r="34" spans="1:5" ht="12.75">
      <c r="A34" s="788" t="s">
        <v>499</v>
      </c>
      <c r="B34" s="789">
        <v>27</v>
      </c>
      <c r="C34" s="58">
        <f>mérleg!F34</f>
        <v>12747</v>
      </c>
      <c r="D34" s="58"/>
      <c r="E34" s="58"/>
    </row>
    <row r="35" spans="1:5" ht="12.75">
      <c r="A35" s="788" t="s">
        <v>500</v>
      </c>
      <c r="B35" s="789">
        <v>28</v>
      </c>
      <c r="C35" s="58">
        <f>mérleg!F35</f>
        <v>0</v>
      </c>
      <c r="D35" s="58">
        <v>0</v>
      </c>
      <c r="E35" s="58">
        <v>5904</v>
      </c>
    </row>
    <row r="36" spans="1:5" ht="12.75">
      <c r="A36" s="788" t="s">
        <v>501</v>
      </c>
      <c r="B36" s="789">
        <v>29</v>
      </c>
      <c r="C36" s="58">
        <f>mérleg!F36</f>
        <v>6600</v>
      </c>
      <c r="D36" s="58">
        <v>0</v>
      </c>
      <c r="E36" s="58">
        <v>0</v>
      </c>
    </row>
    <row r="37" spans="1:5" ht="12.75">
      <c r="A37" s="787" t="s">
        <v>502</v>
      </c>
      <c r="B37" s="350">
        <v>30</v>
      </c>
      <c r="C37" s="58">
        <f>mérleg!F37</f>
        <v>3100</v>
      </c>
      <c r="D37" s="58"/>
      <c r="E37" s="58"/>
    </row>
    <row r="38" spans="1:5" ht="12.75">
      <c r="A38" s="788" t="s">
        <v>318</v>
      </c>
      <c r="B38" s="789">
        <v>31</v>
      </c>
      <c r="C38" s="58">
        <f>mérleg!F38</f>
        <v>57194</v>
      </c>
      <c r="D38" s="58"/>
      <c r="E38" s="58"/>
    </row>
    <row r="39" spans="1:5" ht="12.75">
      <c r="A39" s="788" t="s">
        <v>503</v>
      </c>
      <c r="B39" s="789">
        <v>32</v>
      </c>
      <c r="C39" s="58">
        <v>0</v>
      </c>
      <c r="D39" s="58"/>
      <c r="E39" s="58"/>
    </row>
    <row r="40" spans="1:5" ht="12.75">
      <c r="A40" s="786" t="s">
        <v>504</v>
      </c>
      <c r="B40" s="352">
        <v>33</v>
      </c>
      <c r="C40" s="58">
        <v>0</v>
      </c>
      <c r="D40" s="58">
        <v>0</v>
      </c>
      <c r="E40" s="58">
        <v>0</v>
      </c>
    </row>
    <row r="41" spans="1:5" ht="12.75">
      <c r="A41" s="787" t="s">
        <v>505</v>
      </c>
      <c r="B41" s="350">
        <v>34</v>
      </c>
      <c r="C41" s="58">
        <v>0</v>
      </c>
      <c r="D41" s="58">
        <v>0</v>
      </c>
      <c r="E41" s="58">
        <v>0</v>
      </c>
    </row>
    <row r="42" spans="1:5" ht="12.75">
      <c r="A42" s="788" t="s">
        <v>506</v>
      </c>
      <c r="B42" s="789">
        <v>35</v>
      </c>
      <c r="C42" s="58"/>
      <c r="D42" s="58"/>
      <c r="E42" s="58"/>
    </row>
    <row r="43" spans="1:5" ht="12.75">
      <c r="A43" s="788" t="s">
        <v>507</v>
      </c>
      <c r="B43" s="789">
        <v>36</v>
      </c>
      <c r="C43" s="58">
        <f>mérleg!F39</f>
        <v>11250</v>
      </c>
      <c r="D43" s="58"/>
      <c r="E43" s="58"/>
    </row>
    <row r="44" spans="1:5" ht="12.75">
      <c r="A44" s="796" t="s">
        <v>508</v>
      </c>
      <c r="B44" s="792">
        <v>37</v>
      </c>
      <c r="C44" s="114">
        <f>SUM(C32:C43)</f>
        <v>1018277</v>
      </c>
      <c r="D44" s="114">
        <f>SUM(D32:D43)</f>
        <v>42560</v>
      </c>
      <c r="E44" s="114">
        <f>SUM(E32:E43)</f>
        <v>27474</v>
      </c>
    </row>
    <row r="45" spans="1:5" ht="12.75">
      <c r="A45" s="787" t="s">
        <v>509</v>
      </c>
      <c r="B45" s="350">
        <v>38</v>
      </c>
      <c r="C45" s="58">
        <f>mérleg!F45</f>
        <v>986009</v>
      </c>
      <c r="D45" s="58">
        <v>45048</v>
      </c>
      <c r="E45" s="58">
        <v>45949</v>
      </c>
    </row>
    <row r="46" spans="1:5" ht="12.75">
      <c r="A46" s="788" t="s">
        <v>510</v>
      </c>
      <c r="B46" s="789">
        <v>39</v>
      </c>
      <c r="C46" s="58">
        <f>mérleg!F46</f>
        <v>20500</v>
      </c>
      <c r="D46" s="58">
        <v>10568</v>
      </c>
      <c r="E46" s="58">
        <v>17617</v>
      </c>
    </row>
    <row r="47" spans="1:5" ht="12.75">
      <c r="A47" s="787" t="s">
        <v>511</v>
      </c>
      <c r="B47" s="350">
        <v>40</v>
      </c>
      <c r="C47" s="58">
        <f>'[8]mérleg'!F47</f>
        <v>0</v>
      </c>
      <c r="D47" s="58"/>
      <c r="E47" s="58"/>
    </row>
    <row r="48" spans="1:5" ht="12.75">
      <c r="A48" s="788" t="s">
        <v>512</v>
      </c>
      <c r="B48" s="789">
        <v>41</v>
      </c>
      <c r="C48" s="58">
        <f>mérleg!F48</f>
        <v>0</v>
      </c>
      <c r="D48" s="58"/>
      <c r="E48" s="58"/>
    </row>
    <row r="49" spans="1:5" ht="12.75">
      <c r="A49" s="788" t="s">
        <v>513</v>
      </c>
      <c r="B49" s="789">
        <v>42</v>
      </c>
      <c r="C49" s="58">
        <f>mérleg!F52</f>
        <v>60945</v>
      </c>
      <c r="D49" s="58"/>
      <c r="E49" s="58"/>
    </row>
    <row r="50" spans="1:5" ht="12.75">
      <c r="A50" s="788" t="s">
        <v>514</v>
      </c>
      <c r="B50" s="789">
        <v>43</v>
      </c>
      <c r="C50" s="58">
        <f>mérleg!F50</f>
        <v>0</v>
      </c>
      <c r="D50" s="58"/>
      <c r="E50" s="58"/>
    </row>
    <row r="51" spans="1:5" ht="12.75">
      <c r="A51" s="788" t="s">
        <v>515</v>
      </c>
      <c r="B51" s="789">
        <v>44</v>
      </c>
      <c r="C51" s="58">
        <f>mérleg!F51</f>
        <v>0</v>
      </c>
      <c r="D51" s="58"/>
      <c r="E51" s="58"/>
    </row>
    <row r="52" spans="1:5" ht="12.75">
      <c r="A52" s="786" t="s">
        <v>516</v>
      </c>
      <c r="B52" s="352">
        <v>45</v>
      </c>
      <c r="C52" s="58">
        <v>0</v>
      </c>
      <c r="D52" s="58">
        <v>29885</v>
      </c>
      <c r="E52" s="58">
        <v>42162</v>
      </c>
    </row>
    <row r="53" spans="1:5" ht="12.75">
      <c r="A53" s="787" t="s">
        <v>517</v>
      </c>
      <c r="B53" s="350">
        <v>46</v>
      </c>
      <c r="C53" s="58"/>
      <c r="D53" s="58"/>
      <c r="E53" s="58"/>
    </row>
    <row r="54" spans="1:5" ht="12.75">
      <c r="A54" s="788" t="s">
        <v>518</v>
      </c>
      <c r="B54" s="789">
        <f>B53+B46+B42</f>
        <v>120</v>
      </c>
      <c r="C54" s="58"/>
      <c r="D54" s="58"/>
      <c r="E54" s="58"/>
    </row>
    <row r="55" spans="1:5" ht="14.25">
      <c r="A55" s="797" t="s">
        <v>310</v>
      </c>
      <c r="B55" s="798">
        <v>48</v>
      </c>
      <c r="C55" s="355"/>
      <c r="D55" s="355">
        <v>31070</v>
      </c>
      <c r="E55" s="355">
        <v>3680</v>
      </c>
    </row>
    <row r="56" spans="1:5" ht="12.75">
      <c r="A56" s="790" t="s">
        <v>519</v>
      </c>
      <c r="B56" s="689">
        <v>49</v>
      </c>
      <c r="C56" s="114">
        <f>SUM(C45:C55)</f>
        <v>1067454</v>
      </c>
      <c r="D56" s="114">
        <f>D55+D54+D53+D52+D51+D48+D47+D46+D45</f>
        <v>116571</v>
      </c>
      <c r="E56" s="114">
        <f>E55+E54+E53+E52+E51+E48+E47+E46+E45</f>
        <v>109408</v>
      </c>
    </row>
    <row r="57" spans="1:5" ht="13.5" thickBot="1">
      <c r="A57" s="799" t="s">
        <v>520</v>
      </c>
      <c r="B57" s="800">
        <v>50</v>
      </c>
      <c r="C57" s="114">
        <f>C44+C17</f>
        <v>2609947.9456666666</v>
      </c>
      <c r="D57" s="114">
        <f>D44+D17</f>
        <v>1695803.08458</v>
      </c>
      <c r="E57" s="114">
        <f>E44+E17</f>
        <v>1758581.9462715997</v>
      </c>
    </row>
    <row r="58" spans="1:5" ht="14.25" thickBot="1" thickTop="1">
      <c r="A58" s="801" t="s">
        <v>521</v>
      </c>
      <c r="B58" s="802">
        <v>51</v>
      </c>
      <c r="C58" s="114">
        <f>C56+C30</f>
        <v>2609948</v>
      </c>
      <c r="D58" s="114">
        <f>D56+D30</f>
        <v>1749104.0000000002</v>
      </c>
      <c r="E58" s="114">
        <f>E56+E30</f>
        <v>1799686.6600000001</v>
      </c>
    </row>
    <row r="59" ht="13.5" thickTop="1"/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&amp;R..........................rendelet a város 2014 évi költégvetéséről
</oddHeader>
    <oddFooter>&amp;C&amp;D&amp;R&amp;P.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2"/>
  <sheetViews>
    <sheetView zoomScale="75" zoomScaleNormal="75" zoomScalePageLayoutView="0" workbookViewId="0" topLeftCell="B1">
      <selection activeCell="F71" activeCellId="2" sqref="C65 C71 F71"/>
    </sheetView>
  </sheetViews>
  <sheetFormatPr defaultColWidth="8.8515625" defaultRowHeight="12.75"/>
  <cols>
    <col min="1" max="1" width="4.57421875" style="0" customWidth="1"/>
    <col min="2" max="2" width="3.421875" style="0" customWidth="1"/>
    <col min="3" max="3" width="25.7109375" style="0" customWidth="1"/>
    <col min="4" max="4" width="13.140625" style="0" customWidth="1"/>
    <col min="5" max="5" width="12.00390625" style="0" customWidth="1"/>
    <col min="6" max="6" width="12.57421875" style="0" customWidth="1"/>
    <col min="7" max="7" width="12.00390625" style="0" customWidth="1"/>
    <col min="8" max="8" width="12.57421875" style="0" customWidth="1"/>
    <col min="9" max="9" width="9.140625" style="0" customWidth="1"/>
    <col min="10" max="10" width="9.28125" style="0" customWidth="1"/>
    <col min="11" max="11" width="13.421875" style="0" customWidth="1"/>
    <col min="12" max="12" width="3.57421875" style="0" hidden="1" customWidth="1"/>
    <col min="13" max="13" width="9.28125" style="0" hidden="1" customWidth="1"/>
    <col min="14" max="14" width="9.00390625" style="0" hidden="1" customWidth="1"/>
    <col min="15" max="15" width="8.8515625" style="0" hidden="1" customWidth="1"/>
    <col min="16" max="16" width="4.140625" style="0" hidden="1" customWidth="1"/>
    <col min="17" max="20" width="0" style="0" hidden="1" customWidth="1"/>
  </cols>
  <sheetData>
    <row r="1" spans="3:11" s="4" customFormat="1" ht="15.75">
      <c r="C1" s="1" t="s">
        <v>4</v>
      </c>
      <c r="D1" s="2"/>
      <c r="E1" s="2"/>
      <c r="F1" s="2"/>
      <c r="G1" s="2"/>
      <c r="H1" s="3"/>
      <c r="J1" s="23" t="s">
        <v>28</v>
      </c>
      <c r="K1" s="18"/>
    </row>
    <row r="2" spans="3:11" ht="12.75">
      <c r="C2" s="2"/>
      <c r="D2" s="2"/>
      <c r="E2" s="2"/>
      <c r="F2" s="2"/>
      <c r="G2" s="2"/>
      <c r="H2" s="2"/>
      <c r="I2" s="2"/>
      <c r="J2" s="2"/>
      <c r="K2" s="18"/>
    </row>
    <row r="3" spans="3:11" ht="15.75">
      <c r="C3" s="2"/>
      <c r="D3" s="25" t="s">
        <v>663</v>
      </c>
      <c r="E3" s="2"/>
      <c r="F3" s="2"/>
      <c r="G3" s="2"/>
      <c r="H3" s="2"/>
      <c r="I3" s="2"/>
      <c r="J3" s="2"/>
      <c r="K3" s="18"/>
    </row>
    <row r="4" spans="3:11" ht="13.5" thickBot="1">
      <c r="C4" s="2"/>
      <c r="D4" s="2"/>
      <c r="E4" s="2"/>
      <c r="F4" s="2"/>
      <c r="G4" s="4"/>
      <c r="H4" s="4"/>
      <c r="I4" s="4"/>
      <c r="J4" s="24" t="s">
        <v>29</v>
      </c>
      <c r="K4" s="18"/>
    </row>
    <row r="5" spans="1:11" ht="13.5" thickBot="1">
      <c r="A5" s="30" t="s">
        <v>30</v>
      </c>
      <c r="B5" s="26" t="s">
        <v>31</v>
      </c>
      <c r="C5" s="5"/>
      <c r="D5" s="6" t="s">
        <v>5</v>
      </c>
      <c r="E5" s="7" t="s">
        <v>6</v>
      </c>
      <c r="F5" s="5" t="s">
        <v>7</v>
      </c>
      <c r="G5" s="8" t="s">
        <v>8</v>
      </c>
      <c r="H5" s="9" t="s">
        <v>9</v>
      </c>
      <c r="I5" s="10"/>
      <c r="J5" s="6" t="s">
        <v>10</v>
      </c>
      <c r="K5" s="19" t="s">
        <v>11</v>
      </c>
    </row>
    <row r="6" spans="1:11" ht="12.75">
      <c r="A6" s="31"/>
      <c r="B6" s="27" t="s">
        <v>32</v>
      </c>
      <c r="C6" s="11" t="s">
        <v>12</v>
      </c>
      <c r="D6" s="12" t="s">
        <v>13</v>
      </c>
      <c r="E6" s="1" t="s">
        <v>14</v>
      </c>
      <c r="F6" s="11" t="s">
        <v>15</v>
      </c>
      <c r="G6" s="13" t="s">
        <v>16</v>
      </c>
      <c r="H6" s="12" t="s">
        <v>17</v>
      </c>
      <c r="I6" s="13" t="s">
        <v>18</v>
      </c>
      <c r="J6" s="13" t="s">
        <v>19</v>
      </c>
      <c r="K6" s="20" t="s">
        <v>20</v>
      </c>
    </row>
    <row r="7" spans="1:11" ht="16.5" thickBot="1">
      <c r="A7" s="34"/>
      <c r="B7" s="28"/>
      <c r="C7" s="11"/>
      <c r="D7" s="12" t="s">
        <v>21</v>
      </c>
      <c r="E7" s="44" t="s">
        <v>22</v>
      </c>
      <c r="F7" s="11" t="s">
        <v>23</v>
      </c>
      <c r="G7" s="13"/>
      <c r="H7" s="12"/>
      <c r="I7" s="13"/>
      <c r="J7" s="13"/>
      <c r="K7" s="45"/>
    </row>
    <row r="8" spans="1:15" ht="16.5" thickBot="1">
      <c r="A8" s="36">
        <v>1</v>
      </c>
      <c r="B8" s="29"/>
      <c r="C8" s="247" t="s">
        <v>343</v>
      </c>
      <c r="D8" s="46">
        <f>MŰKÖDÉSI!O8</f>
        <v>180711</v>
      </c>
      <c r="E8" s="47">
        <f>'beruházás és felh. célú átadás'!B36</f>
        <v>1000</v>
      </c>
      <c r="F8" s="47"/>
      <c r="G8" s="47"/>
      <c r="H8" s="47"/>
      <c r="I8" s="47">
        <v>0</v>
      </c>
      <c r="J8" s="47"/>
      <c r="K8" s="56">
        <f>J8+I8+H8+G8+F8+E8+D8</f>
        <v>181711</v>
      </c>
      <c r="M8" s="59"/>
      <c r="O8" s="59">
        <f>I8-11000-24014</f>
        <v>-35014</v>
      </c>
    </row>
    <row r="9" spans="1:15" ht="16.5" thickBot="1">
      <c r="A9" s="31"/>
      <c r="B9" s="52"/>
      <c r="C9" s="102" t="s">
        <v>263</v>
      </c>
      <c r="D9" s="46">
        <f>MŰKÖDÉSI!O9</f>
        <v>162913</v>
      </c>
      <c r="E9" s="246">
        <f>'beruházás és felh. célú átadás'!B41-2283-2831-6059</f>
        <v>974836</v>
      </c>
      <c r="F9" s="246">
        <f>'pénzeszkö átadás2014'!C64-'pénzeszkö átadás2014'!C62</f>
        <v>408592</v>
      </c>
      <c r="G9" s="246">
        <f>'felújítások (2)'!B13</f>
        <v>20500</v>
      </c>
      <c r="H9" s="246">
        <f>céltARTALÉK!B15+céltARTALÉK!B22</f>
        <v>68294</v>
      </c>
      <c r="I9" s="246">
        <f>19000-2598+907-554+811-200-1121-250</f>
        <v>15995</v>
      </c>
      <c r="J9" s="246">
        <v>0</v>
      </c>
      <c r="K9" s="56">
        <f>J9+I9+H9+G9+F9+E9+D9</f>
        <v>1651130</v>
      </c>
      <c r="M9" s="59"/>
      <c r="O9" s="59"/>
    </row>
    <row r="10" spans="1:13" ht="16.5" thickBot="1">
      <c r="A10" s="31"/>
      <c r="B10" s="32" t="s">
        <v>36</v>
      </c>
      <c r="C10" s="35" t="s">
        <v>34</v>
      </c>
      <c r="D10" s="46">
        <f>MŰKÖDÉSI!O10</f>
        <v>0</v>
      </c>
      <c r="E10" s="14">
        <v>0</v>
      </c>
      <c r="F10" s="14"/>
      <c r="G10" s="14">
        <v>0</v>
      </c>
      <c r="H10" s="14">
        <v>0</v>
      </c>
      <c r="I10" s="14"/>
      <c r="J10" s="14"/>
      <c r="K10" s="56">
        <f>J10+I10+H10+G10+F10+E10+D10</f>
        <v>0</v>
      </c>
      <c r="M10" s="98"/>
    </row>
    <row r="11" spans="1:11" ht="16.5" thickBot="1">
      <c r="A11" s="53"/>
      <c r="B11" s="54" t="s">
        <v>43</v>
      </c>
      <c r="C11" s="39" t="s">
        <v>35</v>
      </c>
      <c r="D11" s="46">
        <f>MŰKÖDÉSI!O11</f>
        <v>0</v>
      </c>
      <c r="E11" s="33"/>
      <c r="F11" s="33"/>
      <c r="G11" s="33"/>
      <c r="H11" s="33"/>
      <c r="I11" s="33"/>
      <c r="J11" s="33"/>
      <c r="K11" s="56">
        <f>J11+I11+H11+G11+F11+E11+D11</f>
        <v>0</v>
      </c>
    </row>
    <row r="12" spans="1:13" ht="15.75" thickBot="1">
      <c r="A12" s="400">
        <v>1</v>
      </c>
      <c r="B12" s="401" t="s">
        <v>37</v>
      </c>
      <c r="C12" s="402" t="s">
        <v>262</v>
      </c>
      <c r="D12" s="399">
        <f>MŰKÖDÉSI!O12</f>
        <v>343624</v>
      </c>
      <c r="E12" s="403">
        <f>SUM(E8:E11)</f>
        <v>975836</v>
      </c>
      <c r="F12" s="403">
        <f aca="true" t="shared" si="0" ref="F12:K12">SUM(F8:F11)</f>
        <v>408592</v>
      </c>
      <c r="G12" s="403">
        <f t="shared" si="0"/>
        <v>20500</v>
      </c>
      <c r="H12" s="403">
        <f t="shared" si="0"/>
        <v>68294</v>
      </c>
      <c r="I12" s="403">
        <f t="shared" si="0"/>
        <v>15995</v>
      </c>
      <c r="J12" s="403">
        <f t="shared" si="0"/>
        <v>0</v>
      </c>
      <c r="K12" s="403">
        <f t="shared" si="0"/>
        <v>1832841</v>
      </c>
      <c r="M12" s="59"/>
    </row>
    <row r="13" spans="1:13" ht="16.5" thickBot="1">
      <c r="A13" s="37">
        <v>2</v>
      </c>
      <c r="B13" s="48" t="s">
        <v>40</v>
      </c>
      <c r="C13" s="343" t="s">
        <v>119</v>
      </c>
      <c r="D13" s="46">
        <f>MŰKÖDÉSI!O13</f>
        <v>0</v>
      </c>
      <c r="E13" s="14"/>
      <c r="F13" s="14"/>
      <c r="G13" s="14">
        <v>0</v>
      </c>
      <c r="H13" s="14"/>
      <c r="I13" s="14"/>
      <c r="J13" s="14"/>
      <c r="K13" s="56">
        <f aca="true" t="shared" si="1" ref="K13:K26">J13+I13+H13+G13+F13+E13+D13</f>
        <v>0</v>
      </c>
      <c r="M13" s="99"/>
    </row>
    <row r="14" spans="1:13" ht="16.5" thickBot="1">
      <c r="A14" s="37"/>
      <c r="B14" s="48" t="s">
        <v>42</v>
      </c>
      <c r="C14" s="313" t="s">
        <v>41</v>
      </c>
      <c r="D14" s="46">
        <f>MŰKÖDÉSI!O14</f>
        <v>0</v>
      </c>
      <c r="E14" s="55">
        <v>0</v>
      </c>
      <c r="F14" s="55"/>
      <c r="G14" s="55"/>
      <c r="H14" s="55"/>
      <c r="I14" s="55"/>
      <c r="J14" s="55"/>
      <c r="K14" s="21">
        <f t="shared" si="1"/>
        <v>0</v>
      </c>
      <c r="M14" s="98"/>
    </row>
    <row r="15" spans="1:11" ht="15.75" customHeight="1" thickBot="1">
      <c r="A15" s="40"/>
      <c r="B15" s="50">
        <v>2</v>
      </c>
      <c r="C15" s="346" t="s">
        <v>179</v>
      </c>
      <c r="D15" s="46">
        <f>MŰKÖDÉSI!O15</f>
        <v>67338</v>
      </c>
      <c r="E15" s="41">
        <v>0</v>
      </c>
      <c r="F15" s="42"/>
      <c r="G15" s="43"/>
      <c r="H15" s="107">
        <v>0</v>
      </c>
      <c r="I15" s="43"/>
      <c r="J15" s="42"/>
      <c r="K15" s="21">
        <f t="shared" si="1"/>
        <v>67338</v>
      </c>
    </row>
    <row r="16" spans="1:11" ht="16.5" thickBot="1">
      <c r="A16" s="40"/>
      <c r="B16" s="49">
        <v>3</v>
      </c>
      <c r="C16" s="346" t="s">
        <v>120</v>
      </c>
      <c r="D16" s="46">
        <f>MŰKÖDÉSI!O16</f>
        <v>34581</v>
      </c>
      <c r="E16" s="14"/>
      <c r="F16" s="14"/>
      <c r="G16" s="14">
        <v>0</v>
      </c>
      <c r="H16" s="14"/>
      <c r="I16" s="14"/>
      <c r="J16" s="14"/>
      <c r="K16" s="21">
        <f t="shared" si="1"/>
        <v>34581</v>
      </c>
    </row>
    <row r="17" spans="1:11" ht="16.5" thickBot="1">
      <c r="A17" s="53"/>
      <c r="B17" s="51">
        <v>4</v>
      </c>
      <c r="C17" s="345" t="s">
        <v>24</v>
      </c>
      <c r="D17" s="46">
        <f>MŰKÖDÉSI!O17</f>
        <v>71595</v>
      </c>
      <c r="E17" s="14">
        <v>0</v>
      </c>
      <c r="F17" s="14"/>
      <c r="G17" s="14">
        <v>0</v>
      </c>
      <c r="H17" s="14"/>
      <c r="I17" s="14"/>
      <c r="J17" s="14"/>
      <c r="K17" s="22">
        <f t="shared" si="1"/>
        <v>71595</v>
      </c>
    </row>
    <row r="18" spans="1:11" ht="16.5" thickBot="1">
      <c r="A18" s="31"/>
      <c r="B18" s="50">
        <v>5</v>
      </c>
      <c r="C18" s="338" t="s">
        <v>355</v>
      </c>
      <c r="D18" s="46">
        <f>MŰKÖDÉSI!O18</f>
        <v>304446</v>
      </c>
      <c r="E18" s="14">
        <f aca="true" t="shared" si="2" ref="E18:J18">SUM(E19:E26)</f>
        <v>7342</v>
      </c>
      <c r="F18" s="14">
        <f t="shared" si="2"/>
        <v>0</v>
      </c>
      <c r="G18" s="14">
        <f t="shared" si="2"/>
        <v>0</v>
      </c>
      <c r="H18" s="14">
        <f t="shared" si="2"/>
        <v>0</v>
      </c>
      <c r="I18" s="14">
        <f t="shared" si="2"/>
        <v>0</v>
      </c>
      <c r="J18" s="14">
        <f t="shared" si="2"/>
        <v>0</v>
      </c>
      <c r="K18" s="22">
        <f t="shared" si="1"/>
        <v>311788</v>
      </c>
    </row>
    <row r="19" spans="1:11" ht="16.5" thickBot="1">
      <c r="A19" s="31"/>
      <c r="B19" s="50" t="s">
        <v>156</v>
      </c>
      <c r="C19" s="341" t="s">
        <v>358</v>
      </c>
      <c r="D19" s="46">
        <f>MŰKÖDÉSI!O19</f>
        <v>59088</v>
      </c>
      <c r="E19" s="14"/>
      <c r="F19" s="14"/>
      <c r="G19" s="14"/>
      <c r="H19" s="14"/>
      <c r="I19" s="14"/>
      <c r="J19" s="14"/>
      <c r="K19" s="22">
        <f t="shared" si="1"/>
        <v>59088</v>
      </c>
    </row>
    <row r="20" spans="1:13" ht="16.5" thickBot="1">
      <c r="A20" s="37"/>
      <c r="B20" s="38" t="s">
        <v>157</v>
      </c>
      <c r="C20" s="347" t="s">
        <v>356</v>
      </c>
      <c r="D20" s="46">
        <f>MŰKÖDÉSI!O20</f>
        <v>3500</v>
      </c>
      <c r="E20" s="14">
        <f>'beruházás és felh. célú átadás'!B38</f>
        <v>1283</v>
      </c>
      <c r="F20" s="14"/>
      <c r="G20" s="14"/>
      <c r="H20" s="14"/>
      <c r="I20" s="14"/>
      <c r="J20" s="14"/>
      <c r="K20" s="22">
        <f t="shared" si="1"/>
        <v>4783</v>
      </c>
      <c r="M20" s="97"/>
    </row>
    <row r="21" spans="1:13" ht="16.5" thickBot="1">
      <c r="A21" s="37"/>
      <c r="B21" s="49" t="s">
        <v>349</v>
      </c>
      <c r="C21" s="342" t="s">
        <v>276</v>
      </c>
      <c r="D21" s="46">
        <f>MŰKÖDÉSI!O21</f>
        <v>59161</v>
      </c>
      <c r="E21" s="14">
        <v>0</v>
      </c>
      <c r="F21" s="14">
        <f>'pénzeszkö átadás2014'!C62</f>
        <v>0</v>
      </c>
      <c r="G21" s="14">
        <v>0</v>
      </c>
      <c r="H21" s="108">
        <v>0</v>
      </c>
      <c r="I21" s="14"/>
      <c r="J21" s="14"/>
      <c r="K21" s="22">
        <f t="shared" si="1"/>
        <v>59161</v>
      </c>
      <c r="M21" s="97"/>
    </row>
    <row r="22" spans="1:13" ht="16.5" thickBot="1">
      <c r="A22" s="37"/>
      <c r="B22" s="49" t="s">
        <v>353</v>
      </c>
      <c r="C22" s="344" t="s">
        <v>350</v>
      </c>
      <c r="D22" s="46">
        <f>MŰKÖDÉSI!O22</f>
        <v>37957</v>
      </c>
      <c r="E22" s="14"/>
      <c r="F22" s="14"/>
      <c r="G22" s="14"/>
      <c r="H22" s="108"/>
      <c r="I22" s="14"/>
      <c r="J22" s="14"/>
      <c r="K22" s="22">
        <f t="shared" si="1"/>
        <v>37957</v>
      </c>
      <c r="M22" s="317"/>
    </row>
    <row r="23" spans="1:11" ht="16.5" thickBot="1">
      <c r="A23" s="37"/>
      <c r="B23" s="49" t="s">
        <v>354</v>
      </c>
      <c r="C23" s="344" t="s">
        <v>351</v>
      </c>
      <c r="D23" s="46">
        <f>MŰKÖDÉSI!O23</f>
        <v>0</v>
      </c>
      <c r="E23" s="17"/>
      <c r="F23" s="14"/>
      <c r="G23" s="14"/>
      <c r="H23" s="14"/>
      <c r="I23" s="14"/>
      <c r="J23" s="14"/>
      <c r="K23" s="22">
        <f t="shared" si="1"/>
        <v>0</v>
      </c>
    </row>
    <row r="24" spans="1:13" ht="16.5" thickBot="1">
      <c r="A24" s="31"/>
      <c r="B24" s="316" t="s">
        <v>357</v>
      </c>
      <c r="C24" s="344" t="s">
        <v>352</v>
      </c>
      <c r="D24" s="46">
        <f>MŰKÖDÉSI!O24</f>
        <v>4000</v>
      </c>
      <c r="E24" s="14"/>
      <c r="F24" s="14"/>
      <c r="G24" s="14"/>
      <c r="H24" s="14"/>
      <c r="I24" s="14"/>
      <c r="J24" s="14"/>
      <c r="K24" s="22">
        <f t="shared" si="1"/>
        <v>4000</v>
      </c>
      <c r="M24" s="317"/>
    </row>
    <row r="25" spans="1:13" ht="16.5" thickBot="1">
      <c r="A25" s="31"/>
      <c r="B25" s="316"/>
      <c r="C25" s="354" t="str">
        <f>MŰKÖDÉSI!C25</f>
        <v>Gimnázium </v>
      </c>
      <c r="D25" s="46">
        <f>MŰKÖDÉSI!O25</f>
        <v>14252</v>
      </c>
      <c r="E25" s="14"/>
      <c r="F25" s="14"/>
      <c r="G25" s="14"/>
      <c r="H25" s="14"/>
      <c r="I25" s="14"/>
      <c r="J25" s="14"/>
      <c r="K25" s="22">
        <f t="shared" si="1"/>
        <v>14252</v>
      </c>
      <c r="M25" s="317"/>
    </row>
    <row r="26" spans="1:13" ht="16.5" thickBot="1">
      <c r="A26" s="31"/>
      <c r="B26" s="316" t="s">
        <v>363</v>
      </c>
      <c r="C26" s="354" t="str">
        <f>MŰKÖDÉSI!C26</f>
        <v>konyha</v>
      </c>
      <c r="D26" s="46">
        <f>MŰKÖDÉSI!O26</f>
        <v>126488</v>
      </c>
      <c r="E26" s="14">
        <v>6059</v>
      </c>
      <c r="F26" s="14"/>
      <c r="G26" s="14"/>
      <c r="H26" s="14"/>
      <c r="I26" s="14"/>
      <c r="J26" s="14"/>
      <c r="K26" s="22">
        <f t="shared" si="1"/>
        <v>132547</v>
      </c>
      <c r="M26" s="317"/>
    </row>
    <row r="27" spans="1:11" ht="15.75" thickBot="1">
      <c r="A27" s="404">
        <v>2</v>
      </c>
      <c r="B27" s="405" t="s">
        <v>158</v>
      </c>
      <c r="C27" s="406" t="s">
        <v>355</v>
      </c>
      <c r="D27" s="399">
        <f>MŰKÖDÉSI!O27</f>
        <v>477960</v>
      </c>
      <c r="E27" s="407">
        <f aca="true" t="shared" si="3" ref="E27:K27">E13+E15+E16+E17+E18</f>
        <v>7342</v>
      </c>
      <c r="F27" s="407">
        <f t="shared" si="3"/>
        <v>0</v>
      </c>
      <c r="G27" s="407">
        <f t="shared" si="3"/>
        <v>0</v>
      </c>
      <c r="H27" s="407">
        <f t="shared" si="3"/>
        <v>0</v>
      </c>
      <c r="I27" s="407">
        <f t="shared" si="3"/>
        <v>0</v>
      </c>
      <c r="J27" s="407">
        <f t="shared" si="3"/>
        <v>0</v>
      </c>
      <c r="K27" s="407">
        <f t="shared" si="3"/>
        <v>485302</v>
      </c>
    </row>
    <row r="28" spans="1:13" ht="16.5" thickBot="1">
      <c r="A28" s="408">
        <v>3</v>
      </c>
      <c r="B28" s="409"/>
      <c r="C28" s="410" t="s">
        <v>25</v>
      </c>
      <c r="D28" s="399">
        <f>MŰKÖDÉSI!O28</f>
        <v>288974</v>
      </c>
      <c r="E28" s="411">
        <v>2831</v>
      </c>
      <c r="F28" s="589"/>
      <c r="G28" s="412"/>
      <c r="H28" s="411">
        <v>0</v>
      </c>
      <c r="I28" s="411"/>
      <c r="J28" s="411"/>
      <c r="K28" s="413">
        <f>D28+E28</f>
        <v>291805</v>
      </c>
      <c r="M28" s="59"/>
    </row>
    <row r="29" spans="1:18" ht="17.25" customHeight="1" thickBot="1">
      <c r="A29" s="414" t="s">
        <v>39</v>
      </c>
      <c r="B29" s="404"/>
      <c r="C29" s="415" t="s">
        <v>27</v>
      </c>
      <c r="D29" s="399">
        <f>MŰKÖDÉSI!O29</f>
        <v>1110558</v>
      </c>
      <c r="E29" s="416">
        <f>E28+E27+E12</f>
        <v>986009</v>
      </c>
      <c r="F29" s="416">
        <f>F12</f>
        <v>408592</v>
      </c>
      <c r="G29" s="416">
        <f>G28+G27+G12</f>
        <v>20500</v>
      </c>
      <c r="H29" s="416">
        <f>H28+H27+H12</f>
        <v>68294</v>
      </c>
      <c r="I29" s="416">
        <f>I28+I27+I12</f>
        <v>15995</v>
      </c>
      <c r="J29" s="416">
        <f>J28+J27+J12</f>
        <v>0</v>
      </c>
      <c r="K29" s="417">
        <f>J29+I29+H29+G29+F29+E29+D29</f>
        <v>2609948</v>
      </c>
      <c r="M29" s="59"/>
      <c r="O29">
        <f>I29/K29</f>
        <v>0.006128474590298351</v>
      </c>
      <c r="P29" s="109">
        <f>I29/D29</f>
        <v>0.014402669648951249</v>
      </c>
      <c r="R29">
        <f>I29/K29</f>
        <v>0.006128474590298351</v>
      </c>
    </row>
    <row r="30" spans="3:18" ht="12.75">
      <c r="C30" s="111" t="s">
        <v>250</v>
      </c>
      <c r="D30" s="112">
        <f>D29-MŰKÖDÉSI!O29</f>
        <v>0</v>
      </c>
      <c r="E30" s="112">
        <f>E29-'beruházás és felh. célú átadás'!B41</f>
        <v>0</v>
      </c>
      <c r="F30" s="112">
        <f>F29-'pénzeszkö átadás2014'!C64</f>
        <v>0</v>
      </c>
      <c r="G30" s="112">
        <v>0</v>
      </c>
      <c r="H30" s="112">
        <f>H29-céltARTALÉK!B22-céltARTALÉK!B15</f>
        <v>0</v>
      </c>
      <c r="R30">
        <f>I29/D29</f>
        <v>0.014402669648951249</v>
      </c>
    </row>
    <row r="32" spans="3:11" ht="12.75">
      <c r="C32" s="57"/>
      <c r="D32" s="57"/>
      <c r="E32" s="57"/>
      <c r="F32" s="57"/>
      <c r="G32" s="57"/>
      <c r="H32" s="57"/>
      <c r="I32" s="57"/>
      <c r="J32" s="57"/>
      <c r="K32" s="318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&amp;R..........................rendelet a város 2014 évi költégvetéséről
</oddHeader>
    <oddFooter>&amp;C&amp;D&amp;R&amp;P.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65512"/>
  <sheetViews>
    <sheetView zoomScalePageLayoutView="0" workbookViewId="0" topLeftCell="A1">
      <selection activeCell="F71" activeCellId="2" sqref="C65 C71 F71"/>
    </sheetView>
  </sheetViews>
  <sheetFormatPr defaultColWidth="8.57421875" defaultRowHeight="12.75"/>
  <cols>
    <col min="1" max="1" width="3.28125" style="440" customWidth="1"/>
    <col min="2" max="2" width="3.00390625" style="440" customWidth="1"/>
    <col min="3" max="3" width="31.140625" style="440" customWidth="1"/>
    <col min="4" max="5" width="8.8515625" style="440" customWidth="1"/>
    <col min="6" max="6" width="4.8515625" style="440" customWidth="1"/>
    <col min="7" max="7" width="8.8515625" style="440" customWidth="1"/>
    <col min="8" max="8" width="9.421875" style="440" bestFit="1" customWidth="1"/>
    <col min="9" max="9" width="6.28125" style="440" customWidth="1"/>
    <col min="10" max="10" width="9.28125" style="440" customWidth="1"/>
    <col min="11" max="11" width="8.28125" style="440" customWidth="1"/>
    <col min="12" max="12" width="5.57421875" style="440" hidden="1" customWidth="1"/>
    <col min="13" max="13" width="6.57421875" style="440" customWidth="1"/>
    <col min="14" max="14" width="10.00390625" style="440" customWidth="1"/>
    <col min="15" max="15" width="11.140625" style="440" customWidth="1"/>
    <col min="16" max="16" width="4.140625" style="440" hidden="1" customWidth="1"/>
    <col min="17" max="17" width="11.8515625" style="440" hidden="1" customWidth="1"/>
    <col min="18" max="19" width="8.57421875" style="440" hidden="1" customWidth="1"/>
    <col min="20" max="20" width="11.57421875" style="440" hidden="1" customWidth="1"/>
    <col min="21" max="26" width="8.57421875" style="440" hidden="1" customWidth="1"/>
    <col min="27" max="16384" width="8.57421875" style="440" customWidth="1"/>
  </cols>
  <sheetData>
    <row r="1" spans="3:16" s="438" customFormat="1" ht="15">
      <c r="C1" s="333" t="s">
        <v>100</v>
      </c>
      <c r="D1" s="439"/>
      <c r="E1" s="439"/>
      <c r="F1" s="439"/>
      <c r="G1" s="439"/>
      <c r="H1" s="334"/>
      <c r="I1" s="334"/>
      <c r="J1" s="439"/>
      <c r="K1" s="439"/>
      <c r="L1" s="439"/>
      <c r="M1" s="334" t="s">
        <v>101</v>
      </c>
      <c r="N1" s="335"/>
      <c r="O1" s="336"/>
      <c r="P1" s="439"/>
    </row>
    <row r="2" spans="3:16" ht="15">
      <c r="C2" s="439"/>
      <c r="D2" s="333"/>
      <c r="E2" s="333" t="s">
        <v>664</v>
      </c>
      <c r="F2" s="333"/>
      <c r="G2" s="333"/>
      <c r="H2" s="333"/>
      <c r="I2" s="333"/>
      <c r="J2" s="439"/>
      <c r="K2" s="439"/>
      <c r="L2" s="439"/>
      <c r="M2" s="439"/>
      <c r="N2" s="439"/>
      <c r="O2" s="439"/>
      <c r="P2" s="439"/>
    </row>
    <row r="3" spans="3:16" ht="15.75" thickBot="1">
      <c r="C3" s="441"/>
      <c r="D3" s="442" t="s">
        <v>87</v>
      </c>
      <c r="E3" s="442" t="s">
        <v>87</v>
      </c>
      <c r="F3" s="442" t="s">
        <v>102</v>
      </c>
      <c r="G3" s="442"/>
      <c r="H3" s="442"/>
      <c r="I3" s="442"/>
      <c r="J3" s="441"/>
      <c r="K3" s="441"/>
      <c r="L3" s="441"/>
      <c r="M3" s="441"/>
      <c r="N3" s="441"/>
      <c r="O3" s="441"/>
      <c r="P3" s="439"/>
    </row>
    <row r="4" spans="1:16" ht="15">
      <c r="A4" s="443"/>
      <c r="B4" s="444"/>
      <c r="C4" s="445"/>
      <c r="D4" s="445"/>
      <c r="E4" s="445"/>
      <c r="F4" s="445" t="s">
        <v>103</v>
      </c>
      <c r="G4" s="445" t="s">
        <v>104</v>
      </c>
      <c r="H4" s="445"/>
      <c r="I4" s="445" t="s">
        <v>103</v>
      </c>
      <c r="J4" s="445"/>
      <c r="K4" s="445"/>
      <c r="L4" s="446" t="s">
        <v>105</v>
      </c>
      <c r="M4" s="445" t="s">
        <v>103</v>
      </c>
      <c r="N4" s="445" t="s">
        <v>106</v>
      </c>
      <c r="O4" s="447"/>
      <c r="P4" s="448" t="s">
        <v>103</v>
      </c>
    </row>
    <row r="5" spans="1:16" ht="15">
      <c r="A5" s="449"/>
      <c r="B5" s="450"/>
      <c r="C5" s="451"/>
      <c r="D5" s="451"/>
      <c r="E5" s="451"/>
      <c r="F5" s="451">
        <v>2013</v>
      </c>
      <c r="G5" s="451" t="s">
        <v>107</v>
      </c>
      <c r="H5" s="451"/>
      <c r="I5" s="451">
        <v>2013</v>
      </c>
      <c r="J5" s="451" t="s">
        <v>108</v>
      </c>
      <c r="K5" s="451"/>
      <c r="L5" s="452" t="s">
        <v>109</v>
      </c>
      <c r="M5" s="451">
        <v>2013</v>
      </c>
      <c r="N5" s="451" t="s">
        <v>110</v>
      </c>
      <c r="O5" s="453"/>
      <c r="P5" s="454">
        <v>2013</v>
      </c>
    </row>
    <row r="6" spans="1:16" ht="15">
      <c r="A6" s="449" t="s">
        <v>30</v>
      </c>
      <c r="B6" s="450" t="s">
        <v>111</v>
      </c>
      <c r="C6" s="451" t="s">
        <v>112</v>
      </c>
      <c r="D6" s="451"/>
      <c r="E6" s="451"/>
      <c r="F6" s="451">
        <v>100</v>
      </c>
      <c r="G6" s="451"/>
      <c r="H6" s="451"/>
      <c r="I6" s="451">
        <v>100</v>
      </c>
      <c r="J6" s="451"/>
      <c r="K6" s="451"/>
      <c r="L6" s="452" t="s">
        <v>113</v>
      </c>
      <c r="M6" s="451">
        <v>100</v>
      </c>
      <c r="N6" s="451"/>
      <c r="O6" s="453"/>
      <c r="P6" s="454">
        <v>100</v>
      </c>
    </row>
    <row r="7" spans="1:16" ht="15.75" thickBot="1">
      <c r="A7" s="449"/>
      <c r="B7" s="450" t="s">
        <v>32</v>
      </c>
      <c r="C7" s="451"/>
      <c r="D7" s="455">
        <v>2013</v>
      </c>
      <c r="E7" s="455">
        <v>2014</v>
      </c>
      <c r="F7" s="455"/>
      <c r="G7" s="455">
        <v>2013</v>
      </c>
      <c r="H7" s="455">
        <v>2014</v>
      </c>
      <c r="I7" s="451"/>
      <c r="J7" s="455">
        <v>2013</v>
      </c>
      <c r="K7" s="455">
        <v>2014</v>
      </c>
      <c r="L7" s="452" t="s">
        <v>114</v>
      </c>
      <c r="M7" s="451"/>
      <c r="N7" s="455">
        <v>2013</v>
      </c>
      <c r="O7" s="456">
        <v>2014</v>
      </c>
      <c r="P7" s="457"/>
    </row>
    <row r="8" spans="1:21" ht="15">
      <c r="A8" s="458">
        <v>1</v>
      </c>
      <c r="B8" s="459"/>
      <c r="C8" s="460" t="s">
        <v>26</v>
      </c>
      <c r="D8" s="516">
        <f>önkormányzat!C43</f>
        <v>106480</v>
      </c>
      <c r="E8" s="516">
        <f>önkormányzat!G43</f>
        <v>104596</v>
      </c>
      <c r="F8" s="461">
        <f>E8/D8*100</f>
        <v>98.23065364387679</v>
      </c>
      <c r="G8" s="430">
        <f>önkormányzat!D43</f>
        <v>25296</v>
      </c>
      <c r="H8" s="516">
        <f>önkormányzat!H43</f>
        <v>21634</v>
      </c>
      <c r="I8" s="461">
        <f>H8/G8*100</f>
        <v>85.52340290955091</v>
      </c>
      <c r="J8" s="430">
        <f>önkormányzat!E43</f>
        <v>51329</v>
      </c>
      <c r="K8" s="516">
        <f>önkormányzat!I43</f>
        <v>54481</v>
      </c>
      <c r="L8" s="462">
        <f>K8/J8</f>
        <v>1.0614077811763332</v>
      </c>
      <c r="M8" s="463">
        <f>K8/J8*100</f>
        <v>106.14077811763332</v>
      </c>
      <c r="N8" s="431">
        <f aca="true" t="shared" si="0" ref="N8:O11">J8+G8+D8</f>
        <v>183105</v>
      </c>
      <c r="O8" s="525">
        <f t="shared" si="0"/>
        <v>180711</v>
      </c>
      <c r="P8" s="464">
        <f>O8/N8*100</f>
        <v>98.69255345293683</v>
      </c>
      <c r="T8" s="465">
        <f>O8-174532</f>
        <v>6179</v>
      </c>
      <c r="U8" s="465">
        <f>T8-N8</f>
        <v>-176926</v>
      </c>
    </row>
    <row r="9" spans="1:16" ht="15">
      <c r="A9" s="458"/>
      <c r="B9" s="466" t="s">
        <v>33</v>
      </c>
      <c r="C9" s="451" t="s">
        <v>275</v>
      </c>
      <c r="D9" s="516">
        <f>önkormányzat!C98</f>
        <v>10759</v>
      </c>
      <c r="E9" s="516">
        <f>önkormányzat!G98</f>
        <v>7557</v>
      </c>
      <c r="F9" s="461">
        <v>0</v>
      </c>
      <c r="G9" s="358">
        <f>önkormányzat!D98</f>
        <v>2708</v>
      </c>
      <c r="H9" s="519">
        <f>önkormányzat!H98</f>
        <v>3885</v>
      </c>
      <c r="I9" s="451">
        <v>0</v>
      </c>
      <c r="J9" s="431">
        <f>önkormányzat!E98</f>
        <v>95829</v>
      </c>
      <c r="K9" s="524">
        <f>önkormányzat!I98</f>
        <v>151471</v>
      </c>
      <c r="L9" s="451">
        <v>0</v>
      </c>
      <c r="M9" s="463">
        <v>0</v>
      </c>
      <c r="N9" s="431">
        <f t="shared" si="0"/>
        <v>109296</v>
      </c>
      <c r="O9" s="525">
        <f t="shared" si="0"/>
        <v>162913</v>
      </c>
      <c r="P9" s="464">
        <f>O9/N9*100</f>
        <v>149.05669008929877</v>
      </c>
    </row>
    <row r="10" spans="1:21" ht="15">
      <c r="A10" s="458"/>
      <c r="B10" s="467">
        <v>5</v>
      </c>
      <c r="C10" s="451" t="s">
        <v>115</v>
      </c>
      <c r="D10" s="516">
        <f>önkormányzat!F45</f>
        <v>0</v>
      </c>
      <c r="E10" s="516">
        <f>önkormányzat!G45</f>
        <v>0</v>
      </c>
      <c r="F10" s="461" t="e">
        <f>E10/D10*100</f>
        <v>#DIV/0!</v>
      </c>
      <c r="G10" s="358">
        <f>önkormányzat!D45</f>
        <v>0</v>
      </c>
      <c r="H10" s="519">
        <f>önkormányzat!H45</f>
        <v>0</v>
      </c>
      <c r="I10" s="468" t="e">
        <f>H10/G10*100</f>
        <v>#DIV/0!</v>
      </c>
      <c r="J10" s="431">
        <f>önkormányzat!E45</f>
        <v>0</v>
      </c>
      <c r="K10" s="524">
        <f>önkormányzat!I45</f>
        <v>0</v>
      </c>
      <c r="L10" s="451">
        <v>0</v>
      </c>
      <c r="M10" s="463" t="e">
        <f>K10/J10*100</f>
        <v>#DIV/0!</v>
      </c>
      <c r="N10" s="431">
        <f t="shared" si="0"/>
        <v>0</v>
      </c>
      <c r="O10" s="525">
        <f t="shared" si="0"/>
        <v>0</v>
      </c>
      <c r="P10" s="464" t="e">
        <f>O10/N10*100</f>
        <v>#DIV/0!</v>
      </c>
      <c r="R10" s="465"/>
      <c r="U10" s="465">
        <f>O10-N10</f>
        <v>0</v>
      </c>
    </row>
    <row r="11" spans="1:16" ht="15.75" thickBot="1">
      <c r="A11" s="458"/>
      <c r="B11" s="469" t="s">
        <v>116</v>
      </c>
      <c r="C11" s="451" t="s">
        <v>117</v>
      </c>
      <c r="D11" s="517">
        <f>önkormányzat!F91</f>
        <v>2287</v>
      </c>
      <c r="E11" s="517">
        <f>önkormányzat!G91</f>
        <v>0</v>
      </c>
      <c r="F11" s="461">
        <v>0</v>
      </c>
      <c r="G11" s="430">
        <f>önkormányzat!G91</f>
        <v>0</v>
      </c>
      <c r="H11" s="516">
        <f>önkormányzat!H91</f>
        <v>0</v>
      </c>
      <c r="I11" s="451"/>
      <c r="J11" s="431">
        <f>önkormányzat!H91</f>
        <v>0</v>
      </c>
      <c r="K11" s="524">
        <f>önkormányzat!I91</f>
        <v>0</v>
      </c>
      <c r="L11" s="451">
        <v>0</v>
      </c>
      <c r="M11" s="463">
        <v>0</v>
      </c>
      <c r="N11" s="431">
        <f t="shared" si="0"/>
        <v>2287</v>
      </c>
      <c r="O11" s="525">
        <f t="shared" si="0"/>
        <v>0</v>
      </c>
      <c r="P11" s="464">
        <f>O11/N11*100</f>
        <v>0</v>
      </c>
    </row>
    <row r="12" spans="1:20" ht="15.75" thickBot="1">
      <c r="A12" s="470">
        <v>1</v>
      </c>
      <c r="B12" s="471" t="s">
        <v>37</v>
      </c>
      <c r="C12" s="472" t="s">
        <v>118</v>
      </c>
      <c r="D12" s="432">
        <f>SUM(D8:D11)</f>
        <v>119526</v>
      </c>
      <c r="E12" s="432">
        <f>SUM(E8:E11)</f>
        <v>112153</v>
      </c>
      <c r="F12" s="437">
        <f aca="true" t="shared" si="1" ref="F12:F17">E12/D12*100</f>
        <v>93.83146763047371</v>
      </c>
      <c r="G12" s="432">
        <f>SUM(G8:G11)</f>
        <v>28004</v>
      </c>
      <c r="H12" s="432">
        <f>SUM(H8:H11)</f>
        <v>25519</v>
      </c>
      <c r="I12" s="437">
        <f aca="true" t="shared" si="2" ref="I12:I24">H12/G12*100</f>
        <v>91.12626767604628</v>
      </c>
      <c r="J12" s="432">
        <f>SUM(J8:J11)</f>
        <v>147158</v>
      </c>
      <c r="K12" s="432">
        <f>SUM(K8:K11)</f>
        <v>205952</v>
      </c>
      <c r="L12" s="473">
        <v>0</v>
      </c>
      <c r="M12" s="437">
        <f aca="true" t="shared" si="3" ref="M12:M17">K12/J12*100</f>
        <v>139.95297571317903</v>
      </c>
      <c r="N12" s="432">
        <f>SUM(N8:N11)</f>
        <v>294688</v>
      </c>
      <c r="O12" s="433">
        <f>SUM(O8:O11)</f>
        <v>343624</v>
      </c>
      <c r="P12" s="474">
        <f aca="true" t="shared" si="4" ref="P12:P29">O12/N12*100</f>
        <v>116.6060375719405</v>
      </c>
      <c r="R12" s="465">
        <f>O12-N12</f>
        <v>48936</v>
      </c>
      <c r="S12" s="465">
        <f>O12-N12</f>
        <v>48936</v>
      </c>
      <c r="T12" s="465">
        <f>O12-174532</f>
        <v>169092</v>
      </c>
    </row>
    <row r="13" spans="1:21" ht="15">
      <c r="A13" s="458">
        <v>2</v>
      </c>
      <c r="B13" s="459">
        <v>1</v>
      </c>
      <c r="C13" s="452" t="s">
        <v>119</v>
      </c>
      <c r="D13" s="519"/>
      <c r="E13" s="519"/>
      <c r="F13" s="475" t="e">
        <f t="shared" si="1"/>
        <v>#DIV/0!</v>
      </c>
      <c r="G13" s="434"/>
      <c r="H13" s="518"/>
      <c r="I13" s="475" t="e">
        <f t="shared" si="2"/>
        <v>#DIV/0!</v>
      </c>
      <c r="J13" s="434"/>
      <c r="K13" s="518"/>
      <c r="L13" s="476"/>
      <c r="M13" s="475" t="e">
        <f t="shared" si="3"/>
        <v>#DIV/0!</v>
      </c>
      <c r="N13" s="431">
        <f aca="true" t="shared" si="5" ref="N13:O17">J13+G13+D13</f>
        <v>0</v>
      </c>
      <c r="O13" s="525">
        <f t="shared" si="5"/>
        <v>0</v>
      </c>
      <c r="P13" s="477" t="e">
        <f>O13/N13*100</f>
        <v>#DIV/0!</v>
      </c>
      <c r="U13" s="465">
        <f aca="true" t="shared" si="6" ref="U13:U28">O13-N13</f>
        <v>0</v>
      </c>
    </row>
    <row r="14" spans="1:21" ht="14.25">
      <c r="A14" s="458"/>
      <c r="B14" s="469" t="s">
        <v>42</v>
      </c>
      <c r="C14" s="478" t="s">
        <v>41</v>
      </c>
      <c r="D14" s="520"/>
      <c r="E14" s="520"/>
      <c r="F14" s="479" t="e">
        <f t="shared" si="1"/>
        <v>#DIV/0!</v>
      </c>
      <c r="G14" s="435"/>
      <c r="H14" s="523"/>
      <c r="I14" s="479" t="e">
        <f t="shared" si="2"/>
        <v>#DIV/0!</v>
      </c>
      <c r="J14" s="435"/>
      <c r="K14" s="523"/>
      <c r="L14" s="480">
        <v>0</v>
      </c>
      <c r="M14" s="479" t="e">
        <f t="shared" si="3"/>
        <v>#DIV/0!</v>
      </c>
      <c r="N14" s="436">
        <f t="shared" si="5"/>
        <v>0</v>
      </c>
      <c r="O14" s="526">
        <f t="shared" si="5"/>
        <v>0</v>
      </c>
      <c r="P14" s="481" t="e">
        <f>O14/N14*100</f>
        <v>#DIV/0!</v>
      </c>
      <c r="U14" s="465">
        <f t="shared" si="6"/>
        <v>0</v>
      </c>
    </row>
    <row r="15" spans="1:27" ht="15">
      <c r="A15" s="458"/>
      <c r="B15" s="459">
        <v>2</v>
      </c>
      <c r="C15" s="452" t="s">
        <v>179</v>
      </c>
      <c r="D15" s="521">
        <v>35739</v>
      </c>
      <c r="E15" s="521">
        <f>38449+1056</f>
        <v>39505</v>
      </c>
      <c r="F15" s="475">
        <f t="shared" si="1"/>
        <v>110.53750804443325</v>
      </c>
      <c r="G15" s="459">
        <v>9327</v>
      </c>
      <c r="H15" s="521">
        <f>10153+377</f>
        <v>10530</v>
      </c>
      <c r="I15" s="475">
        <f t="shared" si="2"/>
        <v>112.89803795432616</v>
      </c>
      <c r="J15" s="459">
        <v>16697</v>
      </c>
      <c r="K15" s="521">
        <v>17303</v>
      </c>
      <c r="L15" s="476"/>
      <c r="M15" s="475">
        <f t="shared" si="3"/>
        <v>103.62939450200635</v>
      </c>
      <c r="N15" s="431">
        <f t="shared" si="5"/>
        <v>61763</v>
      </c>
      <c r="O15" s="525">
        <f t="shared" si="5"/>
        <v>67338</v>
      </c>
      <c r="P15" s="477">
        <f t="shared" si="4"/>
        <v>109.02643977786053</v>
      </c>
      <c r="U15" s="465">
        <f t="shared" si="6"/>
        <v>5575</v>
      </c>
      <c r="AA15" s="465"/>
    </row>
    <row r="16" spans="1:27" ht="15">
      <c r="A16" s="458"/>
      <c r="B16" s="459">
        <v>3</v>
      </c>
      <c r="C16" s="452" t="s">
        <v>120</v>
      </c>
      <c r="D16" s="521">
        <v>10617</v>
      </c>
      <c r="E16" s="521">
        <f>16634+360</f>
        <v>16994</v>
      </c>
      <c r="F16" s="475">
        <f t="shared" si="1"/>
        <v>160.06404822454553</v>
      </c>
      <c r="G16" s="459">
        <v>2805</v>
      </c>
      <c r="H16" s="521">
        <f>4455+129</f>
        <v>4584</v>
      </c>
      <c r="I16" s="475">
        <f t="shared" si="2"/>
        <v>163.42245989304814</v>
      </c>
      <c r="J16" s="459">
        <v>9972</v>
      </c>
      <c r="K16" s="521">
        <v>13003</v>
      </c>
      <c r="L16" s="476">
        <v>0</v>
      </c>
      <c r="M16" s="475">
        <f t="shared" si="3"/>
        <v>130.3951062976334</v>
      </c>
      <c r="N16" s="431">
        <f t="shared" si="5"/>
        <v>23394</v>
      </c>
      <c r="O16" s="525">
        <f t="shared" si="5"/>
        <v>34581</v>
      </c>
      <c r="P16" s="477">
        <f t="shared" si="4"/>
        <v>147.8199538343165</v>
      </c>
      <c r="U16" s="465">
        <f t="shared" si="6"/>
        <v>11187</v>
      </c>
      <c r="AA16" s="465"/>
    </row>
    <row r="17" spans="1:27" ht="15">
      <c r="A17" s="458"/>
      <c r="B17" s="459">
        <v>4</v>
      </c>
      <c r="C17" s="451" t="s">
        <v>24</v>
      </c>
      <c r="D17" s="521">
        <v>27372</v>
      </c>
      <c r="E17" s="521">
        <f>29771+564</f>
        <v>30335</v>
      </c>
      <c r="F17" s="475">
        <f t="shared" si="1"/>
        <v>110.82493058600029</v>
      </c>
      <c r="G17" s="459">
        <v>7322</v>
      </c>
      <c r="H17" s="521">
        <f>8006+201</f>
        <v>8207</v>
      </c>
      <c r="I17" s="475">
        <f t="shared" si="2"/>
        <v>112.08686151324774</v>
      </c>
      <c r="J17" s="459">
        <v>43404</v>
      </c>
      <c r="K17" s="521">
        <v>33053</v>
      </c>
      <c r="L17" s="476"/>
      <c r="M17" s="475">
        <f t="shared" si="3"/>
        <v>76.15196756059349</v>
      </c>
      <c r="N17" s="431">
        <f t="shared" si="5"/>
        <v>78098</v>
      </c>
      <c r="O17" s="525">
        <f t="shared" si="5"/>
        <v>71595</v>
      </c>
      <c r="P17" s="482">
        <f t="shared" si="4"/>
        <v>91.67328228635817</v>
      </c>
      <c r="U17" s="465">
        <f t="shared" si="6"/>
        <v>-6503</v>
      </c>
      <c r="AA17" s="465"/>
    </row>
    <row r="18" spans="1:27" s="483" customFormat="1" ht="15">
      <c r="A18" s="458"/>
      <c r="B18" s="459">
        <v>5</v>
      </c>
      <c r="C18" s="451" t="s">
        <v>355</v>
      </c>
      <c r="D18" s="522">
        <f>D19+D20+D21+D22+D23+D24+D26+D25</f>
        <v>77047</v>
      </c>
      <c r="E18" s="522">
        <f>E19+E20+E21+E22+E23+E24+E26+E25</f>
        <v>100011</v>
      </c>
      <c r="F18" s="360" t="e">
        <f>F19+F20+F21+F22+F23+F24+F26</f>
        <v>#DIV/0!</v>
      </c>
      <c r="G18" s="522">
        <f>G19+G20+G21+G22+G23+G24+G26+G25</f>
        <v>20359</v>
      </c>
      <c r="H18" s="522">
        <f>H19+H20+H21+H22+H23+H24+H26+H25</f>
        <v>27011</v>
      </c>
      <c r="I18" s="475">
        <f t="shared" si="2"/>
        <v>132.6735104867626</v>
      </c>
      <c r="J18" s="522">
        <f>J19+J20+J21+J22+J23+J24+J26+J25</f>
        <v>142131</v>
      </c>
      <c r="K18" s="522">
        <f>K19+K20+K21+K22+K23+K24+K26+K25</f>
        <v>177424</v>
      </c>
      <c r="L18" s="360">
        <f>L19+L20+L21+L22+L23+L24+L26</f>
        <v>0</v>
      </c>
      <c r="M18" s="360">
        <f>M19+M20+M21+M22+M23+M24+M26</f>
        <v>371.94453517131706</v>
      </c>
      <c r="N18" s="522">
        <f>N19+N20+N21+N22+N23+N24+N26+N25</f>
        <v>239537</v>
      </c>
      <c r="O18" s="522">
        <f>O19+O20+O21+O22+O23+O24+O26+O25</f>
        <v>304446</v>
      </c>
      <c r="P18" s="482">
        <f t="shared" si="4"/>
        <v>127.09769263203596</v>
      </c>
      <c r="U18" s="484"/>
      <c r="AA18" s="465"/>
    </row>
    <row r="19" spans="1:27" ht="14.25">
      <c r="A19" s="458"/>
      <c r="B19" s="459" t="s">
        <v>156</v>
      </c>
      <c r="C19" s="460" t="s">
        <v>358</v>
      </c>
      <c r="D19" s="519">
        <v>25455</v>
      </c>
      <c r="E19" s="519">
        <f>39475+1509+1294</f>
        <v>42278</v>
      </c>
      <c r="F19" s="485">
        <v>0</v>
      </c>
      <c r="G19" s="358">
        <v>6705</v>
      </c>
      <c r="H19" s="519">
        <f>10921+462</f>
        <v>11383</v>
      </c>
      <c r="I19" s="475">
        <f t="shared" si="2"/>
        <v>169.76882923191647</v>
      </c>
      <c r="J19" s="358">
        <v>4163</v>
      </c>
      <c r="K19" s="519">
        <v>5427</v>
      </c>
      <c r="L19" s="485"/>
      <c r="M19" s="485">
        <f>K19/J19*100</f>
        <v>130.36271919288976</v>
      </c>
      <c r="N19" s="431">
        <f>J19+G19+D19</f>
        <v>36323</v>
      </c>
      <c r="O19" s="525">
        <f>K19+H19+E19</f>
        <v>59088</v>
      </c>
      <c r="P19" s="486">
        <f t="shared" si="4"/>
        <v>162.6737879580431</v>
      </c>
      <c r="U19" s="465">
        <f t="shared" si="6"/>
        <v>22765</v>
      </c>
      <c r="W19" s="440">
        <v>12354</v>
      </c>
      <c r="AA19" s="465"/>
    </row>
    <row r="20" spans="1:27" ht="14.25">
      <c r="A20" s="458"/>
      <c r="B20" s="459" t="s">
        <v>157</v>
      </c>
      <c r="C20" s="460" t="s">
        <v>356</v>
      </c>
      <c r="D20" s="519"/>
      <c r="E20" s="519"/>
      <c r="F20" s="485"/>
      <c r="G20" s="358"/>
      <c r="H20" s="519"/>
      <c r="I20" s="475"/>
      <c r="J20" s="358">
        <v>5952</v>
      </c>
      <c r="K20" s="519">
        <v>3500</v>
      </c>
      <c r="L20" s="485"/>
      <c r="M20" s="485">
        <f>K20/J20*100</f>
        <v>58.803763440860216</v>
      </c>
      <c r="N20" s="431">
        <f aca="true" t="shared" si="7" ref="N20:N26">J20+G20+D20</f>
        <v>5952</v>
      </c>
      <c r="O20" s="525">
        <f aca="true" t="shared" si="8" ref="O20:O26">K20+H20+E20</f>
        <v>3500</v>
      </c>
      <c r="P20" s="486"/>
      <c r="U20" s="465"/>
      <c r="AA20" s="465"/>
    </row>
    <row r="21" spans="1:27" ht="14.25">
      <c r="A21" s="458"/>
      <c r="B21" s="459" t="s">
        <v>349</v>
      </c>
      <c r="C21" s="451" t="s">
        <v>276</v>
      </c>
      <c r="D21" s="522">
        <v>31608</v>
      </c>
      <c r="E21" s="522">
        <f>37647+960</f>
        <v>38607</v>
      </c>
      <c r="F21" s="485"/>
      <c r="G21" s="360">
        <v>8392</v>
      </c>
      <c r="H21" s="522">
        <f>10165+343</f>
        <v>10508</v>
      </c>
      <c r="I21" s="475">
        <f t="shared" si="2"/>
        <v>125.21448999046711</v>
      </c>
      <c r="J21" s="360">
        <v>9326</v>
      </c>
      <c r="K21" s="522">
        <v>10046</v>
      </c>
      <c r="L21" s="485"/>
      <c r="M21" s="485"/>
      <c r="N21" s="431">
        <f t="shared" si="7"/>
        <v>49326</v>
      </c>
      <c r="O21" s="525">
        <f t="shared" si="8"/>
        <v>59161</v>
      </c>
      <c r="P21" s="486"/>
      <c r="U21" s="465"/>
      <c r="W21" s="465"/>
      <c r="AA21" s="465"/>
    </row>
    <row r="22" spans="1:27" ht="14.25">
      <c r="A22" s="458"/>
      <c r="B22" s="459" t="s">
        <v>353</v>
      </c>
      <c r="C22" s="460" t="s">
        <v>350</v>
      </c>
      <c r="D22" s="519"/>
      <c r="E22" s="519"/>
      <c r="F22" s="485" t="e">
        <f>E22/D22*100</f>
        <v>#DIV/0!</v>
      </c>
      <c r="G22" s="434"/>
      <c r="H22" s="518">
        <f>E22*0.27</f>
        <v>0</v>
      </c>
      <c r="I22" s="475"/>
      <c r="J22" s="434">
        <v>32259</v>
      </c>
      <c r="K22" s="518">
        <v>37957</v>
      </c>
      <c r="L22" s="485"/>
      <c r="M22" s="485">
        <f>K22/J22*100</f>
        <v>117.66328776465483</v>
      </c>
      <c r="N22" s="431">
        <f t="shared" si="7"/>
        <v>32259</v>
      </c>
      <c r="O22" s="525">
        <f t="shared" si="8"/>
        <v>37957</v>
      </c>
      <c r="P22" s="486">
        <f>O22/N22*100</f>
        <v>117.66328776465483</v>
      </c>
      <c r="U22" s="465">
        <f>O22-N22</f>
        <v>5698</v>
      </c>
      <c r="W22" s="440">
        <v>38608</v>
      </c>
      <c r="X22" s="440">
        <v>31387</v>
      </c>
      <c r="Y22" s="440">
        <f>W22+X22</f>
        <v>69995</v>
      </c>
      <c r="AA22" s="465"/>
    </row>
    <row r="23" spans="1:27" ht="14.25">
      <c r="A23" s="458"/>
      <c r="B23" s="459" t="s">
        <v>354</v>
      </c>
      <c r="C23" s="460" t="s">
        <v>351</v>
      </c>
      <c r="D23" s="519"/>
      <c r="E23" s="519"/>
      <c r="F23" s="485"/>
      <c r="G23" s="434"/>
      <c r="H23" s="518"/>
      <c r="I23" s="475"/>
      <c r="J23" s="434">
        <v>32956</v>
      </c>
      <c r="K23" s="518">
        <v>0</v>
      </c>
      <c r="L23" s="485"/>
      <c r="M23" s="485"/>
      <c r="N23" s="431">
        <f t="shared" si="7"/>
        <v>32956</v>
      </c>
      <c r="O23" s="525">
        <f t="shared" si="8"/>
        <v>0</v>
      </c>
      <c r="P23" s="486"/>
      <c r="U23" s="465"/>
      <c r="AA23" s="465"/>
    </row>
    <row r="24" spans="1:27" ht="14.25">
      <c r="A24" s="458"/>
      <c r="B24" s="467" t="s">
        <v>357</v>
      </c>
      <c r="C24" s="460" t="s">
        <v>352</v>
      </c>
      <c r="D24" s="522"/>
      <c r="E24" s="522"/>
      <c r="F24" s="485" t="e">
        <f>E24/D24*100</f>
        <v>#DIV/0!</v>
      </c>
      <c r="G24" s="360">
        <v>0</v>
      </c>
      <c r="H24" s="518">
        <f>E24*0.27</f>
        <v>0</v>
      </c>
      <c r="I24" s="475" t="e">
        <f t="shared" si="2"/>
        <v>#DIV/0!</v>
      </c>
      <c r="J24" s="360">
        <v>6143</v>
      </c>
      <c r="K24" s="522">
        <v>4000</v>
      </c>
      <c r="L24" s="485">
        <v>0</v>
      </c>
      <c r="M24" s="485">
        <f>K24/J24*100</f>
        <v>65.11476477291225</v>
      </c>
      <c r="N24" s="431">
        <f t="shared" si="7"/>
        <v>6143</v>
      </c>
      <c r="O24" s="525">
        <f t="shared" si="8"/>
        <v>4000</v>
      </c>
      <c r="P24" s="486">
        <f>O24/N24*100</f>
        <v>65.11476477291225</v>
      </c>
      <c r="U24" s="465">
        <f>O24-N24</f>
        <v>-2143</v>
      </c>
      <c r="W24" s="440">
        <v>7543</v>
      </c>
      <c r="AA24" s="465"/>
    </row>
    <row r="25" spans="1:27" ht="14.25">
      <c r="A25" s="458"/>
      <c r="B25" s="467"/>
      <c r="C25" s="460" t="s">
        <v>425</v>
      </c>
      <c r="D25" s="522"/>
      <c r="E25" s="522"/>
      <c r="F25" s="485"/>
      <c r="G25" s="360"/>
      <c r="H25" s="518"/>
      <c r="I25" s="475"/>
      <c r="J25" s="360"/>
      <c r="K25" s="522">
        <v>14252</v>
      </c>
      <c r="L25" s="485"/>
      <c r="M25" s="485"/>
      <c r="N25" s="431">
        <f t="shared" si="7"/>
        <v>0</v>
      </c>
      <c r="O25" s="525">
        <f t="shared" si="8"/>
        <v>14252</v>
      </c>
      <c r="P25" s="486"/>
      <c r="U25" s="465"/>
      <c r="AA25" s="465"/>
    </row>
    <row r="26" spans="1:27" ht="14.25">
      <c r="A26" s="458"/>
      <c r="B26" s="467" t="s">
        <v>362</v>
      </c>
      <c r="C26" s="460" t="s">
        <v>424</v>
      </c>
      <c r="D26" s="522">
        <v>19984</v>
      </c>
      <c r="E26" s="522">
        <f>18550+576</f>
        <v>19126</v>
      </c>
      <c r="F26" s="485"/>
      <c r="G26" s="360">
        <v>5262</v>
      </c>
      <c r="H26" s="518">
        <f>4914+206</f>
        <v>5120</v>
      </c>
      <c r="I26" s="475"/>
      <c r="J26" s="360">
        <v>51332</v>
      </c>
      <c r="K26" s="522">
        <v>102242</v>
      </c>
      <c r="L26" s="485"/>
      <c r="M26" s="485"/>
      <c r="N26" s="431">
        <f t="shared" si="7"/>
        <v>76578</v>
      </c>
      <c r="O26" s="525">
        <f t="shared" si="8"/>
        <v>126488</v>
      </c>
      <c r="P26" s="486"/>
      <c r="U26" s="465"/>
      <c r="AA26" s="465"/>
    </row>
    <row r="27" spans="1:27" ht="15.75" thickBot="1">
      <c r="A27" s="487">
        <v>2</v>
      </c>
      <c r="B27" s="488" t="s">
        <v>38</v>
      </c>
      <c r="C27" s="489" t="s">
        <v>359</v>
      </c>
      <c r="D27" s="428">
        <f>D13+D15+D16+D17+D18</f>
        <v>150775</v>
      </c>
      <c r="E27" s="428">
        <f>E13+E15+E16+E17+E18</f>
        <v>186845</v>
      </c>
      <c r="F27" s="490">
        <f>E27/D27*100</f>
        <v>123.92306416846294</v>
      </c>
      <c r="G27" s="428">
        <f>G13+G15+G16+G17+G18</f>
        <v>39813</v>
      </c>
      <c r="H27" s="428">
        <f>H13+H15+H16+H17+H18</f>
        <v>50332</v>
      </c>
      <c r="I27" s="437">
        <f>H27/G27*100</f>
        <v>126.42101826036722</v>
      </c>
      <c r="J27" s="428">
        <f>J13+J15+J16+J17+J18</f>
        <v>212204</v>
      </c>
      <c r="K27" s="428">
        <f>K13+K15+K16+K17+K18</f>
        <v>240783</v>
      </c>
      <c r="L27" s="432" t="e">
        <f>SUM(L13:L17)-L14-#REF!</f>
        <v>#REF!</v>
      </c>
      <c r="M27" s="437">
        <f>K27/J27*100</f>
        <v>113.46770089159489</v>
      </c>
      <c r="N27" s="428">
        <f>N13+N15+N16+N17+N18</f>
        <v>402792</v>
      </c>
      <c r="O27" s="429">
        <f>O13+O15+O16+O17+O18</f>
        <v>477960</v>
      </c>
      <c r="P27" s="491">
        <f t="shared" si="4"/>
        <v>118.66174104748852</v>
      </c>
      <c r="R27" s="465">
        <f>O27-N27</f>
        <v>75168</v>
      </c>
      <c r="U27" s="465">
        <f t="shared" si="6"/>
        <v>75168</v>
      </c>
      <c r="AA27" s="465"/>
    </row>
    <row r="28" spans="1:21" s="664" customFormat="1" ht="15.75" thickBot="1">
      <c r="A28" s="655">
        <v>3</v>
      </c>
      <c r="B28" s="656"/>
      <c r="C28" s="657" t="s">
        <v>25</v>
      </c>
      <c r="D28" s="658">
        <f>30664+111674</f>
        <v>142338</v>
      </c>
      <c r="E28" s="658">
        <v>151464</v>
      </c>
      <c r="F28" s="659">
        <f>E28/D28*100</f>
        <v>106.41149938877884</v>
      </c>
      <c r="G28" s="656">
        <v>32812</v>
      </c>
      <c r="H28" s="656">
        <v>39592</v>
      </c>
      <c r="I28" s="659">
        <f>H28/G28*100</f>
        <v>120.66317201024015</v>
      </c>
      <c r="J28" s="656">
        <v>99719</v>
      </c>
      <c r="K28" s="656">
        <v>97918</v>
      </c>
      <c r="L28" s="660">
        <v>0</v>
      </c>
      <c r="M28" s="659">
        <f>K28/J28*100</f>
        <v>98.19392492905064</v>
      </c>
      <c r="N28" s="661">
        <f>J28+G28+D28</f>
        <v>274869</v>
      </c>
      <c r="O28" s="662">
        <f>K28+H28+E28</f>
        <v>288974</v>
      </c>
      <c r="P28" s="663">
        <f t="shared" si="4"/>
        <v>105.13153538594749</v>
      </c>
      <c r="U28" s="665">
        <f t="shared" si="6"/>
        <v>14105</v>
      </c>
    </row>
    <row r="29" spans="1:22" ht="17.25" customHeight="1" thickBot="1">
      <c r="A29" s="527" t="s">
        <v>39</v>
      </c>
      <c r="B29" s="528"/>
      <c r="C29" s="529" t="s">
        <v>27</v>
      </c>
      <c r="D29" s="530">
        <f>D28+D27+D12</f>
        <v>412639</v>
      </c>
      <c r="E29" s="530">
        <f>E28+E27+E12</f>
        <v>450462</v>
      </c>
      <c r="F29" s="531">
        <f>E29/D29*100</f>
        <v>109.16612341538246</v>
      </c>
      <c r="G29" s="530">
        <f>G28+G27+G12</f>
        <v>100629</v>
      </c>
      <c r="H29" s="530">
        <f>H28+H27+H12</f>
        <v>115443</v>
      </c>
      <c r="I29" s="531">
        <f>H29/G29*100</f>
        <v>114.72140237903588</v>
      </c>
      <c r="J29" s="530">
        <f>J28+J27+J12</f>
        <v>459081</v>
      </c>
      <c r="K29" s="530">
        <f>K28+K27+K12</f>
        <v>544653</v>
      </c>
      <c r="L29" s="530" t="e">
        <f>L28+L27+L12</f>
        <v>#REF!</v>
      </c>
      <c r="M29" s="531">
        <f>K29/J29*100</f>
        <v>118.63984786998374</v>
      </c>
      <c r="N29" s="532">
        <f>N28+N27+N12</f>
        <v>972349</v>
      </c>
      <c r="O29" s="533">
        <f>O28+O27+O12</f>
        <v>1110558</v>
      </c>
      <c r="P29" s="427">
        <f t="shared" si="4"/>
        <v>114.21392936075421</v>
      </c>
      <c r="R29" s="465">
        <f>O29-N29</f>
        <v>138209</v>
      </c>
      <c r="T29" s="465">
        <f>O29-174532</f>
        <v>936026</v>
      </c>
      <c r="U29" s="465">
        <f>T29-N29</f>
        <v>-36323</v>
      </c>
      <c r="V29" s="440">
        <f>T29/N29</f>
        <v>0.9626440712131138</v>
      </c>
    </row>
    <row r="30" spans="3:15" ht="14.25" hidden="1">
      <c r="C30" s="492"/>
      <c r="D30" s="440" t="e">
        <f>D29/C30</f>
        <v>#DIV/0!</v>
      </c>
      <c r="E30" s="440" t="e">
        <f>E29/D30</f>
        <v>#DIV/0!</v>
      </c>
      <c r="G30" s="465">
        <f>G29+8782</f>
        <v>109411</v>
      </c>
      <c r="H30" s="440">
        <f>H29/G30</f>
        <v>1.0551315681238633</v>
      </c>
      <c r="J30" s="465">
        <f>J29+6366</f>
        <v>465447</v>
      </c>
      <c r="K30" s="465">
        <f>K29-174532</f>
        <v>370121</v>
      </c>
      <c r="N30" s="465"/>
      <c r="O30" s="465">
        <f>N30-T29</f>
        <v>-936026</v>
      </c>
    </row>
    <row r="31" spans="3:12" ht="15" hidden="1">
      <c r="C31" s="493" t="s">
        <v>189</v>
      </c>
      <c r="D31" s="340"/>
      <c r="E31" s="340"/>
      <c r="G31" s="340"/>
      <c r="H31" s="340"/>
      <c r="I31" s="340"/>
      <c r="J31" s="340"/>
      <c r="K31" s="340">
        <f>K30/J30</f>
        <v>0.7951947267895163</v>
      </c>
      <c r="L31" s="340"/>
    </row>
    <row r="32" spans="4:16" ht="14.25" hidden="1">
      <c r="D32" s="438"/>
      <c r="E32" s="438"/>
      <c r="F32" s="438"/>
      <c r="G32" s="438"/>
      <c r="H32" s="438"/>
      <c r="I32" s="438"/>
      <c r="J32" s="438"/>
      <c r="K32" s="438"/>
      <c r="L32" s="438"/>
      <c r="M32" s="340"/>
      <c r="N32" s="340"/>
      <c r="O32" s="340"/>
      <c r="P32" s="340"/>
    </row>
    <row r="33" spans="3:15" ht="14.25" hidden="1">
      <c r="C33" s="440" t="s">
        <v>180</v>
      </c>
      <c r="D33" s="465">
        <f>D15</f>
        <v>35739</v>
      </c>
      <c r="E33" s="465">
        <f>E15</f>
        <v>39505</v>
      </c>
      <c r="H33" s="465">
        <f>H15</f>
        <v>10530</v>
      </c>
      <c r="K33" s="465">
        <f>K15</f>
        <v>17303</v>
      </c>
      <c r="O33" s="465">
        <f>O15</f>
        <v>67338</v>
      </c>
    </row>
    <row r="34" spans="3:15" ht="15" hidden="1">
      <c r="C34" s="440" t="s">
        <v>181</v>
      </c>
      <c r="D34" s="440">
        <v>33796</v>
      </c>
      <c r="E34" s="440">
        <v>33796</v>
      </c>
      <c r="H34" s="440">
        <v>10251</v>
      </c>
      <c r="K34" s="465">
        <f>16577+286</f>
        <v>16863</v>
      </c>
      <c r="M34" s="494"/>
      <c r="O34" s="339">
        <f>K34+H34+E34</f>
        <v>60910</v>
      </c>
    </row>
    <row r="35" spans="3:15" ht="14.25" hidden="1">
      <c r="C35" s="495" t="s">
        <v>182</v>
      </c>
      <c r="D35" s="465">
        <f>D33-D34</f>
        <v>1943</v>
      </c>
      <c r="E35" s="465">
        <f>E33-E34</f>
        <v>5709</v>
      </c>
      <c r="H35" s="465">
        <f>H33-H34</f>
        <v>279</v>
      </c>
      <c r="K35" s="465">
        <f>K33-K34</f>
        <v>440</v>
      </c>
      <c r="O35" s="465">
        <f>O33-O34</f>
        <v>6428</v>
      </c>
    </row>
    <row r="36" ht="14.25" hidden="1"/>
    <row r="37" spans="3:15" ht="15" hidden="1">
      <c r="C37" s="340" t="s">
        <v>183</v>
      </c>
      <c r="F37" s="465"/>
      <c r="O37" s="104">
        <f>O19-4500</f>
        <v>54588</v>
      </c>
    </row>
    <row r="38" ht="15" hidden="1">
      <c r="O38" s="61"/>
    </row>
    <row r="39" ht="14.25" hidden="1">
      <c r="K39" s="465">
        <f>K8-174532</f>
        <v>-120051</v>
      </c>
    </row>
    <row r="40" ht="14.25" hidden="1">
      <c r="O40" s="465">
        <v>448010</v>
      </c>
    </row>
    <row r="41" ht="14.25" hidden="1">
      <c r="O41" s="465">
        <f>O40+O23+14064</f>
        <v>462074</v>
      </c>
    </row>
    <row r="42" spans="4:14" ht="14.25">
      <c r="D42" s="465"/>
      <c r="E42" s="465"/>
      <c r="H42" s="465"/>
      <c r="K42" s="465"/>
      <c r="N42" s="465"/>
    </row>
    <row r="43" ht="14.25">
      <c r="N43" s="465"/>
    </row>
    <row r="65512" ht="14.25">
      <c r="U65512" s="465">
        <f>O65512-N65512</f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&amp;R..........................rendelet a város 2014 évi költégvetéséről
</oddHeader>
    <oddFooter>&amp;C&amp;D&amp;R&amp;P.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108"/>
  <sheetViews>
    <sheetView zoomScale="115" zoomScaleNormal="115" zoomScalePageLayoutView="0" workbookViewId="0" topLeftCell="B1">
      <pane xSplit="1" ySplit="6" topLeftCell="C63" activePane="bottomRight" state="frozen"/>
      <selection pane="topLeft" activeCell="F71" activeCellId="2" sqref="C65 C71 F71"/>
      <selection pane="topRight" activeCell="F71" activeCellId="2" sqref="C65 C71 F71"/>
      <selection pane="bottomLeft" activeCell="F71" activeCellId="2" sqref="C65 C71 F71"/>
      <selection pane="bottomRight" activeCell="F71" activeCellId="2" sqref="C65 C71 F71"/>
    </sheetView>
  </sheetViews>
  <sheetFormatPr defaultColWidth="9.140625" defaultRowHeight="12.75"/>
  <cols>
    <col min="1" max="1" width="4.00390625" style="110" customWidth="1"/>
    <col min="2" max="2" width="32.8515625" style="110" customWidth="1"/>
    <col min="3" max="3" width="12.00390625" style="110" customWidth="1"/>
    <col min="4" max="4" width="8.421875" style="110" customWidth="1"/>
    <col min="5" max="5" width="10.7109375" style="110" customWidth="1"/>
    <col min="6" max="6" width="8.7109375" style="110" customWidth="1"/>
    <col min="7" max="7" width="12.00390625" style="110" customWidth="1"/>
    <col min="8" max="8" width="8.421875" style="110" customWidth="1"/>
    <col min="9" max="9" width="10.7109375" style="110" customWidth="1"/>
    <col min="10" max="10" width="9.28125" style="110" customWidth="1"/>
    <col min="11" max="11" width="6.140625" style="110" customWidth="1"/>
    <col min="12" max="12" width="3.57421875" style="110" hidden="1" customWidth="1"/>
    <col min="13" max="13" width="8.421875" style="110" hidden="1" customWidth="1"/>
    <col min="14" max="14" width="9.00390625" style="110" hidden="1" customWidth="1"/>
    <col min="15" max="15" width="7.00390625" style="110" hidden="1" customWidth="1"/>
    <col min="16" max="16" width="4.140625" style="110" hidden="1" customWidth="1"/>
    <col min="17" max="24" width="9.140625" style="110" hidden="1" customWidth="1"/>
    <col min="25" max="41" width="0" style="110" hidden="1" customWidth="1"/>
    <col min="42" max="42" width="13.7109375" style="110" hidden="1" customWidth="1"/>
    <col min="43" max="43" width="15.00390625" style="110" hidden="1" customWidth="1"/>
    <col min="44" max="47" width="11.57421875" style="110" hidden="1" customWidth="1"/>
    <col min="48" max="49" width="0" style="110" hidden="1" customWidth="1"/>
    <col min="50" max="50" width="0" style="388" hidden="1" customWidth="1"/>
    <col min="51" max="16384" width="9.140625" style="110" customWidth="1"/>
  </cols>
  <sheetData>
    <row r="1" spans="1:31" ht="12.75">
      <c r="A1" s="117"/>
      <c r="B1" s="118" t="s">
        <v>4</v>
      </c>
      <c r="C1" s="118"/>
      <c r="D1" s="118"/>
      <c r="E1" s="118"/>
      <c r="F1" s="118"/>
      <c r="G1" s="118"/>
      <c r="H1" s="118"/>
      <c r="I1" s="118"/>
      <c r="J1" s="118" t="s">
        <v>188</v>
      </c>
      <c r="K1" s="118"/>
      <c r="L1" s="118" t="s">
        <v>122</v>
      </c>
      <c r="M1" s="118"/>
      <c r="N1" s="118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</row>
    <row r="2" spans="1:50" s="122" customFormat="1" ht="15.75">
      <c r="A2" s="110"/>
      <c r="B2" s="110"/>
      <c r="C2" s="120" t="s">
        <v>665</v>
      </c>
      <c r="D2" s="120"/>
      <c r="E2" s="120"/>
      <c r="F2" s="120"/>
      <c r="G2" s="120"/>
      <c r="H2" s="120"/>
      <c r="I2" s="120"/>
      <c r="J2" s="120"/>
      <c r="K2" s="121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X2" s="389"/>
    </row>
    <row r="3" spans="3:50" s="122" customFormat="1" ht="16.5" thickBot="1">
      <c r="C3" s="120"/>
      <c r="D3" s="120"/>
      <c r="E3" s="120"/>
      <c r="F3" s="120"/>
      <c r="G3" s="120"/>
      <c r="H3" s="120"/>
      <c r="I3" s="120"/>
      <c r="J3" s="120"/>
      <c r="K3" s="121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X3" s="389"/>
    </row>
    <row r="4" spans="1:50" ht="13.5" thickTop="1">
      <c r="A4" s="125"/>
      <c r="B4" s="505" t="s">
        <v>123</v>
      </c>
      <c r="C4" s="106" t="s">
        <v>342</v>
      </c>
      <c r="D4" s="106"/>
      <c r="E4" s="106"/>
      <c r="F4" s="106"/>
      <c r="G4" s="106" t="s">
        <v>403</v>
      </c>
      <c r="H4" s="106"/>
      <c r="I4" s="106"/>
      <c r="J4" s="106"/>
      <c r="K4" s="106" t="s">
        <v>124</v>
      </c>
      <c r="L4" s="126"/>
      <c r="M4" s="126"/>
      <c r="N4" s="127"/>
      <c r="O4" s="128"/>
      <c r="P4" s="129">
        <v>40147</v>
      </c>
      <c r="Q4" s="119" t="s">
        <v>190</v>
      </c>
      <c r="R4" s="119" t="s">
        <v>191</v>
      </c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L4" s="57" t="s">
        <v>260</v>
      </c>
      <c r="AX4" s="388" t="s">
        <v>444</v>
      </c>
    </row>
    <row r="5" spans="1:31" ht="12.75">
      <c r="A5" s="130" t="s">
        <v>31</v>
      </c>
      <c r="B5" s="505" t="s">
        <v>125</v>
      </c>
      <c r="C5" s="106" t="s">
        <v>126</v>
      </c>
      <c r="D5" s="106" t="s">
        <v>127</v>
      </c>
      <c r="E5" s="106" t="s">
        <v>128</v>
      </c>
      <c r="F5" s="106" t="s">
        <v>129</v>
      </c>
      <c r="G5" s="106" t="s">
        <v>126</v>
      </c>
      <c r="H5" s="106" t="s">
        <v>127</v>
      </c>
      <c r="I5" s="106" t="s">
        <v>128</v>
      </c>
      <c r="J5" s="106" t="s">
        <v>129</v>
      </c>
      <c r="K5" s="506">
        <v>20.13</v>
      </c>
      <c r="L5" s="128" t="s">
        <v>130</v>
      </c>
      <c r="M5" s="128"/>
      <c r="N5" s="131"/>
      <c r="O5" s="128"/>
      <c r="P5" s="128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</row>
    <row r="6" spans="1:31" ht="27" customHeight="1" thickBot="1">
      <c r="A6" s="184" t="s">
        <v>32</v>
      </c>
      <c r="B6" s="106"/>
      <c r="C6" s="106" t="s">
        <v>131</v>
      </c>
      <c r="D6" s="106" t="s">
        <v>132</v>
      </c>
      <c r="E6" s="106" t="s">
        <v>133</v>
      </c>
      <c r="F6" s="106" t="s">
        <v>134</v>
      </c>
      <c r="G6" s="106" t="s">
        <v>131</v>
      </c>
      <c r="H6" s="106" t="s">
        <v>132</v>
      </c>
      <c r="I6" s="106" t="s">
        <v>133</v>
      </c>
      <c r="J6" s="106" t="s">
        <v>134</v>
      </c>
      <c r="K6" s="506">
        <v>1</v>
      </c>
      <c r="L6" s="132"/>
      <c r="M6" s="132"/>
      <c r="N6" s="133"/>
      <c r="O6" s="128"/>
      <c r="P6" s="128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</row>
    <row r="7" spans="1:50" s="138" customFormat="1" ht="13.5" thickBot="1">
      <c r="A7" s="134"/>
      <c r="B7" s="106" t="s">
        <v>135</v>
      </c>
      <c r="C7" s="106"/>
      <c r="D7" s="106"/>
      <c r="E7" s="106" t="s">
        <v>136</v>
      </c>
      <c r="F7" s="106"/>
      <c r="G7" s="106"/>
      <c r="H7" s="106"/>
      <c r="I7" s="106" t="s">
        <v>136</v>
      </c>
      <c r="J7" s="106"/>
      <c r="K7" s="106"/>
      <c r="L7" s="136"/>
      <c r="M7" s="136"/>
      <c r="N7" s="135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X7" s="390"/>
    </row>
    <row r="8" spans="1:31" ht="12.75" hidden="1">
      <c r="A8" s="139"/>
      <c r="B8" s="426" t="s">
        <v>221</v>
      </c>
      <c r="C8" s="496"/>
      <c r="D8" s="496"/>
      <c r="E8" s="426"/>
      <c r="F8" s="355">
        <f>E8+D8+C8</f>
        <v>0</v>
      </c>
      <c r="G8" s="496"/>
      <c r="H8" s="496"/>
      <c r="I8" s="426"/>
      <c r="J8" s="355">
        <f aca="true" t="shared" si="0" ref="J8:J41">I8+H8+G8</f>
        <v>0</v>
      </c>
      <c r="K8" s="497" t="e">
        <f aca="true" t="shared" si="1" ref="K8:K71">J8/F8*100</f>
        <v>#DIV/0!</v>
      </c>
      <c r="L8" s="119"/>
      <c r="M8" s="119"/>
      <c r="N8" s="141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</row>
    <row r="9" spans="1:31" ht="12.75" hidden="1">
      <c r="A9" s="134"/>
      <c r="B9" s="426" t="s">
        <v>222</v>
      </c>
      <c r="C9" s="496"/>
      <c r="D9" s="496"/>
      <c r="E9" s="426"/>
      <c r="F9" s="355">
        <f>E9+D9+C9</f>
        <v>0</v>
      </c>
      <c r="G9" s="496"/>
      <c r="H9" s="496"/>
      <c r="I9" s="426"/>
      <c r="J9" s="355">
        <f t="shared" si="0"/>
        <v>0</v>
      </c>
      <c r="K9" s="497" t="e">
        <f t="shared" si="1"/>
        <v>#DIV/0!</v>
      </c>
      <c r="L9" s="119"/>
      <c r="M9" s="119"/>
      <c r="N9" s="141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</row>
    <row r="10" spans="1:39" ht="13.5" hidden="1" thickBot="1">
      <c r="A10" s="134"/>
      <c r="B10" s="426" t="s">
        <v>223</v>
      </c>
      <c r="C10" s="496"/>
      <c r="D10" s="496"/>
      <c r="E10" s="426"/>
      <c r="F10" s="355">
        <f>E10+D10+C10</f>
        <v>0</v>
      </c>
      <c r="G10" s="496"/>
      <c r="H10" s="496"/>
      <c r="I10" s="426"/>
      <c r="J10" s="355">
        <f t="shared" si="0"/>
        <v>0</v>
      </c>
      <c r="K10" s="497" t="e">
        <f t="shared" si="1"/>
        <v>#DIV/0!</v>
      </c>
      <c r="L10" s="119"/>
      <c r="M10" s="119"/>
      <c r="N10" s="141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M10" s="110">
        <f>544+250+200+100+808+100+100+400+100+181+1200</f>
        <v>3983</v>
      </c>
    </row>
    <row r="11" spans="1:39" ht="13.5" hidden="1" thickBot="1">
      <c r="A11" s="142">
        <v>1</v>
      </c>
      <c r="B11" s="426" t="s">
        <v>345</v>
      </c>
      <c r="C11" s="355">
        <f>SUM(C8:C10)</f>
        <v>0</v>
      </c>
      <c r="D11" s="355">
        <f>SUM(D8:D10)</f>
        <v>0</v>
      </c>
      <c r="E11" s="355">
        <f>SUM(E8:E10)</f>
        <v>0</v>
      </c>
      <c r="F11" s="355">
        <f>E11+D11+C11</f>
        <v>0</v>
      </c>
      <c r="G11" s="355">
        <f>SUM(G8:G10)</f>
        <v>0</v>
      </c>
      <c r="H11" s="355">
        <f>SUM(H8:H10)</f>
        <v>0</v>
      </c>
      <c r="I11" s="355">
        <f>SUM(I8:I10)</f>
        <v>0</v>
      </c>
      <c r="J11" s="355">
        <f t="shared" si="0"/>
        <v>0</v>
      </c>
      <c r="K11" s="497" t="e">
        <f t="shared" si="1"/>
        <v>#DIV/0!</v>
      </c>
      <c r="L11" s="190"/>
      <c r="M11" s="143"/>
      <c r="N11" s="144"/>
      <c r="O11" s="145"/>
      <c r="P11" s="145">
        <f>28523-9813+15153+20448</f>
        <v>54311</v>
      </c>
      <c r="Q11" s="119"/>
      <c r="R11" s="119" t="s">
        <v>193</v>
      </c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M11" s="110">
        <f>544+250+200+100+808</f>
        <v>1902</v>
      </c>
    </row>
    <row r="12" spans="1:48" ht="13.5" thickBot="1">
      <c r="A12" s="142">
        <v>2</v>
      </c>
      <c r="B12" s="507" t="s">
        <v>344</v>
      </c>
      <c r="C12" s="498">
        <f>C13+C15+C17+C18+C19+C20+C21+C22+C23+C24+C25+C26+C27+C28+C16+C14</f>
        <v>106480</v>
      </c>
      <c r="D12" s="498">
        <f>D13+D15+D17+D18+D19+D20+D21+D22+D23+D24+D25+D26+D27+D28+D16+D14</f>
        <v>25296</v>
      </c>
      <c r="E12" s="355">
        <f>SUM(E30:E42)-E33</f>
        <v>51329</v>
      </c>
      <c r="F12" s="355">
        <f>E12+D12+C12</f>
        <v>183105</v>
      </c>
      <c r="G12" s="498">
        <f>G13+G15+G17+G18+G19+G20+G21+G22+G23+G24+G25+G26+G27+G28+G16+G14</f>
        <v>104596</v>
      </c>
      <c r="H12" s="498">
        <f>H13+H15+H17+H18+H19+H20+H21+H22+H23+H24+H25+H26+H27+H28+H16+H14</f>
        <v>21634</v>
      </c>
      <c r="I12" s="355">
        <f>SUM(I30:I42)-I33</f>
        <v>54481</v>
      </c>
      <c r="J12" s="355">
        <f>I12+H12+G12</f>
        <v>180711</v>
      </c>
      <c r="K12" s="497">
        <f t="shared" si="1"/>
        <v>98.69255345293683</v>
      </c>
      <c r="L12" s="146"/>
      <c r="M12" s="146"/>
      <c r="N12" s="140"/>
      <c r="O12" s="145"/>
      <c r="P12" s="145">
        <f>J12-F12-J42</f>
        <v>-2394</v>
      </c>
      <c r="Q12" s="119" t="s">
        <v>192</v>
      </c>
      <c r="R12" s="119" t="s">
        <v>193</v>
      </c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47"/>
      <c r="AD12" s="119"/>
      <c r="AE12" s="119"/>
      <c r="AL12" s="110">
        <f>(E12+E11)*0.039+(E12+E11)*0.8*1.27</f>
        <v>54152.095</v>
      </c>
      <c r="AM12" s="110">
        <f>AM10-AM11</f>
        <v>2081</v>
      </c>
      <c r="AV12" s="183"/>
    </row>
    <row r="13" spans="1:31" ht="12.75">
      <c r="A13" s="148"/>
      <c r="B13" s="499" t="s">
        <v>368</v>
      </c>
      <c r="C13" s="355">
        <v>77094</v>
      </c>
      <c r="D13" s="355">
        <v>21972</v>
      </c>
      <c r="E13" s="355"/>
      <c r="F13" s="355">
        <f aca="true" t="shared" si="2" ref="F13:F30">E13+D13+C13</f>
        <v>99066</v>
      </c>
      <c r="G13" s="355">
        <v>68491</v>
      </c>
      <c r="H13" s="355">
        <f>21634-5008</f>
        <v>16626</v>
      </c>
      <c r="I13" s="355"/>
      <c r="J13" s="355">
        <f t="shared" si="0"/>
        <v>85117</v>
      </c>
      <c r="K13" s="497">
        <f t="shared" si="1"/>
        <v>85.91948801808896</v>
      </c>
      <c r="L13" s="149"/>
      <c r="M13" s="149"/>
      <c r="N13" s="150"/>
      <c r="O13" s="145"/>
      <c r="P13" s="145"/>
      <c r="Q13" s="119" t="s">
        <v>192</v>
      </c>
      <c r="R13" s="119"/>
      <c r="S13" s="119"/>
      <c r="T13" s="119"/>
      <c r="U13" s="119"/>
      <c r="V13" s="119"/>
      <c r="W13" s="119"/>
      <c r="X13" s="119"/>
      <c r="Y13" s="119"/>
      <c r="Z13" s="119"/>
      <c r="AA13" s="147">
        <f>J13-F13</f>
        <v>-13949</v>
      </c>
      <c r="AB13" s="119"/>
      <c r="AC13" s="147"/>
      <c r="AD13" s="119"/>
      <c r="AE13" s="119"/>
    </row>
    <row r="14" spans="1:31" ht="12.75">
      <c r="A14" s="148"/>
      <c r="B14" s="499"/>
      <c r="C14" s="355"/>
      <c r="D14" s="355"/>
      <c r="E14" s="355"/>
      <c r="F14" s="355"/>
      <c r="G14" s="355"/>
      <c r="H14" s="355"/>
      <c r="I14" s="355"/>
      <c r="J14" s="355">
        <f t="shared" si="0"/>
        <v>0</v>
      </c>
      <c r="K14" s="497"/>
      <c r="L14" s="152"/>
      <c r="M14" s="152"/>
      <c r="N14" s="153"/>
      <c r="O14" s="145"/>
      <c r="P14" s="145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47"/>
      <c r="AB14" s="119"/>
      <c r="AC14" s="147"/>
      <c r="AD14" s="119"/>
      <c r="AE14" s="119"/>
    </row>
    <row r="15" spans="1:31" ht="12.75">
      <c r="A15" s="148"/>
      <c r="B15" s="500" t="s">
        <v>252</v>
      </c>
      <c r="C15" s="355"/>
      <c r="D15" s="355"/>
      <c r="E15" s="355"/>
      <c r="F15" s="355">
        <f t="shared" si="2"/>
        <v>0</v>
      </c>
      <c r="G15" s="355">
        <v>5784</v>
      </c>
      <c r="H15" s="355">
        <f>1562-88</f>
        <v>1474</v>
      </c>
      <c r="I15" s="355"/>
      <c r="J15" s="355">
        <f t="shared" si="0"/>
        <v>7258</v>
      </c>
      <c r="K15" s="497" t="e">
        <f t="shared" si="1"/>
        <v>#DIV/0!</v>
      </c>
      <c r="L15" s="152"/>
      <c r="M15" s="152"/>
      <c r="N15" s="153"/>
      <c r="O15" s="145"/>
      <c r="P15" s="145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47">
        <f>J15-F15</f>
        <v>7258</v>
      </c>
      <c r="AB15" s="119"/>
      <c r="AC15" s="147"/>
      <c r="AD15" s="119"/>
      <c r="AE15" s="119"/>
    </row>
    <row r="16" spans="1:31" ht="12.75">
      <c r="A16" s="148"/>
      <c r="B16" s="500" t="s">
        <v>256</v>
      </c>
      <c r="C16" s="355"/>
      <c r="D16" s="355"/>
      <c r="E16" s="355"/>
      <c r="F16" s="355">
        <f t="shared" si="2"/>
        <v>0</v>
      </c>
      <c r="G16" s="355">
        <v>1218</v>
      </c>
      <c r="H16" s="355">
        <v>329</v>
      </c>
      <c r="I16" s="355"/>
      <c r="J16" s="355">
        <f t="shared" si="0"/>
        <v>1547</v>
      </c>
      <c r="K16" s="497" t="e">
        <f t="shared" si="1"/>
        <v>#DIV/0!</v>
      </c>
      <c r="L16" s="154"/>
      <c r="M16" s="154"/>
      <c r="N16" s="151"/>
      <c r="O16" s="145"/>
      <c r="P16" s="145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</row>
    <row r="17" spans="1:31" ht="12.75">
      <c r="A17" s="148"/>
      <c r="B17" s="500" t="s">
        <v>137</v>
      </c>
      <c r="C17" s="355">
        <v>0</v>
      </c>
      <c r="D17" s="355">
        <v>0</v>
      </c>
      <c r="E17" s="355"/>
      <c r="F17" s="355">
        <f t="shared" si="2"/>
        <v>0</v>
      </c>
      <c r="G17" s="355">
        <v>0</v>
      </c>
      <c r="H17" s="355">
        <v>0</v>
      </c>
      <c r="I17" s="355"/>
      <c r="J17" s="355">
        <f t="shared" si="0"/>
        <v>0</v>
      </c>
      <c r="K17" s="497"/>
      <c r="L17" s="191"/>
      <c r="M17" s="154"/>
      <c r="N17" s="151"/>
      <c r="O17" s="145"/>
      <c r="P17" s="145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</row>
    <row r="18" spans="1:31" ht="12.75">
      <c r="A18" s="148"/>
      <c r="B18" s="500" t="s">
        <v>138</v>
      </c>
      <c r="C18" s="355">
        <v>1076</v>
      </c>
      <c r="D18" s="355">
        <v>307</v>
      </c>
      <c r="E18" s="355"/>
      <c r="F18" s="355">
        <f t="shared" si="2"/>
        <v>1383</v>
      </c>
      <c r="G18" s="355"/>
      <c r="H18" s="355"/>
      <c r="I18" s="355"/>
      <c r="J18" s="355">
        <f t="shared" si="0"/>
        <v>0</v>
      </c>
      <c r="K18" s="497">
        <f t="shared" si="1"/>
        <v>0</v>
      </c>
      <c r="L18" s="152"/>
      <c r="M18" s="152"/>
      <c r="N18" s="153"/>
      <c r="O18" s="145"/>
      <c r="P18" s="145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</row>
    <row r="19" spans="1:31" ht="12.75">
      <c r="A19" s="148"/>
      <c r="B19" s="500" t="s">
        <v>139</v>
      </c>
      <c r="C19" s="355">
        <v>10124</v>
      </c>
      <c r="D19" s="355">
        <v>0</v>
      </c>
      <c r="E19" s="355"/>
      <c r="F19" s="355">
        <f t="shared" si="2"/>
        <v>10124</v>
      </c>
      <c r="G19" s="355">
        <v>10124</v>
      </c>
      <c r="H19" s="355">
        <v>0</v>
      </c>
      <c r="I19" s="355"/>
      <c r="J19" s="355">
        <f t="shared" si="0"/>
        <v>10124</v>
      </c>
      <c r="K19" s="497">
        <f t="shared" si="1"/>
        <v>100</v>
      </c>
      <c r="L19" s="191"/>
      <c r="M19" s="154"/>
      <c r="N19" s="151"/>
      <c r="O19" s="145"/>
      <c r="P19" s="145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</row>
    <row r="20" spans="1:31" ht="12.75">
      <c r="A20" s="148"/>
      <c r="B20" s="500" t="s">
        <v>140</v>
      </c>
      <c r="C20" s="355">
        <v>456</v>
      </c>
      <c r="D20" s="355">
        <v>130</v>
      </c>
      <c r="E20" s="355"/>
      <c r="F20" s="355">
        <f t="shared" si="2"/>
        <v>586</v>
      </c>
      <c r="G20" s="355">
        <v>550</v>
      </c>
      <c r="H20" s="355">
        <v>193</v>
      </c>
      <c r="I20" s="355"/>
      <c r="J20" s="355">
        <f t="shared" si="0"/>
        <v>743</v>
      </c>
      <c r="K20" s="497">
        <f t="shared" si="1"/>
        <v>126.79180887372014</v>
      </c>
      <c r="L20" s="152"/>
      <c r="M20" s="152"/>
      <c r="N20" s="153"/>
      <c r="O20" s="145"/>
      <c r="P20" s="145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</row>
    <row r="21" spans="1:31" ht="12.75">
      <c r="A21" s="148"/>
      <c r="B21" s="500" t="s">
        <v>141</v>
      </c>
      <c r="C21" s="355">
        <v>2001</v>
      </c>
      <c r="D21" s="355">
        <f>25702-25142-5</f>
        <v>555</v>
      </c>
      <c r="E21" s="355"/>
      <c r="F21" s="355">
        <f t="shared" si="2"/>
        <v>2556</v>
      </c>
      <c r="G21" s="355">
        <v>3470</v>
      </c>
      <c r="H21" s="355">
        <v>937</v>
      </c>
      <c r="I21" s="355"/>
      <c r="J21" s="355">
        <f t="shared" si="0"/>
        <v>4407</v>
      </c>
      <c r="K21" s="497">
        <f t="shared" si="1"/>
        <v>172.41784037558685</v>
      </c>
      <c r="L21" s="154"/>
      <c r="M21" s="154"/>
      <c r="N21" s="151"/>
      <c r="O21" s="145"/>
      <c r="P21" s="145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</row>
    <row r="22" spans="1:31" ht="12.75">
      <c r="A22" s="148"/>
      <c r="B22" s="500" t="s">
        <v>142</v>
      </c>
      <c r="C22" s="355">
        <v>850</v>
      </c>
      <c r="D22" s="355">
        <v>257</v>
      </c>
      <c r="E22" s="355"/>
      <c r="F22" s="355">
        <f t="shared" si="2"/>
        <v>1107</v>
      </c>
      <c r="G22" s="355"/>
      <c r="H22" s="355"/>
      <c r="I22" s="355"/>
      <c r="J22" s="355">
        <f t="shared" si="0"/>
        <v>0</v>
      </c>
      <c r="K22" s="497">
        <f t="shared" si="1"/>
        <v>0</v>
      </c>
      <c r="L22" s="152"/>
      <c r="M22" s="152"/>
      <c r="N22" s="153"/>
      <c r="O22" s="145"/>
      <c r="P22" s="145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</row>
    <row r="23" spans="1:31" ht="12.75">
      <c r="A23" s="148"/>
      <c r="B23" s="500" t="s">
        <v>257</v>
      </c>
      <c r="C23" s="355">
        <v>1787</v>
      </c>
      <c r="D23" s="355">
        <v>509</v>
      </c>
      <c r="E23" s="355"/>
      <c r="F23" s="355">
        <f t="shared" si="2"/>
        <v>2296</v>
      </c>
      <c r="G23" s="355">
        <v>1787</v>
      </c>
      <c r="H23" s="355">
        <v>509</v>
      </c>
      <c r="I23" s="355"/>
      <c r="J23" s="355">
        <f t="shared" si="0"/>
        <v>2296</v>
      </c>
      <c r="K23" s="497">
        <f t="shared" si="1"/>
        <v>100</v>
      </c>
      <c r="L23" s="192"/>
      <c r="M23" s="155"/>
      <c r="N23" s="156"/>
      <c r="O23" s="145"/>
      <c r="P23" s="145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</row>
    <row r="24" spans="1:31" ht="12.75">
      <c r="A24" s="148"/>
      <c r="B24" s="500" t="s">
        <v>254</v>
      </c>
      <c r="C24" s="355">
        <v>2087</v>
      </c>
      <c r="D24" s="355">
        <v>595</v>
      </c>
      <c r="E24" s="355"/>
      <c r="F24" s="355">
        <f t="shared" si="2"/>
        <v>2682</v>
      </c>
      <c r="G24" s="355">
        <v>2087</v>
      </c>
      <c r="H24" s="355">
        <v>595</v>
      </c>
      <c r="I24" s="355"/>
      <c r="J24" s="355">
        <f t="shared" si="0"/>
        <v>2682</v>
      </c>
      <c r="K24" s="497">
        <f t="shared" si="1"/>
        <v>100</v>
      </c>
      <c r="L24" s="154"/>
      <c r="M24" s="154"/>
      <c r="N24" s="151"/>
      <c r="O24" s="145"/>
      <c r="P24" s="145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</row>
    <row r="25" spans="1:31" ht="12.75">
      <c r="A25" s="148"/>
      <c r="B25" s="500" t="s">
        <v>253</v>
      </c>
      <c r="C25" s="355">
        <v>417</v>
      </c>
      <c r="D25" s="355">
        <v>119</v>
      </c>
      <c r="E25" s="355"/>
      <c r="F25" s="355">
        <f t="shared" si="2"/>
        <v>536</v>
      </c>
      <c r="G25" s="355">
        <v>417</v>
      </c>
      <c r="H25" s="355">
        <v>119</v>
      </c>
      <c r="I25" s="355"/>
      <c r="J25" s="355">
        <f t="shared" si="0"/>
        <v>536</v>
      </c>
      <c r="K25" s="497">
        <f t="shared" si="1"/>
        <v>100</v>
      </c>
      <c r="L25" s="154"/>
      <c r="M25" s="154"/>
      <c r="N25" s="151"/>
      <c r="O25" s="145"/>
      <c r="P25" s="145"/>
      <c r="Q25" s="119" t="s">
        <v>194</v>
      </c>
      <c r="R25" s="119">
        <v>-3681</v>
      </c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</row>
    <row r="26" spans="1:31" ht="12.75">
      <c r="A26" s="148"/>
      <c r="B26" s="500" t="s">
        <v>143</v>
      </c>
      <c r="C26" s="355">
        <f>300+1000+1104+960+844</f>
        <v>4208</v>
      </c>
      <c r="D26" s="355">
        <f>314+274+241+23</f>
        <v>852</v>
      </c>
      <c r="E26" s="355"/>
      <c r="F26" s="355">
        <f t="shared" si="2"/>
        <v>5060</v>
      </c>
      <c r="G26" s="355">
        <f>300+1000+1104+960+844</f>
        <v>4208</v>
      </c>
      <c r="H26" s="355">
        <f>314+274+241+23</f>
        <v>852</v>
      </c>
      <c r="I26" s="355"/>
      <c r="J26" s="355">
        <f t="shared" si="0"/>
        <v>5060</v>
      </c>
      <c r="K26" s="497">
        <f t="shared" si="1"/>
        <v>100</v>
      </c>
      <c r="L26" s="152"/>
      <c r="M26" s="152"/>
      <c r="N26" s="153"/>
      <c r="O26" s="145"/>
      <c r="P26" s="145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</row>
    <row r="27" spans="1:31" ht="12.75">
      <c r="A27" s="148"/>
      <c r="B27" s="500" t="s">
        <v>255</v>
      </c>
      <c r="C27" s="355">
        <v>6200</v>
      </c>
      <c r="D27" s="355">
        <v>0</v>
      </c>
      <c r="E27" s="355"/>
      <c r="F27" s="355">
        <f t="shared" si="2"/>
        <v>6200</v>
      </c>
      <c r="G27" s="355">
        <v>6200</v>
      </c>
      <c r="H27" s="355">
        <v>0</v>
      </c>
      <c r="I27" s="355"/>
      <c r="J27" s="355">
        <f t="shared" si="0"/>
        <v>6200</v>
      </c>
      <c r="K27" s="497">
        <f t="shared" si="1"/>
        <v>100</v>
      </c>
      <c r="L27" s="154"/>
      <c r="M27" s="154"/>
      <c r="N27" s="151"/>
      <c r="O27" s="145"/>
      <c r="P27" s="145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ht="17.25" customHeight="1">
      <c r="A28" s="148"/>
      <c r="B28" s="500" t="s">
        <v>144</v>
      </c>
      <c r="C28" s="355">
        <v>180</v>
      </c>
      <c r="D28" s="355">
        <v>0</v>
      </c>
      <c r="E28" s="355"/>
      <c r="F28" s="355">
        <f t="shared" si="2"/>
        <v>180</v>
      </c>
      <c r="G28" s="355">
        <v>260</v>
      </c>
      <c r="H28" s="355">
        <v>0</v>
      </c>
      <c r="I28" s="355"/>
      <c r="J28" s="355">
        <f t="shared" si="0"/>
        <v>260</v>
      </c>
      <c r="K28" s="497">
        <f t="shared" si="1"/>
        <v>144.44444444444443</v>
      </c>
      <c r="L28" s="154"/>
      <c r="M28" s="154"/>
      <c r="N28" s="151"/>
      <c r="O28" s="145"/>
      <c r="P28" s="145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</row>
    <row r="29" spans="1:31" ht="12.75">
      <c r="A29" s="148"/>
      <c r="B29" s="500"/>
      <c r="C29" s="355"/>
      <c r="D29" s="355"/>
      <c r="E29" s="355"/>
      <c r="F29" s="355">
        <f t="shared" si="2"/>
        <v>0</v>
      </c>
      <c r="G29" s="355"/>
      <c r="H29" s="355"/>
      <c r="I29" s="355"/>
      <c r="J29" s="355">
        <f t="shared" si="0"/>
        <v>0</v>
      </c>
      <c r="K29" s="497"/>
      <c r="L29" s="154"/>
      <c r="M29" s="154"/>
      <c r="N29" s="151"/>
      <c r="O29" s="145"/>
      <c r="P29" s="145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</row>
    <row r="30" spans="1:31" ht="12.75">
      <c r="A30" s="148"/>
      <c r="B30" s="500" t="s">
        <v>145</v>
      </c>
      <c r="C30" s="355"/>
      <c r="D30" s="355"/>
      <c r="E30" s="355">
        <f>4+1800+50+100+500+750+400+400</f>
        <v>4004</v>
      </c>
      <c r="F30" s="355">
        <f t="shared" si="2"/>
        <v>4004</v>
      </c>
      <c r="G30" s="355"/>
      <c r="H30" s="355"/>
      <c r="I30" s="355">
        <v>3363</v>
      </c>
      <c r="J30" s="355">
        <f t="shared" si="0"/>
        <v>3363</v>
      </c>
      <c r="K30" s="497">
        <f t="shared" si="1"/>
        <v>83.99100899100898</v>
      </c>
      <c r="L30" s="154"/>
      <c r="M30" s="154"/>
      <c r="N30" s="151"/>
      <c r="O30" s="145"/>
      <c r="P30" s="145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</row>
    <row r="31" spans="1:31" ht="12.75">
      <c r="A31" s="148"/>
      <c r="B31" s="500" t="s">
        <v>146</v>
      </c>
      <c r="C31" s="355"/>
      <c r="D31" s="355"/>
      <c r="E31" s="355">
        <v>900</v>
      </c>
      <c r="F31" s="355">
        <f>E31+D31+C31</f>
        <v>900</v>
      </c>
      <c r="G31" s="355"/>
      <c r="H31" s="355"/>
      <c r="I31" s="355">
        <v>900</v>
      </c>
      <c r="J31" s="355">
        <f>I31+H31+G31</f>
        <v>900</v>
      </c>
      <c r="K31" s="497">
        <f t="shared" si="1"/>
        <v>100</v>
      </c>
      <c r="L31" s="152"/>
      <c r="M31" s="152"/>
      <c r="N31" s="153"/>
      <c r="O31" s="145"/>
      <c r="P31" s="145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</row>
    <row r="32" spans="1:31" ht="12.75">
      <c r="A32" s="148"/>
      <c r="B32" s="500" t="s">
        <v>147</v>
      </c>
      <c r="C32" s="355"/>
      <c r="D32" s="355"/>
      <c r="E32" s="355">
        <f>50989-18570</f>
        <v>32419</v>
      </c>
      <c r="F32" s="355">
        <f aca="true" t="shared" si="3" ref="F32:F41">E32+D32+C32</f>
        <v>32419</v>
      </c>
      <c r="G32" s="355"/>
      <c r="H32" s="355"/>
      <c r="I32" s="355">
        <f>53941-18243+540</f>
        <v>36238</v>
      </c>
      <c r="J32" s="355">
        <f t="shared" si="0"/>
        <v>36238</v>
      </c>
      <c r="K32" s="497">
        <f t="shared" si="1"/>
        <v>111.78012893673464</v>
      </c>
      <c r="L32" s="154"/>
      <c r="M32" s="154"/>
      <c r="N32" s="151"/>
      <c r="O32" s="145"/>
      <c r="P32" s="145"/>
      <c r="Q32" s="119" t="s">
        <v>195</v>
      </c>
      <c r="R32" s="119">
        <v>2000</v>
      </c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</row>
    <row r="33" spans="1:31" ht="12.75">
      <c r="A33" s="148"/>
      <c r="B33" s="500" t="s">
        <v>369</v>
      </c>
      <c r="C33" s="355"/>
      <c r="D33" s="355"/>
      <c r="E33" s="504"/>
      <c r="F33" s="504">
        <f t="shared" si="3"/>
        <v>0</v>
      </c>
      <c r="G33" s="355"/>
      <c r="H33" s="355"/>
      <c r="I33" s="504"/>
      <c r="J33" s="504">
        <f t="shared" si="0"/>
        <v>0</v>
      </c>
      <c r="K33" s="497" t="e">
        <f t="shared" si="1"/>
        <v>#DIV/0!</v>
      </c>
      <c r="L33" s="157"/>
      <c r="M33" s="157"/>
      <c r="N33" s="158"/>
      <c r="O33" s="145"/>
      <c r="P33" s="145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</row>
    <row r="34" spans="1:50" s="163" customFormat="1" ht="12.75">
      <c r="A34" s="148"/>
      <c r="B34" s="500" t="s">
        <v>148</v>
      </c>
      <c r="C34" s="355"/>
      <c r="D34" s="355"/>
      <c r="E34" s="355">
        <v>1000</v>
      </c>
      <c r="F34" s="355">
        <f t="shared" si="3"/>
        <v>1000</v>
      </c>
      <c r="G34" s="355"/>
      <c r="H34" s="355"/>
      <c r="I34" s="355">
        <v>1000</v>
      </c>
      <c r="J34" s="355">
        <f t="shared" si="0"/>
        <v>1000</v>
      </c>
      <c r="K34" s="497">
        <f t="shared" si="1"/>
        <v>100</v>
      </c>
      <c r="L34" s="159"/>
      <c r="M34" s="159"/>
      <c r="N34" s="160"/>
      <c r="O34" s="161"/>
      <c r="P34" s="161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X34" s="391"/>
    </row>
    <row r="35" spans="1:31" ht="12.75">
      <c r="A35" s="134"/>
      <c r="B35" s="500" t="s">
        <v>149</v>
      </c>
      <c r="C35" s="355"/>
      <c r="D35" s="355"/>
      <c r="E35" s="355">
        <f>1700+84+150+50+276+300+300+100</f>
        <v>2960</v>
      </c>
      <c r="F35" s="355">
        <f t="shared" si="3"/>
        <v>2960</v>
      </c>
      <c r="G35" s="355"/>
      <c r="H35" s="355"/>
      <c r="I35" s="355">
        <v>2356</v>
      </c>
      <c r="J35" s="355">
        <f t="shared" si="0"/>
        <v>2356</v>
      </c>
      <c r="K35" s="497">
        <f t="shared" si="1"/>
        <v>79.5945945945946</v>
      </c>
      <c r="L35" s="154"/>
      <c r="M35" s="154"/>
      <c r="N35" s="151"/>
      <c r="O35" s="145"/>
      <c r="P35" s="145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</row>
    <row r="36" spans="1:31" ht="12.75">
      <c r="A36" s="134"/>
      <c r="B36" s="500" t="s">
        <v>151</v>
      </c>
      <c r="C36" s="355"/>
      <c r="D36" s="355"/>
      <c r="E36" s="355"/>
      <c r="F36" s="355">
        <f t="shared" si="3"/>
        <v>0</v>
      </c>
      <c r="G36" s="355"/>
      <c r="H36" s="355"/>
      <c r="I36" s="355"/>
      <c r="J36" s="355">
        <f t="shared" si="0"/>
        <v>0</v>
      </c>
      <c r="K36" s="497" t="e">
        <f t="shared" si="1"/>
        <v>#DIV/0!</v>
      </c>
      <c r="L36" s="193"/>
      <c r="M36" s="165"/>
      <c r="N36" s="166"/>
      <c r="O36" s="145"/>
      <c r="P36" s="145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</row>
    <row r="37" spans="1:31" ht="12.75">
      <c r="A37" s="134"/>
      <c r="B37" s="500" t="s">
        <v>152</v>
      </c>
      <c r="C37" s="355"/>
      <c r="D37" s="355"/>
      <c r="E37" s="355"/>
      <c r="F37" s="355">
        <f t="shared" si="3"/>
        <v>0</v>
      </c>
      <c r="G37" s="355"/>
      <c r="H37" s="355"/>
      <c r="I37" s="355"/>
      <c r="J37" s="355">
        <f t="shared" si="0"/>
        <v>0</v>
      </c>
      <c r="K37" s="497" t="e">
        <f t="shared" si="1"/>
        <v>#DIV/0!</v>
      </c>
      <c r="L37" s="193"/>
      <c r="M37" s="154"/>
      <c r="N37" s="151"/>
      <c r="O37" s="145"/>
      <c r="P37" s="145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</row>
    <row r="38" spans="1:50" s="118" customFormat="1" ht="12.75">
      <c r="A38" s="187"/>
      <c r="B38" s="426" t="s">
        <v>374</v>
      </c>
      <c r="C38" s="497"/>
      <c r="D38" s="355"/>
      <c r="E38" s="355">
        <v>340</v>
      </c>
      <c r="F38" s="355">
        <f>E38+D38+C38</f>
        <v>340</v>
      </c>
      <c r="G38" s="497"/>
      <c r="H38" s="355"/>
      <c r="I38" s="355"/>
      <c r="J38" s="355">
        <f>I38+H38+G38</f>
        <v>0</v>
      </c>
      <c r="K38" s="497">
        <f>J38/F38*100</f>
        <v>0</v>
      </c>
      <c r="L38" s="154"/>
      <c r="M38" s="154"/>
      <c r="N38" s="177"/>
      <c r="O38" s="145"/>
      <c r="P38" s="145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X38" s="393"/>
    </row>
    <row r="39" spans="1:31" ht="12.75">
      <c r="A39" s="134"/>
      <c r="B39" s="500" t="s">
        <v>153</v>
      </c>
      <c r="C39" s="355"/>
      <c r="D39" s="355"/>
      <c r="E39" s="355"/>
      <c r="F39" s="355">
        <f t="shared" si="3"/>
        <v>0</v>
      </c>
      <c r="G39" s="355"/>
      <c r="H39" s="355"/>
      <c r="I39" s="355"/>
      <c r="J39" s="355">
        <f t="shared" si="0"/>
        <v>0</v>
      </c>
      <c r="K39" s="497" t="e">
        <f t="shared" si="1"/>
        <v>#DIV/0!</v>
      </c>
      <c r="L39" s="193"/>
      <c r="M39" s="149"/>
      <c r="N39" s="150"/>
      <c r="O39" s="145"/>
      <c r="P39" s="145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</row>
    <row r="40" spans="1:31" ht="12.75">
      <c r="A40" s="134"/>
      <c r="B40" s="500" t="s">
        <v>154</v>
      </c>
      <c r="C40" s="355"/>
      <c r="D40" s="355"/>
      <c r="E40" s="355">
        <v>1000</v>
      </c>
      <c r="F40" s="355">
        <f t="shared" si="3"/>
        <v>1000</v>
      </c>
      <c r="G40" s="355"/>
      <c r="H40" s="355"/>
      <c r="I40" s="355">
        <v>1000</v>
      </c>
      <c r="J40" s="355">
        <f t="shared" si="0"/>
        <v>1000</v>
      </c>
      <c r="K40" s="497">
        <f t="shared" si="1"/>
        <v>100</v>
      </c>
      <c r="L40" s="191" t="s">
        <v>177</v>
      </c>
      <c r="M40" s="154"/>
      <c r="N40" s="151"/>
      <c r="O40" s="145"/>
      <c r="P40" s="145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</row>
    <row r="41" spans="1:31" ht="12.75">
      <c r="A41" s="134"/>
      <c r="B41" s="500" t="s">
        <v>247</v>
      </c>
      <c r="C41" s="355"/>
      <c r="D41" s="355"/>
      <c r="E41" s="355">
        <v>8706</v>
      </c>
      <c r="F41" s="355">
        <f t="shared" si="3"/>
        <v>8706</v>
      </c>
      <c r="G41" s="355"/>
      <c r="H41" s="355"/>
      <c r="I41" s="355">
        <v>9624</v>
      </c>
      <c r="J41" s="355">
        <f t="shared" si="0"/>
        <v>9624</v>
      </c>
      <c r="K41" s="497">
        <f t="shared" si="1"/>
        <v>110.54445210199862</v>
      </c>
      <c r="L41" s="191"/>
      <c r="M41" s="154"/>
      <c r="N41" s="166"/>
      <c r="O41" s="145"/>
      <c r="P41" s="145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</row>
    <row r="42" spans="1:31" ht="12.75">
      <c r="A42" s="134"/>
      <c r="B42" s="500" t="s">
        <v>196</v>
      </c>
      <c r="C42" s="355"/>
      <c r="D42" s="355"/>
      <c r="E42" s="355">
        <v>0</v>
      </c>
      <c r="F42" s="355">
        <f>E42+D42+C42</f>
        <v>0</v>
      </c>
      <c r="G42" s="355"/>
      <c r="H42" s="355"/>
      <c r="I42" s="355">
        <v>0</v>
      </c>
      <c r="J42" s="355">
        <f>I42+H42+G42</f>
        <v>0</v>
      </c>
      <c r="K42" s="497"/>
      <c r="L42" s="191" t="s">
        <v>155</v>
      </c>
      <c r="M42" s="154"/>
      <c r="N42" s="166"/>
      <c r="O42" s="145"/>
      <c r="P42" s="145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</row>
    <row r="43" spans="1:51" ht="12.75">
      <c r="A43" s="134"/>
      <c r="B43" s="501" t="s">
        <v>261</v>
      </c>
      <c r="C43" s="502">
        <f aca="true" t="shared" si="4" ref="C43:J43">C12+C11</f>
        <v>106480</v>
      </c>
      <c r="D43" s="502">
        <f t="shared" si="4"/>
        <v>25296</v>
      </c>
      <c r="E43" s="502">
        <f t="shared" si="4"/>
        <v>51329</v>
      </c>
      <c r="F43" s="502">
        <f t="shared" si="4"/>
        <v>183105</v>
      </c>
      <c r="G43" s="502">
        <f t="shared" si="4"/>
        <v>104596</v>
      </c>
      <c r="H43" s="502">
        <f t="shared" si="4"/>
        <v>21634</v>
      </c>
      <c r="I43" s="502">
        <f t="shared" si="4"/>
        <v>54481</v>
      </c>
      <c r="J43" s="502">
        <f t="shared" si="4"/>
        <v>180711</v>
      </c>
      <c r="K43" s="497">
        <f t="shared" si="1"/>
        <v>98.69255345293683</v>
      </c>
      <c r="L43" s="173"/>
      <c r="M43" s="165"/>
      <c r="N43" s="166"/>
      <c r="O43" s="145"/>
      <c r="P43" s="145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X43" s="392"/>
      <c r="AY43" s="183"/>
    </row>
    <row r="44" spans="1:31" ht="13.5" thickBot="1">
      <c r="A44" s="134"/>
      <c r="B44" s="500"/>
      <c r="C44" s="355"/>
      <c r="D44" s="355"/>
      <c r="E44" s="355"/>
      <c r="F44" s="355"/>
      <c r="G44" s="355"/>
      <c r="H44" s="355"/>
      <c r="I44" s="355"/>
      <c r="J44" s="355"/>
      <c r="K44" s="497"/>
      <c r="L44" s="173"/>
      <c r="M44" s="165"/>
      <c r="N44" s="166"/>
      <c r="O44" s="145"/>
      <c r="P44" s="145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</row>
    <row r="45" spans="1:49" ht="12.75">
      <c r="A45" s="185"/>
      <c r="B45" s="501"/>
      <c r="C45" s="502"/>
      <c r="D45" s="502"/>
      <c r="E45" s="502"/>
      <c r="F45" s="502"/>
      <c r="G45" s="502"/>
      <c r="H45" s="502"/>
      <c r="I45" s="502"/>
      <c r="J45" s="502"/>
      <c r="K45" s="503"/>
      <c r="L45" s="379"/>
      <c r="M45" s="379"/>
      <c r="N45" s="380"/>
      <c r="O45" s="372"/>
      <c r="P45" s="372"/>
      <c r="Q45" s="381"/>
      <c r="R45" s="381"/>
      <c r="S45" s="381"/>
      <c r="T45" s="381"/>
      <c r="U45" s="381"/>
      <c r="V45" s="381"/>
      <c r="W45" s="381"/>
      <c r="X45" s="381"/>
      <c r="Y45" s="381"/>
      <c r="Z45" s="381"/>
      <c r="AA45" s="381"/>
      <c r="AB45" s="381"/>
      <c r="AC45" s="382"/>
      <c r="AD45" s="381"/>
      <c r="AE45" s="381"/>
      <c r="AF45" s="381"/>
      <c r="AG45" s="383"/>
      <c r="AH45" s="383"/>
      <c r="AI45" s="383"/>
      <c r="AJ45" s="383"/>
      <c r="AK45" s="383"/>
      <c r="AL45" s="383"/>
      <c r="AM45" s="383"/>
      <c r="AN45" s="383"/>
      <c r="AO45" s="384"/>
      <c r="AP45" s="385"/>
      <c r="AQ45" s="385"/>
      <c r="AR45" s="385"/>
      <c r="AS45" s="385"/>
      <c r="AT45" s="385"/>
      <c r="AU45" s="386"/>
      <c r="AV45" s="387"/>
      <c r="AW45" s="383"/>
    </row>
    <row r="46" spans="1:48" ht="12.75">
      <c r="A46" s="167"/>
      <c r="B46" s="500"/>
      <c r="C46" s="355"/>
      <c r="D46" s="355"/>
      <c r="E46" s="355"/>
      <c r="F46" s="355"/>
      <c r="G46" s="355"/>
      <c r="H46" s="355"/>
      <c r="I46" s="355"/>
      <c r="J46" s="355"/>
      <c r="K46" s="497"/>
      <c r="L46" s="159"/>
      <c r="M46" s="152"/>
      <c r="N46" s="150"/>
      <c r="O46" s="145"/>
      <c r="P46" s="145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O46" s="251"/>
      <c r="AP46" s="106"/>
      <c r="AQ46" s="106"/>
      <c r="AR46" s="106"/>
      <c r="AS46" s="106"/>
      <c r="AT46" s="106"/>
      <c r="AU46" s="114"/>
      <c r="AV46"/>
    </row>
    <row r="47" spans="1:48" ht="12.75">
      <c r="A47" s="168"/>
      <c r="B47" s="500"/>
      <c r="C47" s="355"/>
      <c r="D47" s="355"/>
      <c r="E47" s="355"/>
      <c r="F47" s="355"/>
      <c r="G47" s="355"/>
      <c r="H47" s="355"/>
      <c r="I47" s="355"/>
      <c r="J47" s="355"/>
      <c r="K47" s="497"/>
      <c r="L47" s="159"/>
      <c r="M47" s="152"/>
      <c r="N47" s="153"/>
      <c r="O47" s="145"/>
      <c r="P47" s="145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O47" s="251"/>
      <c r="AP47" s="116"/>
      <c r="AQ47" s="116"/>
      <c r="AR47" s="116"/>
      <c r="AS47" s="116"/>
      <c r="AT47" s="116"/>
      <c r="AU47" s="114"/>
      <c r="AV47"/>
    </row>
    <row r="48" spans="1:48" ht="12.75">
      <c r="A48" s="168"/>
      <c r="B48" s="500"/>
      <c r="C48" s="355"/>
      <c r="D48" s="355"/>
      <c r="E48" s="355"/>
      <c r="F48" s="355"/>
      <c r="G48" s="355"/>
      <c r="H48" s="355"/>
      <c r="I48" s="355"/>
      <c r="J48" s="355"/>
      <c r="K48" s="497"/>
      <c r="L48" s="173"/>
      <c r="M48" s="165"/>
      <c r="N48" s="153"/>
      <c r="O48" s="145"/>
      <c r="P48" s="145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O48" s="251"/>
      <c r="AP48" s="116"/>
      <c r="AQ48" s="116"/>
      <c r="AR48" s="116"/>
      <c r="AS48" s="116"/>
      <c r="AT48" s="116"/>
      <c r="AU48" s="114"/>
      <c r="AV48"/>
    </row>
    <row r="49" spans="1:48" ht="12.75">
      <c r="A49" s="168"/>
      <c r="B49" s="500"/>
      <c r="C49" s="355"/>
      <c r="D49" s="355"/>
      <c r="E49" s="355"/>
      <c r="F49" s="355"/>
      <c r="G49" s="355"/>
      <c r="H49" s="355"/>
      <c r="I49" s="355"/>
      <c r="J49" s="355"/>
      <c r="K49" s="497"/>
      <c r="L49" s="159"/>
      <c r="M49" s="152"/>
      <c r="N49" s="153"/>
      <c r="O49" s="145"/>
      <c r="P49" s="145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O49" s="251"/>
      <c r="AP49" s="116"/>
      <c r="AQ49" s="116"/>
      <c r="AR49" s="116"/>
      <c r="AS49" s="116"/>
      <c r="AT49" s="116"/>
      <c r="AU49" s="114"/>
      <c r="AV49"/>
    </row>
    <row r="50" spans="1:48" ht="12.75">
      <c r="A50" s="168"/>
      <c r="B50" s="500"/>
      <c r="C50" s="355"/>
      <c r="D50" s="355"/>
      <c r="E50" s="355"/>
      <c r="F50" s="355"/>
      <c r="G50" s="355"/>
      <c r="H50" s="355"/>
      <c r="I50" s="355"/>
      <c r="J50" s="355"/>
      <c r="K50" s="497"/>
      <c r="L50" s="159"/>
      <c r="M50" s="152"/>
      <c r="N50" s="153"/>
      <c r="O50" s="145"/>
      <c r="P50" s="145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O50" s="251"/>
      <c r="AP50" s="116"/>
      <c r="AQ50" s="116"/>
      <c r="AR50" s="116"/>
      <c r="AS50" s="116"/>
      <c r="AT50" s="116"/>
      <c r="AU50" s="114"/>
      <c r="AV50"/>
    </row>
    <row r="51" spans="1:48" ht="12.75">
      <c r="A51" s="168"/>
      <c r="B51" s="500"/>
      <c r="C51" s="355"/>
      <c r="D51" s="355"/>
      <c r="E51" s="355"/>
      <c r="F51" s="355"/>
      <c r="G51" s="355"/>
      <c r="H51" s="355"/>
      <c r="I51" s="355"/>
      <c r="J51" s="355"/>
      <c r="K51" s="497"/>
      <c r="L51" s="159"/>
      <c r="M51" s="152"/>
      <c r="N51" s="153"/>
      <c r="O51" s="145"/>
      <c r="P51" s="145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O51" s="251"/>
      <c r="AP51" s="116"/>
      <c r="AQ51" s="116"/>
      <c r="AR51" s="116"/>
      <c r="AS51" s="116"/>
      <c r="AT51" s="116"/>
      <c r="AU51" s="114"/>
      <c r="AV51"/>
    </row>
    <row r="52" spans="1:50" ht="12.75">
      <c r="A52" s="168"/>
      <c r="B52" s="500"/>
      <c r="C52" s="355"/>
      <c r="D52" s="355"/>
      <c r="E52" s="355"/>
      <c r="F52" s="355"/>
      <c r="G52" s="355"/>
      <c r="H52" s="355"/>
      <c r="I52" s="355"/>
      <c r="J52" s="355"/>
      <c r="K52" s="497"/>
      <c r="L52" s="159"/>
      <c r="M52" s="152"/>
      <c r="N52" s="153"/>
      <c r="O52" s="145"/>
      <c r="P52" s="145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O52" s="251"/>
      <c r="AP52" s="116"/>
      <c r="AQ52" s="116"/>
      <c r="AR52" s="116"/>
      <c r="AS52" s="116"/>
      <c r="AT52" s="116"/>
      <c r="AU52" s="114"/>
      <c r="AV52"/>
      <c r="AX52" s="693">
        <f>I52-E52</f>
        <v>0</v>
      </c>
    </row>
    <row r="53" spans="1:50" ht="13.5" thickBot="1">
      <c r="A53" s="168"/>
      <c r="B53" s="500"/>
      <c r="C53" s="355"/>
      <c r="D53" s="355"/>
      <c r="E53" s="355"/>
      <c r="F53" s="355"/>
      <c r="G53" s="355"/>
      <c r="H53" s="355"/>
      <c r="I53" s="355"/>
      <c r="J53" s="355"/>
      <c r="K53" s="497"/>
      <c r="L53" s="159"/>
      <c r="M53" s="152"/>
      <c r="N53" s="153"/>
      <c r="O53" s="145"/>
      <c r="P53" s="145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O53" s="251"/>
      <c r="AP53" s="105"/>
      <c r="AQ53" s="105"/>
      <c r="AR53" s="105"/>
      <c r="AS53" s="105"/>
      <c r="AT53" s="116"/>
      <c r="AU53" s="58"/>
      <c r="AV53"/>
      <c r="AX53" s="693">
        <f>I53-E53</f>
        <v>0</v>
      </c>
    </row>
    <row r="54" spans="1:50" ht="13.5" thickBot="1">
      <c r="A54" s="378" t="s">
        <v>158</v>
      </c>
      <c r="B54" s="501" t="s">
        <v>159</v>
      </c>
      <c r="C54" s="502">
        <f aca="true" t="shared" si="5" ref="C54:J54">C45+C12+C11</f>
        <v>106480</v>
      </c>
      <c r="D54" s="502">
        <f t="shared" si="5"/>
        <v>25296</v>
      </c>
      <c r="E54" s="502">
        <f t="shared" si="5"/>
        <v>51329</v>
      </c>
      <c r="F54" s="502">
        <f t="shared" si="5"/>
        <v>183105</v>
      </c>
      <c r="G54" s="502">
        <f t="shared" si="5"/>
        <v>104596</v>
      </c>
      <c r="H54" s="502">
        <f t="shared" si="5"/>
        <v>21634</v>
      </c>
      <c r="I54" s="502">
        <f t="shared" si="5"/>
        <v>54481</v>
      </c>
      <c r="J54" s="502">
        <f t="shared" si="5"/>
        <v>180711</v>
      </c>
      <c r="K54" s="503">
        <f t="shared" si="1"/>
        <v>98.69255345293683</v>
      </c>
      <c r="L54" s="169"/>
      <c r="M54" s="169"/>
      <c r="N54" s="170"/>
      <c r="O54" s="145"/>
      <c r="P54" s="145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O54" s="252" t="s">
        <v>268</v>
      </c>
      <c r="AP54" s="114">
        <v>5296615</v>
      </c>
      <c r="AQ54" s="114">
        <v>5200155</v>
      </c>
      <c r="AR54" s="114">
        <v>5118015</v>
      </c>
      <c r="AS54" s="114">
        <v>5157515</v>
      </c>
      <c r="AT54" s="114">
        <v>19376000</v>
      </c>
      <c r="AU54" s="253">
        <v>17483000</v>
      </c>
      <c r="AV54" s="59"/>
      <c r="AX54" s="693">
        <f>I54-E54</f>
        <v>3152</v>
      </c>
    </row>
    <row r="55" spans="1:48" ht="13.5" hidden="1" thickTop="1">
      <c r="A55" s="186">
        <v>6</v>
      </c>
      <c r="B55" s="500"/>
      <c r="C55" s="355"/>
      <c r="D55" s="355"/>
      <c r="E55" s="355"/>
      <c r="F55" s="355"/>
      <c r="G55" s="355"/>
      <c r="H55" s="355"/>
      <c r="I55" s="355"/>
      <c r="J55" s="355"/>
      <c r="K55" s="497"/>
      <c r="L55" s="152"/>
      <c r="M55" s="152"/>
      <c r="N55" s="153"/>
      <c r="O55" s="145"/>
      <c r="P55" s="145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O55" s="251" t="s">
        <v>269</v>
      </c>
      <c r="AP55" s="105">
        <v>1251600</v>
      </c>
      <c r="AQ55" s="105">
        <v>1745400</v>
      </c>
      <c r="AR55" s="105"/>
      <c r="AS55" s="105">
        <v>3760416</v>
      </c>
      <c r="AT55" s="105"/>
      <c r="AU55" s="58">
        <v>3504000</v>
      </c>
      <c r="AV55"/>
    </row>
    <row r="56" spans="1:48" ht="12.75" hidden="1">
      <c r="A56" s="171"/>
      <c r="B56" s="500"/>
      <c r="C56" s="355"/>
      <c r="D56" s="355"/>
      <c r="E56" s="355"/>
      <c r="F56" s="355"/>
      <c r="G56" s="355"/>
      <c r="H56" s="355"/>
      <c r="I56" s="355"/>
      <c r="J56" s="355"/>
      <c r="K56" s="497"/>
      <c r="L56" s="165"/>
      <c r="M56" s="165"/>
      <c r="N56" s="166"/>
      <c r="O56" s="145"/>
      <c r="P56" s="145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O56" s="251" t="s">
        <v>270</v>
      </c>
      <c r="AP56" s="115">
        <v>9371631.44</v>
      </c>
      <c r="AQ56" s="115">
        <v>10640397</v>
      </c>
      <c r="AR56" s="115">
        <v>3455684.84</v>
      </c>
      <c r="AS56" s="115">
        <v>832181</v>
      </c>
      <c r="AT56" s="115">
        <v>1007088.62</v>
      </c>
      <c r="AU56" s="58">
        <v>663428</v>
      </c>
      <c r="AV56"/>
    </row>
    <row r="57" spans="1:50" s="541" customFormat="1" ht="14.25" thickBot="1" thickTop="1">
      <c r="A57" s="534">
        <v>1</v>
      </c>
      <c r="B57" s="618" t="s">
        <v>375</v>
      </c>
      <c r="C57" s="619">
        <v>150</v>
      </c>
      <c r="D57" s="619">
        <v>43</v>
      </c>
      <c r="E57" s="619">
        <v>4319</v>
      </c>
      <c r="F57" s="619">
        <f aca="true" t="shared" si="6" ref="F57:F66">E57+D57+C57</f>
        <v>4512</v>
      </c>
      <c r="G57" s="619">
        <v>150</v>
      </c>
      <c r="H57" s="619">
        <v>43</v>
      </c>
      <c r="I57" s="619">
        <v>4388</v>
      </c>
      <c r="J57" s="619">
        <f aca="true" t="shared" si="7" ref="J57:J97">I57+H57+G57</f>
        <v>4581</v>
      </c>
      <c r="K57" s="620">
        <f t="shared" si="1"/>
        <v>101.52925531914893</v>
      </c>
      <c r="L57" s="563"/>
      <c r="M57" s="563"/>
      <c r="N57" s="564"/>
      <c r="O57" s="539"/>
      <c r="P57" s="539">
        <v>3989</v>
      </c>
      <c r="Q57" s="540" t="s">
        <v>197</v>
      </c>
      <c r="R57" s="540">
        <v>400</v>
      </c>
      <c r="S57" s="540"/>
      <c r="T57" s="540"/>
      <c r="U57" s="540"/>
      <c r="V57" s="540"/>
      <c r="W57" s="540"/>
      <c r="X57" s="540"/>
      <c r="Y57" s="540"/>
      <c r="Z57" s="540"/>
      <c r="AA57" s="540"/>
      <c r="AB57" s="540"/>
      <c r="AC57" s="540"/>
      <c r="AD57" s="540"/>
      <c r="AE57" s="540"/>
      <c r="AF57" s="540"/>
      <c r="AO57" s="569"/>
      <c r="AP57" s="570"/>
      <c r="AQ57" s="570"/>
      <c r="AR57" s="570"/>
      <c r="AS57" s="570"/>
      <c r="AT57" s="570"/>
      <c r="AU57" s="571"/>
      <c r="AV57" s="546"/>
      <c r="AX57" s="693">
        <f aca="true" t="shared" si="8" ref="AX57:AX86">I57-E57</f>
        <v>69</v>
      </c>
    </row>
    <row r="58" spans="1:50" s="541" customFormat="1" ht="13.5" thickBot="1">
      <c r="A58" s="534">
        <v>2</v>
      </c>
      <c r="B58" s="618" t="s">
        <v>198</v>
      </c>
      <c r="C58" s="619"/>
      <c r="D58" s="619"/>
      <c r="E58" s="619">
        <v>224</v>
      </c>
      <c r="F58" s="619">
        <f t="shared" si="6"/>
        <v>224</v>
      </c>
      <c r="G58" s="619"/>
      <c r="H58" s="619"/>
      <c r="I58" s="619">
        <v>224</v>
      </c>
      <c r="J58" s="619">
        <f t="shared" si="7"/>
        <v>224</v>
      </c>
      <c r="K58" s="620">
        <f t="shared" si="1"/>
        <v>100</v>
      </c>
      <c r="L58" s="563"/>
      <c r="M58" s="563"/>
      <c r="N58" s="564"/>
      <c r="O58" s="539"/>
      <c r="P58" s="539">
        <v>40</v>
      </c>
      <c r="Q58" s="540" t="s">
        <v>199</v>
      </c>
      <c r="R58" s="540"/>
      <c r="S58" s="540"/>
      <c r="T58" s="540"/>
      <c r="U58" s="540"/>
      <c r="V58" s="540"/>
      <c r="W58" s="540"/>
      <c r="X58" s="540"/>
      <c r="Y58" s="540"/>
      <c r="Z58" s="540"/>
      <c r="AA58" s="540"/>
      <c r="AB58" s="540"/>
      <c r="AC58" s="540"/>
      <c r="AD58" s="540"/>
      <c r="AE58" s="540"/>
      <c r="AF58" s="540"/>
      <c r="AO58" s="546"/>
      <c r="AP58" s="546"/>
      <c r="AQ58" s="546"/>
      <c r="AR58" s="546"/>
      <c r="AS58" s="546"/>
      <c r="AT58" s="546"/>
      <c r="AU58" s="562"/>
      <c r="AV58" s="546"/>
      <c r="AX58" s="693">
        <f t="shared" si="8"/>
        <v>0</v>
      </c>
    </row>
    <row r="59" spans="1:50" s="118" customFormat="1" ht="12.75">
      <c r="A59" s="130"/>
      <c r="B59" s="618" t="s">
        <v>215</v>
      </c>
      <c r="C59" s="619"/>
      <c r="D59" s="619"/>
      <c r="E59" s="619">
        <v>0</v>
      </c>
      <c r="F59" s="619">
        <f t="shared" si="6"/>
        <v>0</v>
      </c>
      <c r="G59" s="619"/>
      <c r="H59" s="619"/>
      <c r="I59" s="619">
        <v>0</v>
      </c>
      <c r="J59" s="619">
        <f t="shared" si="7"/>
        <v>0</v>
      </c>
      <c r="K59" s="620"/>
      <c r="L59" s="165"/>
      <c r="M59" s="165"/>
      <c r="N59" s="166"/>
      <c r="O59" s="145"/>
      <c r="P59" s="145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O59" s="248"/>
      <c r="AP59" s="249" t="s">
        <v>271</v>
      </c>
      <c r="AQ59" s="249"/>
      <c r="AR59" s="249" t="s">
        <v>272</v>
      </c>
      <c r="AS59" s="249"/>
      <c r="AT59" s="249" t="s">
        <v>251</v>
      </c>
      <c r="AU59" s="250"/>
      <c r="AV59"/>
      <c r="AX59" s="693">
        <f t="shared" si="8"/>
        <v>0</v>
      </c>
    </row>
    <row r="60" spans="1:50" ht="12.75">
      <c r="A60" s="134"/>
      <c r="B60" s="618" t="s">
        <v>360</v>
      </c>
      <c r="C60" s="619">
        <v>2554</v>
      </c>
      <c r="D60" s="619">
        <v>728</v>
      </c>
      <c r="E60" s="619"/>
      <c r="F60" s="619">
        <f t="shared" si="6"/>
        <v>3282</v>
      </c>
      <c r="G60" s="619"/>
      <c r="H60" s="619"/>
      <c r="I60" s="619"/>
      <c r="J60" s="619">
        <f t="shared" si="7"/>
        <v>0</v>
      </c>
      <c r="K60" s="620"/>
      <c r="L60" s="165"/>
      <c r="M60" s="165"/>
      <c r="N60" s="166"/>
      <c r="O60" s="145"/>
      <c r="P60" s="145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O60" s="251"/>
      <c r="AP60" s="106">
        <v>2011</v>
      </c>
      <c r="AQ60" s="106">
        <v>2012</v>
      </c>
      <c r="AR60" s="106">
        <v>2011</v>
      </c>
      <c r="AS60" s="106">
        <v>2012</v>
      </c>
      <c r="AT60" s="106">
        <v>2011</v>
      </c>
      <c r="AU60" s="114">
        <v>2012</v>
      </c>
      <c r="AV60"/>
      <c r="AX60" s="693">
        <f t="shared" si="8"/>
        <v>0</v>
      </c>
    </row>
    <row r="61" spans="1:50" s="546" customFormat="1" ht="12.75">
      <c r="A61" s="565"/>
      <c r="B61" s="618" t="s">
        <v>376</v>
      </c>
      <c r="C61" s="619"/>
      <c r="D61" s="619"/>
      <c r="E61" s="619">
        <v>12040</v>
      </c>
      <c r="F61" s="619">
        <f t="shared" si="6"/>
        <v>12040</v>
      </c>
      <c r="G61" s="619"/>
      <c r="H61" s="619"/>
      <c r="I61" s="619">
        <v>15040</v>
      </c>
      <c r="J61" s="619">
        <f t="shared" si="7"/>
        <v>15040</v>
      </c>
      <c r="K61" s="620">
        <f t="shared" si="1"/>
        <v>124.91694352159467</v>
      </c>
      <c r="L61" s="566" t="s">
        <v>173</v>
      </c>
      <c r="M61" s="563"/>
      <c r="N61" s="564"/>
      <c r="O61" s="539"/>
      <c r="P61" s="539">
        <v>7251</v>
      </c>
      <c r="Q61" s="567" t="s">
        <v>200</v>
      </c>
      <c r="R61" s="567"/>
      <c r="S61" s="567"/>
      <c r="T61" s="567"/>
      <c r="U61" s="567"/>
      <c r="V61" s="567"/>
      <c r="W61" s="567"/>
      <c r="X61" s="567"/>
      <c r="Y61" s="567"/>
      <c r="Z61" s="567"/>
      <c r="AA61" s="567"/>
      <c r="AB61" s="567"/>
      <c r="AC61" s="567"/>
      <c r="AD61" s="567"/>
      <c r="AE61" s="567"/>
      <c r="AF61" s="567"/>
      <c r="AO61" s="542" t="s">
        <v>265</v>
      </c>
      <c r="AP61" s="543">
        <v>2338168</v>
      </c>
      <c r="AQ61" s="543">
        <v>2306400</v>
      </c>
      <c r="AR61" s="543">
        <v>1498768</v>
      </c>
      <c r="AS61" s="543">
        <v>1296000</v>
      </c>
      <c r="AT61" s="543">
        <v>3547112</v>
      </c>
      <c r="AU61" s="544">
        <v>3486465</v>
      </c>
      <c r="AX61" s="693">
        <f t="shared" si="8"/>
        <v>3000</v>
      </c>
    </row>
    <row r="62" spans="1:50" s="118" customFormat="1" ht="12.75">
      <c r="A62" s="130"/>
      <c r="B62" s="618" t="s">
        <v>377</v>
      </c>
      <c r="C62" s="619"/>
      <c r="D62" s="619"/>
      <c r="E62" s="619">
        <v>1281</v>
      </c>
      <c r="F62" s="619">
        <f t="shared" si="6"/>
        <v>1281</v>
      </c>
      <c r="G62" s="619"/>
      <c r="H62" s="619"/>
      <c r="I62" s="619"/>
      <c r="J62" s="619">
        <f t="shared" si="7"/>
        <v>0</v>
      </c>
      <c r="K62" s="620">
        <f t="shared" si="1"/>
        <v>0</v>
      </c>
      <c r="L62" s="154"/>
      <c r="M62" s="154"/>
      <c r="N62" s="151"/>
      <c r="O62" s="145"/>
      <c r="P62" s="145">
        <v>282</v>
      </c>
      <c r="Q62" s="128" t="s">
        <v>201</v>
      </c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O62" s="251" t="s">
        <v>255</v>
      </c>
      <c r="AP62" s="116"/>
      <c r="AQ62" s="116">
        <v>300000</v>
      </c>
      <c r="AR62" s="116"/>
      <c r="AS62" s="116">
        <v>200000</v>
      </c>
      <c r="AT62" s="116"/>
      <c r="AU62" s="114">
        <v>400000</v>
      </c>
      <c r="AV62"/>
      <c r="AX62" s="693">
        <f t="shared" si="8"/>
        <v>-1281</v>
      </c>
    </row>
    <row r="63" spans="1:50" s="541" customFormat="1" ht="12.75">
      <c r="A63" s="534"/>
      <c r="B63" s="618" t="s">
        <v>378</v>
      </c>
      <c r="C63" s="619"/>
      <c r="D63" s="619"/>
      <c r="E63" s="619">
        <v>1435</v>
      </c>
      <c r="F63" s="619">
        <f t="shared" si="6"/>
        <v>1435</v>
      </c>
      <c r="G63" s="619"/>
      <c r="H63" s="619"/>
      <c r="I63" s="619">
        <v>636</v>
      </c>
      <c r="J63" s="619">
        <f t="shared" si="7"/>
        <v>636</v>
      </c>
      <c r="K63" s="620">
        <f t="shared" si="1"/>
        <v>44.3205574912892</v>
      </c>
      <c r="L63" s="557" t="s">
        <v>171</v>
      </c>
      <c r="M63" s="553"/>
      <c r="N63" s="558"/>
      <c r="O63" s="539"/>
      <c r="P63" s="539">
        <f>3000+6135-2450</f>
        <v>6685</v>
      </c>
      <c r="Q63" s="540" t="s">
        <v>202</v>
      </c>
      <c r="R63" s="540"/>
      <c r="S63" s="540"/>
      <c r="T63" s="540"/>
      <c r="U63" s="540"/>
      <c r="V63" s="540"/>
      <c r="W63" s="540"/>
      <c r="X63" s="540"/>
      <c r="Y63" s="540"/>
      <c r="Z63" s="540"/>
      <c r="AA63" s="540"/>
      <c r="AB63" s="540"/>
      <c r="AC63" s="540"/>
      <c r="AD63" s="540"/>
      <c r="AE63" s="540"/>
      <c r="AF63" s="540"/>
      <c r="AO63" s="542" t="s">
        <v>107</v>
      </c>
      <c r="AP63" s="543">
        <v>547605.36</v>
      </c>
      <c r="AQ63" s="543">
        <v>622728</v>
      </c>
      <c r="AR63" s="543">
        <v>349317.36</v>
      </c>
      <c r="AS63" s="543">
        <v>349920</v>
      </c>
      <c r="AT63" s="543">
        <v>847020.24</v>
      </c>
      <c r="AU63" s="544">
        <v>941345.55</v>
      </c>
      <c r="AV63" s="546"/>
      <c r="AX63" s="693">
        <f t="shared" si="8"/>
        <v>-799</v>
      </c>
    </row>
    <row r="64" spans="1:50" s="118" customFormat="1" ht="12.75">
      <c r="A64" s="130"/>
      <c r="B64" s="618" t="s">
        <v>379</v>
      </c>
      <c r="C64" s="619"/>
      <c r="D64" s="619"/>
      <c r="E64" s="619">
        <v>0</v>
      </c>
      <c r="F64" s="619">
        <f t="shared" si="6"/>
        <v>0</v>
      </c>
      <c r="G64" s="619"/>
      <c r="H64" s="619"/>
      <c r="I64" s="619">
        <v>0</v>
      </c>
      <c r="J64" s="619">
        <f t="shared" si="7"/>
        <v>0</v>
      </c>
      <c r="K64" s="620"/>
      <c r="L64" s="154"/>
      <c r="M64" s="154"/>
      <c r="N64" s="151"/>
      <c r="O64" s="145"/>
      <c r="P64" s="145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O64" s="251" t="s">
        <v>266</v>
      </c>
      <c r="AP64" s="116">
        <v>1800000</v>
      </c>
      <c r="AQ64" s="116">
        <v>1649560</v>
      </c>
      <c r="AR64" s="116">
        <v>500000</v>
      </c>
      <c r="AS64" s="116">
        <v>872800</v>
      </c>
      <c r="AT64" s="116">
        <v>620000</v>
      </c>
      <c r="AU64" s="114">
        <v>282560</v>
      </c>
      <c r="AV64"/>
      <c r="AX64" s="693">
        <f t="shared" si="8"/>
        <v>0</v>
      </c>
    </row>
    <row r="65" spans="1:50" s="118" customFormat="1" ht="12.75">
      <c r="A65" s="130"/>
      <c r="B65" s="618" t="s">
        <v>380</v>
      </c>
      <c r="C65" s="619">
        <v>800</v>
      </c>
      <c r="D65" s="619"/>
      <c r="E65" s="619">
        <v>86</v>
      </c>
      <c r="F65" s="619">
        <f t="shared" si="6"/>
        <v>886</v>
      </c>
      <c r="G65" s="619">
        <v>800</v>
      </c>
      <c r="H65" s="619"/>
      <c r="I65" s="619">
        <v>86</v>
      </c>
      <c r="J65" s="619">
        <f t="shared" si="7"/>
        <v>886</v>
      </c>
      <c r="K65" s="620">
        <f t="shared" si="1"/>
        <v>100</v>
      </c>
      <c r="L65" s="191"/>
      <c r="M65" s="154"/>
      <c r="N65" s="151"/>
      <c r="O65" s="145"/>
      <c r="P65" s="145"/>
      <c r="Q65" s="172" t="s">
        <v>203</v>
      </c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O65" s="251" t="s">
        <v>21</v>
      </c>
      <c r="AP65" s="116">
        <v>4685773.36</v>
      </c>
      <c r="AQ65" s="116">
        <v>4878688</v>
      </c>
      <c r="AR65" s="116">
        <v>2348085.36</v>
      </c>
      <c r="AS65" s="116">
        <v>2718720</v>
      </c>
      <c r="AT65" s="116">
        <v>5014132.24</v>
      </c>
      <c r="AU65" s="114">
        <v>5110370.55</v>
      </c>
      <c r="AV65"/>
      <c r="AX65" s="693">
        <f t="shared" si="8"/>
        <v>0</v>
      </c>
    </row>
    <row r="66" spans="1:50" s="118" customFormat="1" ht="13.5" thickBot="1">
      <c r="A66" s="130"/>
      <c r="B66" s="618" t="s">
        <v>381</v>
      </c>
      <c r="C66" s="619"/>
      <c r="D66" s="619"/>
      <c r="E66" s="619">
        <v>0</v>
      </c>
      <c r="F66" s="619">
        <f t="shared" si="6"/>
        <v>0</v>
      </c>
      <c r="G66" s="619"/>
      <c r="H66" s="619"/>
      <c r="I66" s="619">
        <v>3000</v>
      </c>
      <c r="J66" s="619">
        <f t="shared" si="7"/>
        <v>3000</v>
      </c>
      <c r="K66" s="620"/>
      <c r="L66" s="173"/>
      <c r="M66" s="173"/>
      <c r="N66" s="174"/>
      <c r="O66" s="145"/>
      <c r="P66" s="145">
        <v>144</v>
      </c>
      <c r="Q66" s="128" t="s">
        <v>204</v>
      </c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O66" s="251" t="s">
        <v>219</v>
      </c>
      <c r="AP66" s="116">
        <v>1.5</v>
      </c>
      <c r="AQ66" s="116">
        <v>1.5</v>
      </c>
      <c r="AR66" s="116">
        <v>1</v>
      </c>
      <c r="AS66" s="116">
        <v>1</v>
      </c>
      <c r="AT66" s="116">
        <v>2</v>
      </c>
      <c r="AU66" s="114">
        <v>2</v>
      </c>
      <c r="AV66"/>
      <c r="AX66" s="693">
        <f t="shared" si="8"/>
        <v>3000</v>
      </c>
    </row>
    <row r="67" spans="1:50" s="546" customFormat="1" ht="13.5" thickBot="1">
      <c r="A67" s="565"/>
      <c r="B67" s="621" t="s">
        <v>382</v>
      </c>
      <c r="C67" s="619">
        <f>C68+C69+C70+C71+C72+C74</f>
        <v>6607</v>
      </c>
      <c r="D67" s="619">
        <f>D68+D69+D70+D71+D72+D74</f>
        <v>1752</v>
      </c>
      <c r="E67" s="619">
        <f>E68+E69+E70+E71+E72+E74</f>
        <v>12519</v>
      </c>
      <c r="F67" s="619">
        <f>E67+D67+C67</f>
        <v>20878</v>
      </c>
      <c r="G67" s="619">
        <f>G68+G69+G70+G71+G72+G74</f>
        <v>6607</v>
      </c>
      <c r="H67" s="619">
        <f>H68+H69+H70+H71+H72+H74</f>
        <v>1683</v>
      </c>
      <c r="I67" s="619">
        <f>I68+I69+I70+I71+I72+I74</f>
        <v>18323</v>
      </c>
      <c r="J67" s="619">
        <f>I67+H67+G67</f>
        <v>26613</v>
      </c>
      <c r="K67" s="620">
        <f t="shared" si="1"/>
        <v>127.46910623622954</v>
      </c>
      <c r="L67" s="578"/>
      <c r="M67" s="578"/>
      <c r="N67" s="579"/>
      <c r="O67" s="539"/>
      <c r="P67" s="539"/>
      <c r="Q67" s="567"/>
      <c r="R67" s="567"/>
      <c r="S67" s="567"/>
      <c r="T67" s="567"/>
      <c r="U67" s="567"/>
      <c r="V67" s="567"/>
      <c r="W67" s="567"/>
      <c r="X67" s="567"/>
      <c r="Y67" s="567"/>
      <c r="Z67" s="567"/>
      <c r="AA67" s="567"/>
      <c r="AB67" s="567"/>
      <c r="AC67" s="567"/>
      <c r="AD67" s="567"/>
      <c r="AE67" s="567"/>
      <c r="AF67" s="567"/>
      <c r="AO67" s="542" t="s">
        <v>267</v>
      </c>
      <c r="AP67" s="543">
        <v>1800000</v>
      </c>
      <c r="AQ67" s="535">
        <v>1000000</v>
      </c>
      <c r="AR67" s="556"/>
      <c r="AS67" s="556"/>
      <c r="AT67" s="556"/>
      <c r="AU67" s="535"/>
      <c r="AX67" s="693">
        <f t="shared" si="8"/>
        <v>5804</v>
      </c>
    </row>
    <row r="68" spans="1:50" s="541" customFormat="1" ht="12.75">
      <c r="A68" s="534"/>
      <c r="B68" s="618" t="s">
        <v>383</v>
      </c>
      <c r="C68" s="619"/>
      <c r="D68" s="619"/>
      <c r="E68" s="619">
        <v>139</v>
      </c>
      <c r="F68" s="619">
        <f>E68+D68+C68</f>
        <v>139</v>
      </c>
      <c r="G68" s="619"/>
      <c r="H68" s="619"/>
      <c r="I68" s="619">
        <v>160</v>
      </c>
      <c r="J68" s="619">
        <f>I68+H68+G68</f>
        <v>160</v>
      </c>
      <c r="K68" s="620">
        <f t="shared" si="1"/>
        <v>115.10791366906474</v>
      </c>
      <c r="L68" s="537"/>
      <c r="M68" s="537"/>
      <c r="N68" s="580"/>
      <c r="O68" s="539"/>
      <c r="P68" s="539">
        <v>113</v>
      </c>
      <c r="Q68" s="540"/>
      <c r="R68" s="540"/>
      <c r="S68" s="540"/>
      <c r="T68" s="540"/>
      <c r="U68" s="540"/>
      <c r="V68" s="540"/>
      <c r="W68" s="540"/>
      <c r="X68" s="540"/>
      <c r="Y68" s="540"/>
      <c r="Z68" s="540"/>
      <c r="AA68" s="540"/>
      <c r="AB68" s="540"/>
      <c r="AC68" s="540"/>
      <c r="AD68" s="540"/>
      <c r="AE68" s="540"/>
      <c r="AF68" s="540"/>
      <c r="AO68" s="581" t="s">
        <v>268</v>
      </c>
      <c r="AP68" s="535"/>
      <c r="AQ68" s="535"/>
      <c r="AR68" s="544">
        <v>1996550</v>
      </c>
      <c r="AS68" s="544">
        <v>1996550</v>
      </c>
      <c r="AT68" s="535">
        <v>1771600</v>
      </c>
      <c r="AU68" s="535">
        <v>1771600</v>
      </c>
      <c r="AV68" s="546"/>
      <c r="AX68" s="693">
        <f t="shared" si="8"/>
        <v>21</v>
      </c>
    </row>
    <row r="69" spans="1:50" s="541" customFormat="1" ht="12.75">
      <c r="A69" s="534"/>
      <c r="B69" s="618" t="s">
        <v>384</v>
      </c>
      <c r="C69" s="619"/>
      <c r="D69" s="619"/>
      <c r="E69" s="619">
        <v>2125</v>
      </c>
      <c r="F69" s="619">
        <f aca="true" t="shared" si="9" ref="F69:F77">E69+D69+C69</f>
        <v>2125</v>
      </c>
      <c r="G69" s="619"/>
      <c r="H69" s="619"/>
      <c r="I69" s="619">
        <v>2125</v>
      </c>
      <c r="J69" s="619">
        <f t="shared" si="7"/>
        <v>2125</v>
      </c>
      <c r="K69" s="620">
        <f t="shared" si="1"/>
        <v>100</v>
      </c>
      <c r="L69" s="553"/>
      <c r="M69" s="553"/>
      <c r="N69" s="558"/>
      <c r="O69" s="539"/>
      <c r="P69" s="539">
        <f>2450+3174</f>
        <v>5624</v>
      </c>
      <c r="Q69" s="540" t="s">
        <v>205</v>
      </c>
      <c r="R69" s="540"/>
      <c r="S69" s="540"/>
      <c r="T69" s="540"/>
      <c r="U69" s="540"/>
      <c r="V69" s="540"/>
      <c r="W69" s="540"/>
      <c r="X69" s="540"/>
      <c r="Y69" s="540"/>
      <c r="Z69" s="540"/>
      <c r="AA69" s="540"/>
      <c r="AB69" s="540"/>
      <c r="AC69" s="540" t="s">
        <v>248</v>
      </c>
      <c r="AD69" s="540"/>
      <c r="AE69" s="540"/>
      <c r="AF69" s="540"/>
      <c r="AO69" s="542" t="s">
        <v>269</v>
      </c>
      <c r="AP69" s="556"/>
      <c r="AQ69" s="556"/>
      <c r="AR69" s="556"/>
      <c r="AS69" s="556"/>
      <c r="AT69" s="556"/>
      <c r="AU69" s="535"/>
      <c r="AV69" s="546"/>
      <c r="AX69" s="693">
        <f t="shared" si="8"/>
        <v>0</v>
      </c>
    </row>
    <row r="70" spans="1:50" s="541" customFormat="1" ht="12.75">
      <c r="A70" s="534"/>
      <c r="B70" s="618" t="s">
        <v>385</v>
      </c>
      <c r="C70" s="619"/>
      <c r="D70" s="619"/>
      <c r="E70" s="619">
        <v>1500</v>
      </c>
      <c r="F70" s="619">
        <f t="shared" si="9"/>
        <v>1500</v>
      </c>
      <c r="G70" s="619"/>
      <c r="H70" s="619"/>
      <c r="I70" s="619">
        <v>1500</v>
      </c>
      <c r="J70" s="619">
        <f t="shared" si="7"/>
        <v>1500</v>
      </c>
      <c r="K70" s="620">
        <f t="shared" si="1"/>
        <v>100</v>
      </c>
      <c r="L70" s="553"/>
      <c r="M70" s="553"/>
      <c r="N70" s="558"/>
      <c r="O70" s="539"/>
      <c r="P70" s="539">
        <v>765</v>
      </c>
      <c r="Q70" s="561" t="s">
        <v>206</v>
      </c>
      <c r="R70" s="540">
        <v>2000</v>
      </c>
      <c r="S70" s="540"/>
      <c r="T70" s="540"/>
      <c r="U70" s="540"/>
      <c r="V70" s="540"/>
      <c r="W70" s="540"/>
      <c r="X70" s="540"/>
      <c r="Y70" s="540"/>
      <c r="Z70" s="540"/>
      <c r="AA70" s="540" t="s">
        <v>194</v>
      </c>
      <c r="AB70" s="540"/>
      <c r="AC70" s="540"/>
      <c r="AD70" s="540"/>
      <c r="AE70" s="540"/>
      <c r="AF70" s="540"/>
      <c r="AO70" s="542" t="s">
        <v>270</v>
      </c>
      <c r="AP70" s="568">
        <v>2885773.36</v>
      </c>
      <c r="AQ70" s="568">
        <v>3878688</v>
      </c>
      <c r="AR70" s="568">
        <v>351535.36</v>
      </c>
      <c r="AS70" s="568">
        <v>722170</v>
      </c>
      <c r="AT70" s="568">
        <v>3242532.24</v>
      </c>
      <c r="AU70" s="535">
        <v>3338770.55</v>
      </c>
      <c r="AV70" s="546"/>
      <c r="AX70" s="693">
        <f t="shared" si="8"/>
        <v>0</v>
      </c>
    </row>
    <row r="71" spans="1:50" s="541" customFormat="1" ht="13.5" thickBot="1">
      <c r="A71" s="534"/>
      <c r="B71" s="618" t="s">
        <v>386</v>
      </c>
      <c r="C71" s="619">
        <v>1527</v>
      </c>
      <c r="D71" s="619">
        <v>435</v>
      </c>
      <c r="E71" s="619">
        <v>8755</v>
      </c>
      <c r="F71" s="619">
        <f t="shared" si="9"/>
        <v>10717</v>
      </c>
      <c r="G71" s="672">
        <v>1527</v>
      </c>
      <c r="H71" s="672">
        <v>435</v>
      </c>
      <c r="I71" s="619">
        <f>13417+1121</f>
        <v>14538</v>
      </c>
      <c r="J71" s="619">
        <f t="shared" si="7"/>
        <v>16500</v>
      </c>
      <c r="K71" s="620">
        <f t="shared" si="1"/>
        <v>153.9609965475413</v>
      </c>
      <c r="L71" s="553" t="s">
        <v>187</v>
      </c>
      <c r="M71" s="553"/>
      <c r="N71" s="558"/>
      <c r="O71" s="539"/>
      <c r="P71" s="539">
        <f>260+1411+767+19</f>
        <v>2457</v>
      </c>
      <c r="Q71" s="540" t="s">
        <v>207</v>
      </c>
      <c r="R71" s="540"/>
      <c r="S71" s="540"/>
      <c r="T71" s="540"/>
      <c r="U71" s="540"/>
      <c r="V71" s="540"/>
      <c r="W71" s="540"/>
      <c r="X71" s="540"/>
      <c r="Y71" s="540"/>
      <c r="Z71" s="540"/>
      <c r="AA71" s="540"/>
      <c r="AB71" s="540"/>
      <c r="AC71" s="540" t="s">
        <v>246</v>
      </c>
      <c r="AD71" s="540"/>
      <c r="AE71" s="540"/>
      <c r="AF71" s="540"/>
      <c r="AO71" s="569"/>
      <c r="AP71" s="546"/>
      <c r="AQ71" s="546"/>
      <c r="AR71" s="546"/>
      <c r="AS71" s="546"/>
      <c r="AT71" s="546"/>
      <c r="AU71" s="562"/>
      <c r="AV71" s="546"/>
      <c r="AX71" s="693">
        <f t="shared" si="8"/>
        <v>5783</v>
      </c>
    </row>
    <row r="72" spans="1:50" s="541" customFormat="1" ht="13.5" thickBot="1">
      <c r="A72" s="534"/>
      <c r="B72" s="618" t="s">
        <v>387</v>
      </c>
      <c r="C72" s="619">
        <v>5080</v>
      </c>
      <c r="D72" s="619">
        <v>1317</v>
      </c>
      <c r="E72" s="619">
        <v>0</v>
      </c>
      <c r="F72" s="619">
        <f t="shared" si="9"/>
        <v>6397</v>
      </c>
      <c r="G72" s="619">
        <v>5080</v>
      </c>
      <c r="H72" s="619">
        <v>1248</v>
      </c>
      <c r="I72" s="619">
        <v>0</v>
      </c>
      <c r="J72" s="619">
        <f t="shared" si="7"/>
        <v>6328</v>
      </c>
      <c r="K72" s="620">
        <f aca="true" t="shared" si="10" ref="K72:K98">J72/F72*100</f>
        <v>98.92136939190246</v>
      </c>
      <c r="L72" s="563" t="s">
        <v>172</v>
      </c>
      <c r="M72" s="563"/>
      <c r="N72" s="564"/>
      <c r="O72" s="539"/>
      <c r="P72" s="539"/>
      <c r="Q72" s="540" t="s">
        <v>208</v>
      </c>
      <c r="R72" s="540"/>
      <c r="S72" s="540"/>
      <c r="T72" s="540"/>
      <c r="U72" s="540"/>
      <c r="V72" s="540"/>
      <c r="W72" s="540"/>
      <c r="X72" s="540"/>
      <c r="Y72" s="540"/>
      <c r="Z72" s="540"/>
      <c r="AA72" s="540"/>
      <c r="AB72" s="540"/>
      <c r="AC72" s="540"/>
      <c r="AD72" s="540"/>
      <c r="AE72" s="540"/>
      <c r="AF72" s="540"/>
      <c r="AO72" s="546"/>
      <c r="AP72" s="546"/>
      <c r="AQ72" s="546"/>
      <c r="AR72" s="546"/>
      <c r="AS72" s="546"/>
      <c r="AT72" s="546"/>
      <c r="AU72" s="562"/>
      <c r="AV72" s="546"/>
      <c r="AX72" s="693">
        <f t="shared" si="8"/>
        <v>0</v>
      </c>
    </row>
    <row r="73" spans="1:50" s="546" customFormat="1" ht="12.75">
      <c r="A73" s="565"/>
      <c r="B73" s="618" t="s">
        <v>150</v>
      </c>
      <c r="C73" s="619"/>
      <c r="D73" s="619"/>
      <c r="E73" s="619">
        <v>3910</v>
      </c>
      <c r="F73" s="619">
        <f>E73+D73+C73</f>
        <v>3910</v>
      </c>
      <c r="G73" s="619"/>
      <c r="H73" s="619"/>
      <c r="I73" s="619">
        <v>6480</v>
      </c>
      <c r="J73" s="619">
        <f>I73+H73+G73</f>
        <v>6480</v>
      </c>
      <c r="K73" s="620">
        <f t="shared" si="10"/>
        <v>165.7289002557545</v>
      </c>
      <c r="L73" s="574"/>
      <c r="M73" s="563"/>
      <c r="N73" s="564"/>
      <c r="O73" s="539"/>
      <c r="P73" s="539"/>
      <c r="Q73" s="567"/>
      <c r="R73" s="567"/>
      <c r="S73" s="567"/>
      <c r="T73" s="567"/>
      <c r="U73" s="567"/>
      <c r="V73" s="567"/>
      <c r="W73" s="567"/>
      <c r="X73" s="567"/>
      <c r="Y73" s="567"/>
      <c r="Z73" s="567"/>
      <c r="AA73" s="567"/>
      <c r="AB73" s="567"/>
      <c r="AC73" s="567"/>
      <c r="AD73" s="567"/>
      <c r="AE73" s="567"/>
      <c r="AO73" s="575"/>
      <c r="AP73" s="576" t="s">
        <v>273</v>
      </c>
      <c r="AQ73" s="576"/>
      <c r="AR73" s="576" t="s">
        <v>226</v>
      </c>
      <c r="AS73" s="576"/>
      <c r="AT73" s="576" t="s">
        <v>274</v>
      </c>
      <c r="AU73" s="577"/>
      <c r="AX73" s="693">
        <f t="shared" si="8"/>
        <v>2570</v>
      </c>
    </row>
    <row r="74" spans="1:50" s="118" customFormat="1" ht="13.5" thickBot="1">
      <c r="A74" s="130"/>
      <c r="B74" s="618" t="s">
        <v>224</v>
      </c>
      <c r="C74" s="619"/>
      <c r="D74" s="619"/>
      <c r="E74" s="619">
        <v>0</v>
      </c>
      <c r="F74" s="619">
        <f t="shared" si="9"/>
        <v>0</v>
      </c>
      <c r="G74" s="619"/>
      <c r="H74" s="619"/>
      <c r="I74" s="619">
        <v>0</v>
      </c>
      <c r="J74" s="619">
        <f t="shared" si="7"/>
        <v>0</v>
      </c>
      <c r="K74" s="620" t="e">
        <f t="shared" si="10"/>
        <v>#DIV/0!</v>
      </c>
      <c r="L74" s="149"/>
      <c r="M74" s="149"/>
      <c r="N74" s="150"/>
      <c r="O74" s="145"/>
      <c r="P74" s="145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O74" s="251"/>
      <c r="AP74" s="106">
        <v>2011</v>
      </c>
      <c r="AQ74" s="106">
        <v>2012</v>
      </c>
      <c r="AR74" s="106">
        <v>2011</v>
      </c>
      <c r="AS74" s="106">
        <v>2012</v>
      </c>
      <c r="AT74" s="106">
        <v>2011</v>
      </c>
      <c r="AU74" s="101">
        <v>2012</v>
      </c>
      <c r="AV74"/>
      <c r="AX74" s="693">
        <f t="shared" si="8"/>
        <v>0</v>
      </c>
    </row>
    <row r="75" spans="1:50" s="541" customFormat="1" ht="12.75">
      <c r="A75" s="534"/>
      <c r="B75" s="618" t="s">
        <v>388</v>
      </c>
      <c r="C75" s="620"/>
      <c r="D75" s="619"/>
      <c r="E75" s="619">
        <v>23886</v>
      </c>
      <c r="F75" s="619">
        <f t="shared" si="9"/>
        <v>23886</v>
      </c>
      <c r="G75" s="620"/>
      <c r="H75" s="619"/>
      <c r="I75" s="619">
        <f>29718-1000</f>
        <v>28718</v>
      </c>
      <c r="J75" s="619">
        <f t="shared" si="7"/>
        <v>28718</v>
      </c>
      <c r="K75" s="620">
        <f t="shared" si="10"/>
        <v>120.2294230930252</v>
      </c>
      <c r="L75" s="559" t="s">
        <v>174</v>
      </c>
      <c r="M75" s="559"/>
      <c r="N75" s="560"/>
      <c r="O75" s="539"/>
      <c r="P75" s="539">
        <f>21424-1300</f>
        <v>20124</v>
      </c>
      <c r="Q75" s="561" t="s">
        <v>209</v>
      </c>
      <c r="R75" s="540"/>
      <c r="S75" s="540"/>
      <c r="T75" s="540"/>
      <c r="U75" s="540"/>
      <c r="V75" s="540"/>
      <c r="W75" s="540"/>
      <c r="X75" s="540"/>
      <c r="Y75" s="540"/>
      <c r="Z75" s="540"/>
      <c r="AA75" s="540"/>
      <c r="AB75" s="540"/>
      <c r="AC75" s="540"/>
      <c r="AD75" s="540"/>
      <c r="AE75" s="540"/>
      <c r="AF75" s="540"/>
      <c r="AO75" s="542" t="s">
        <v>265</v>
      </c>
      <c r="AP75" s="543">
        <v>1475512</v>
      </c>
      <c r="AQ75" s="543"/>
      <c r="AR75" s="543">
        <v>2458732</v>
      </c>
      <c r="AS75" s="543">
        <v>2272800</v>
      </c>
      <c r="AT75" s="544">
        <v>40983162</v>
      </c>
      <c r="AU75" s="545">
        <v>38895149</v>
      </c>
      <c r="AV75" s="562">
        <v>43495149</v>
      </c>
      <c r="AX75" s="693">
        <f t="shared" si="8"/>
        <v>4832</v>
      </c>
    </row>
    <row r="76" spans="1:50" s="541" customFormat="1" ht="12.75">
      <c r="A76" s="534"/>
      <c r="B76" s="618" t="s">
        <v>389</v>
      </c>
      <c r="C76" s="620"/>
      <c r="D76" s="619"/>
      <c r="E76" s="619">
        <v>8458</v>
      </c>
      <c r="F76" s="619">
        <f t="shared" si="9"/>
        <v>8458</v>
      </c>
      <c r="G76" s="620"/>
      <c r="H76" s="619"/>
      <c r="I76" s="619">
        <f>11898+5000</f>
        <v>16898</v>
      </c>
      <c r="J76" s="619">
        <f t="shared" si="7"/>
        <v>16898</v>
      </c>
      <c r="K76" s="620">
        <f t="shared" si="10"/>
        <v>199.78718373137858</v>
      </c>
      <c r="L76" s="536"/>
      <c r="M76" s="537"/>
      <c r="N76" s="538"/>
      <c r="O76" s="539"/>
      <c r="P76" s="539">
        <f>921+470+420+835+6059+2218</f>
        <v>10923</v>
      </c>
      <c r="Q76" s="540" t="s">
        <v>210</v>
      </c>
      <c r="R76" s="540"/>
      <c r="S76" s="540"/>
      <c r="T76" s="540"/>
      <c r="U76" s="540"/>
      <c r="V76" s="540"/>
      <c r="W76" s="540"/>
      <c r="X76" s="540"/>
      <c r="Y76" s="540"/>
      <c r="Z76" s="540"/>
      <c r="AA76" s="540"/>
      <c r="AB76" s="540"/>
      <c r="AC76" s="540"/>
      <c r="AD76" s="540"/>
      <c r="AE76" s="540"/>
      <c r="AF76" s="540"/>
      <c r="AO76" s="542" t="s">
        <v>255</v>
      </c>
      <c r="AP76" s="543"/>
      <c r="AQ76" s="543"/>
      <c r="AR76" s="543"/>
      <c r="AS76" s="543">
        <v>300000</v>
      </c>
      <c r="AT76" s="544">
        <v>0</v>
      </c>
      <c r="AU76" s="545">
        <v>4600000</v>
      </c>
      <c r="AV76" s="546"/>
      <c r="AX76" s="693">
        <f t="shared" si="8"/>
        <v>8440</v>
      </c>
    </row>
    <row r="77" spans="1:50" ht="12.75">
      <c r="A77" s="134"/>
      <c r="B77" s="622" t="s">
        <v>218</v>
      </c>
      <c r="C77" s="623"/>
      <c r="D77" s="624"/>
      <c r="E77" s="625">
        <v>0</v>
      </c>
      <c r="F77" s="625">
        <f t="shared" si="9"/>
        <v>0</v>
      </c>
      <c r="G77" s="623"/>
      <c r="H77" s="624"/>
      <c r="I77" s="625">
        <v>0</v>
      </c>
      <c r="J77" s="625">
        <f t="shared" si="7"/>
        <v>0</v>
      </c>
      <c r="K77" s="623"/>
      <c r="L77" s="159"/>
      <c r="M77" s="152"/>
      <c r="N77" s="176"/>
      <c r="O77" s="145"/>
      <c r="P77" s="145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O77" s="251" t="s">
        <v>107</v>
      </c>
      <c r="AP77" s="116">
        <v>344388.24</v>
      </c>
      <c r="AQ77" s="116"/>
      <c r="AR77" s="116">
        <v>582857.64</v>
      </c>
      <c r="AS77" s="116">
        <v>613656</v>
      </c>
      <c r="AT77" s="254">
        <v>9728953.740000002</v>
      </c>
      <c r="AU77" s="255">
        <v>10397825.55</v>
      </c>
      <c r="AV77"/>
      <c r="AX77" s="693">
        <f t="shared" si="8"/>
        <v>0</v>
      </c>
    </row>
    <row r="78" spans="1:50" ht="12.75">
      <c r="A78" s="134"/>
      <c r="B78" s="626" t="s">
        <v>390</v>
      </c>
      <c r="C78" s="623"/>
      <c r="D78" s="624"/>
      <c r="E78" s="624"/>
      <c r="F78" s="624"/>
      <c r="G78" s="623"/>
      <c r="H78" s="624"/>
      <c r="I78" s="624"/>
      <c r="J78" s="624"/>
      <c r="K78" s="623"/>
      <c r="L78" s="152"/>
      <c r="M78" s="152"/>
      <c r="N78" s="176"/>
      <c r="O78" s="145"/>
      <c r="P78" s="145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O78" s="251" t="s">
        <v>266</v>
      </c>
      <c r="AP78" s="116">
        <v>3100000</v>
      </c>
      <c r="AQ78" s="116">
        <v>2713990</v>
      </c>
      <c r="AR78" s="116">
        <v>500000</v>
      </c>
      <c r="AS78" s="116">
        <v>90000</v>
      </c>
      <c r="AT78" s="254">
        <v>15374000</v>
      </c>
      <c r="AU78" s="255">
        <v>14121742</v>
      </c>
      <c r="AV78"/>
      <c r="AX78" s="693">
        <f t="shared" si="8"/>
        <v>0</v>
      </c>
    </row>
    <row r="79" spans="1:50" s="118" customFormat="1" ht="12.75">
      <c r="A79" s="130"/>
      <c r="B79" s="626" t="s">
        <v>160</v>
      </c>
      <c r="C79" s="624"/>
      <c r="D79" s="624"/>
      <c r="E79" s="624"/>
      <c r="F79" s="624">
        <f aca="true" t="shared" si="11" ref="F79:F91">E79+D79+C79</f>
        <v>0</v>
      </c>
      <c r="G79" s="624"/>
      <c r="H79" s="624">
        <v>2159</v>
      </c>
      <c r="I79" s="624"/>
      <c r="J79" s="624">
        <f t="shared" si="7"/>
        <v>2159</v>
      </c>
      <c r="K79" s="623" t="e">
        <f t="shared" si="10"/>
        <v>#DIV/0!</v>
      </c>
      <c r="L79" s="149"/>
      <c r="M79" s="149"/>
      <c r="N79" s="175"/>
      <c r="O79" s="145"/>
      <c r="P79" s="145">
        <v>2713</v>
      </c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O79" s="251" t="s">
        <v>21</v>
      </c>
      <c r="AP79" s="116">
        <v>4919900.24</v>
      </c>
      <c r="AQ79" s="116">
        <v>2713990</v>
      </c>
      <c r="AR79" s="116">
        <v>3541589.64</v>
      </c>
      <c r="AS79" s="116">
        <v>3276456</v>
      </c>
      <c r="AT79" s="116">
        <v>66086115.74</v>
      </c>
      <c r="AU79" s="101">
        <v>68014716.55</v>
      </c>
      <c r="AV79"/>
      <c r="AX79" s="693">
        <f t="shared" si="8"/>
        <v>0</v>
      </c>
    </row>
    <row r="80" spans="1:50" s="541" customFormat="1" ht="12.75">
      <c r="A80" s="534"/>
      <c r="B80" s="626" t="s">
        <v>391</v>
      </c>
      <c r="C80" s="623"/>
      <c r="D80" s="624"/>
      <c r="E80" s="624">
        <v>4489</v>
      </c>
      <c r="F80" s="624">
        <f t="shared" si="11"/>
        <v>4489</v>
      </c>
      <c r="G80" s="623"/>
      <c r="H80" s="624"/>
      <c r="I80" s="624">
        <v>4689</v>
      </c>
      <c r="J80" s="624">
        <f t="shared" si="7"/>
        <v>4689</v>
      </c>
      <c r="K80" s="623">
        <f t="shared" si="10"/>
        <v>104.45533526397861</v>
      </c>
      <c r="L80" s="553" t="s">
        <v>175</v>
      </c>
      <c r="M80" s="553"/>
      <c r="N80" s="554"/>
      <c r="O80" s="539"/>
      <c r="P80" s="539">
        <v>5103</v>
      </c>
      <c r="Q80" s="540" t="s">
        <v>211</v>
      </c>
      <c r="R80" s="540"/>
      <c r="S80" s="540"/>
      <c r="T80" s="540"/>
      <c r="U80" s="540"/>
      <c r="V80" s="540"/>
      <c r="W80" s="540"/>
      <c r="X80" s="540"/>
      <c r="Y80" s="540"/>
      <c r="Z80" s="540"/>
      <c r="AA80" s="540" t="s">
        <v>194</v>
      </c>
      <c r="AB80" s="540"/>
      <c r="AC80" s="540"/>
      <c r="AD80" s="540"/>
      <c r="AE80" s="540"/>
      <c r="AF80" s="540"/>
      <c r="AO80" s="542" t="s">
        <v>219</v>
      </c>
      <c r="AP80" s="543">
        <v>1</v>
      </c>
      <c r="AQ80" s="543"/>
      <c r="AR80" s="543">
        <v>1.5</v>
      </c>
      <c r="AS80" s="543">
        <v>1.5</v>
      </c>
      <c r="AT80" s="555"/>
      <c r="AU80" s="545"/>
      <c r="AV80" s="546"/>
      <c r="AX80" s="693">
        <f t="shared" si="8"/>
        <v>200</v>
      </c>
    </row>
    <row r="81" spans="1:50" ht="12.75">
      <c r="A81" s="164"/>
      <c r="B81" s="500" t="s">
        <v>407</v>
      </c>
      <c r="C81" s="355"/>
      <c r="D81" s="355"/>
      <c r="E81" s="355"/>
      <c r="F81" s="355">
        <f>E81+D81+C81</f>
        <v>0</v>
      </c>
      <c r="G81" s="355"/>
      <c r="H81" s="355"/>
      <c r="I81" s="355">
        <v>21438</v>
      </c>
      <c r="J81" s="355">
        <f>I81+H81+G81</f>
        <v>21438</v>
      </c>
      <c r="K81" s="497" t="e">
        <f>J81/F81*100</f>
        <v>#DIV/0!</v>
      </c>
      <c r="L81" s="193" t="s">
        <v>185</v>
      </c>
      <c r="M81" s="154"/>
      <c r="N81" s="151"/>
      <c r="O81" s="145"/>
      <c r="P81" s="145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X81" s="693">
        <f t="shared" si="8"/>
        <v>21438</v>
      </c>
    </row>
    <row r="82" spans="1:50" s="118" customFormat="1" ht="12.75">
      <c r="A82" s="130"/>
      <c r="B82" s="626" t="s">
        <v>392</v>
      </c>
      <c r="C82" s="623"/>
      <c r="D82" s="624"/>
      <c r="E82" s="624"/>
      <c r="F82" s="624">
        <f t="shared" si="11"/>
        <v>0</v>
      </c>
      <c r="G82" s="623"/>
      <c r="H82" s="624"/>
      <c r="I82" s="624"/>
      <c r="J82" s="624">
        <f t="shared" si="7"/>
        <v>0</v>
      </c>
      <c r="K82" s="623"/>
      <c r="L82" s="154" t="s">
        <v>176</v>
      </c>
      <c r="M82" s="154"/>
      <c r="N82" s="177"/>
      <c r="O82" s="145"/>
      <c r="P82" s="145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 t="s">
        <v>217</v>
      </c>
      <c r="AB82" s="128"/>
      <c r="AC82" s="128" t="s">
        <v>245</v>
      </c>
      <c r="AD82" s="128"/>
      <c r="AE82" s="128"/>
      <c r="AF82" s="128"/>
      <c r="AO82" s="251" t="s">
        <v>267</v>
      </c>
      <c r="AP82" s="116">
        <v>1900000</v>
      </c>
      <c r="AQ82" s="105">
        <v>1842900</v>
      </c>
      <c r="AR82" s="116">
        <v>504000</v>
      </c>
      <c r="AS82" s="105">
        <v>500000</v>
      </c>
      <c r="AT82" s="254">
        <v>4904000</v>
      </c>
      <c r="AU82" s="255">
        <v>3672900</v>
      </c>
      <c r="AV82"/>
      <c r="AX82" s="693">
        <f t="shared" si="8"/>
        <v>0</v>
      </c>
    </row>
    <row r="83" spans="1:50" s="118" customFormat="1" ht="12.75">
      <c r="A83" s="130"/>
      <c r="B83" s="626" t="s">
        <v>393</v>
      </c>
      <c r="C83" s="623"/>
      <c r="D83" s="624"/>
      <c r="E83" s="624">
        <v>100</v>
      </c>
      <c r="F83" s="624">
        <f t="shared" si="11"/>
        <v>100</v>
      </c>
      <c r="G83" s="623"/>
      <c r="H83" s="624"/>
      <c r="I83" s="624">
        <v>100</v>
      </c>
      <c r="J83" s="624">
        <f t="shared" si="7"/>
        <v>100</v>
      </c>
      <c r="K83" s="623">
        <f t="shared" si="10"/>
        <v>100</v>
      </c>
      <c r="L83" s="191" t="s">
        <v>161</v>
      </c>
      <c r="M83" s="154"/>
      <c r="N83" s="177"/>
      <c r="O83" s="145"/>
      <c r="P83" s="145">
        <v>120</v>
      </c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O83" s="252" t="s">
        <v>268</v>
      </c>
      <c r="AP83" s="58"/>
      <c r="AQ83" s="58"/>
      <c r="AR83" s="114">
        <v>2682000</v>
      </c>
      <c r="AS83" s="58">
        <v>1341000</v>
      </c>
      <c r="AT83" s="254">
        <v>36240780</v>
      </c>
      <c r="AU83" s="255">
        <v>32949820</v>
      </c>
      <c r="AV83" s="59"/>
      <c r="AX83" s="693">
        <f t="shared" si="8"/>
        <v>0</v>
      </c>
    </row>
    <row r="84" spans="1:50" s="541" customFormat="1" ht="12.75">
      <c r="A84" s="534"/>
      <c r="B84" s="626" t="s">
        <v>394</v>
      </c>
      <c r="C84" s="623"/>
      <c r="D84" s="624"/>
      <c r="E84" s="624">
        <v>25</v>
      </c>
      <c r="F84" s="624">
        <f t="shared" si="11"/>
        <v>25</v>
      </c>
      <c r="G84" s="623"/>
      <c r="H84" s="624"/>
      <c r="I84" s="624">
        <v>3000</v>
      </c>
      <c r="J84" s="624">
        <f t="shared" si="7"/>
        <v>3000</v>
      </c>
      <c r="K84" s="623">
        <f t="shared" si="10"/>
        <v>12000</v>
      </c>
      <c r="L84" s="537"/>
      <c r="M84" s="537"/>
      <c r="N84" s="538"/>
      <c r="O84" s="539"/>
      <c r="P84" s="539">
        <f>1183+237</f>
        <v>1420</v>
      </c>
      <c r="Q84" s="540" t="s">
        <v>212</v>
      </c>
      <c r="R84" s="540">
        <v>-1037</v>
      </c>
      <c r="S84" s="540"/>
      <c r="T84" s="540"/>
      <c r="U84" s="540"/>
      <c r="V84" s="540"/>
      <c r="W84" s="540"/>
      <c r="X84" s="540"/>
      <c r="Y84" s="540"/>
      <c r="Z84" s="540"/>
      <c r="AA84" s="540"/>
      <c r="AB84" s="540"/>
      <c r="AC84" s="540"/>
      <c r="AD84" s="540"/>
      <c r="AE84" s="540"/>
      <c r="AF84" s="540"/>
      <c r="AO84" s="542" t="s">
        <v>269</v>
      </c>
      <c r="AP84" s="556"/>
      <c r="AQ84" s="556"/>
      <c r="AR84" s="556"/>
      <c r="AS84" s="556"/>
      <c r="AT84" s="544">
        <v>1251600</v>
      </c>
      <c r="AU84" s="545">
        <v>9009816</v>
      </c>
      <c r="AV84" s="546"/>
      <c r="AX84" s="693">
        <f t="shared" si="8"/>
        <v>2975</v>
      </c>
    </row>
    <row r="85" spans="1:50" s="541" customFormat="1" ht="12.75">
      <c r="A85" s="534"/>
      <c r="B85" s="626" t="s">
        <v>395</v>
      </c>
      <c r="C85" s="623">
        <v>648</v>
      </c>
      <c r="D85" s="624">
        <v>185</v>
      </c>
      <c r="E85" s="624">
        <f>1569-648-185</f>
        <v>736</v>
      </c>
      <c r="F85" s="624">
        <f t="shared" si="11"/>
        <v>1569</v>
      </c>
      <c r="G85" s="623"/>
      <c r="H85" s="624"/>
      <c r="I85" s="624">
        <v>766</v>
      </c>
      <c r="J85" s="624">
        <f t="shared" si="7"/>
        <v>766</v>
      </c>
      <c r="K85" s="623">
        <f t="shared" si="10"/>
        <v>48.820905035054174</v>
      </c>
      <c r="L85" s="553"/>
      <c r="M85" s="553"/>
      <c r="N85" s="554"/>
      <c r="O85" s="539"/>
      <c r="P85" s="539">
        <f>1358+782+833</f>
        <v>2973</v>
      </c>
      <c r="Q85" s="540"/>
      <c r="R85" s="540"/>
      <c r="S85" s="540"/>
      <c r="T85" s="540"/>
      <c r="U85" s="540"/>
      <c r="V85" s="540"/>
      <c r="W85" s="540"/>
      <c r="X85" s="540"/>
      <c r="Y85" s="540"/>
      <c r="Z85" s="540"/>
      <c r="AA85" s="540"/>
      <c r="AB85" s="540"/>
      <c r="AC85" s="540"/>
      <c r="AD85" s="540"/>
      <c r="AE85" s="540"/>
      <c r="AF85" s="540"/>
      <c r="AO85" s="542" t="s">
        <v>270</v>
      </c>
      <c r="AP85" s="568">
        <v>3019900.24</v>
      </c>
      <c r="AQ85" s="568">
        <v>871090</v>
      </c>
      <c r="AR85" s="568">
        <v>355589.64</v>
      </c>
      <c r="AS85" s="568">
        <v>1435456</v>
      </c>
      <c r="AT85" s="568">
        <v>23689735.740000002</v>
      </c>
      <c r="AU85" s="572">
        <v>22382180.549999997</v>
      </c>
      <c r="AV85" s="573">
        <v>1307555.190000005</v>
      </c>
      <c r="AX85" s="693">
        <f t="shared" si="8"/>
        <v>30</v>
      </c>
    </row>
    <row r="86" spans="1:50" s="118" customFormat="1" ht="12.75">
      <c r="A86" s="130"/>
      <c r="B86" s="626" t="s">
        <v>249</v>
      </c>
      <c r="C86" s="623"/>
      <c r="D86" s="624"/>
      <c r="E86" s="624"/>
      <c r="F86" s="624">
        <f t="shared" si="11"/>
        <v>0</v>
      </c>
      <c r="G86" s="623"/>
      <c r="H86" s="624"/>
      <c r="I86" s="624"/>
      <c r="J86" s="624">
        <f t="shared" si="7"/>
        <v>0</v>
      </c>
      <c r="K86" s="623"/>
      <c r="L86" s="165"/>
      <c r="M86" s="165"/>
      <c r="N86" s="178"/>
      <c r="O86" s="145"/>
      <c r="P86" s="145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X86" s="693">
        <f t="shared" si="8"/>
        <v>0</v>
      </c>
    </row>
    <row r="87" spans="1:112" ht="12.75" hidden="1">
      <c r="A87" s="134"/>
      <c r="B87" s="627" t="s">
        <v>162</v>
      </c>
      <c r="C87" s="623"/>
      <c r="D87" s="624"/>
      <c r="E87" s="624"/>
      <c r="F87" s="624">
        <f t="shared" si="11"/>
        <v>0</v>
      </c>
      <c r="G87" s="623"/>
      <c r="H87" s="624"/>
      <c r="I87" s="624"/>
      <c r="J87" s="624">
        <f t="shared" si="7"/>
        <v>0</v>
      </c>
      <c r="K87" s="623" t="e">
        <f t="shared" si="10"/>
        <v>#DIV/0!</v>
      </c>
      <c r="L87" s="165"/>
      <c r="M87" s="165"/>
      <c r="N87" s="178"/>
      <c r="O87" s="145"/>
      <c r="P87" s="145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CW87" s="119"/>
      <c r="CX87" s="119"/>
      <c r="CY87" s="119"/>
      <c r="CZ87" s="119"/>
      <c r="DA87" s="119"/>
      <c r="DB87" s="119"/>
      <c r="DC87" s="119"/>
      <c r="DD87" s="119"/>
      <c r="DE87" s="119"/>
      <c r="DF87" s="119"/>
      <c r="DG87" s="119"/>
      <c r="DH87" s="119"/>
    </row>
    <row r="88" spans="1:256" s="181" customFormat="1" ht="12.75" hidden="1">
      <c r="A88" s="186"/>
      <c r="B88" s="627" t="s">
        <v>163</v>
      </c>
      <c r="C88" s="623"/>
      <c r="D88" s="624"/>
      <c r="E88" s="624"/>
      <c r="F88" s="624">
        <f t="shared" si="11"/>
        <v>0</v>
      </c>
      <c r="G88" s="623"/>
      <c r="H88" s="624"/>
      <c r="I88" s="624"/>
      <c r="J88" s="624">
        <f t="shared" si="7"/>
        <v>0</v>
      </c>
      <c r="K88" s="623" t="e">
        <f t="shared" si="10"/>
        <v>#DIV/0!</v>
      </c>
      <c r="L88" s="154"/>
      <c r="M88" s="154"/>
      <c r="N88" s="177"/>
      <c r="O88" s="180"/>
      <c r="P88" s="145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Q88" s="119"/>
      <c r="AR88" s="119"/>
      <c r="AS88" s="119"/>
      <c r="AT88" s="119"/>
      <c r="AU88" s="119"/>
      <c r="AV88" s="119"/>
      <c r="AW88" s="119"/>
      <c r="AX88" s="182"/>
      <c r="AY88" s="119"/>
      <c r="AZ88" s="119"/>
      <c r="BA88" s="119"/>
      <c r="BB88" s="119"/>
      <c r="BC88" s="119"/>
      <c r="BD88" s="119"/>
      <c r="BE88" s="119"/>
      <c r="BF88" s="119"/>
      <c r="BG88" s="119"/>
      <c r="BH88" s="119"/>
      <c r="BI88" s="119"/>
      <c r="BJ88" s="119"/>
      <c r="BK88" s="119"/>
      <c r="BL88" s="119"/>
      <c r="BM88" s="119"/>
      <c r="BN88" s="119"/>
      <c r="BO88" s="119"/>
      <c r="BP88" s="119"/>
      <c r="BQ88" s="119"/>
      <c r="BR88" s="119"/>
      <c r="BS88" s="119"/>
      <c r="BT88" s="119"/>
      <c r="BU88" s="119"/>
      <c r="BV88" s="119"/>
      <c r="BW88" s="119"/>
      <c r="BX88" s="119"/>
      <c r="BY88" s="119"/>
      <c r="BZ88" s="119"/>
      <c r="CA88" s="119"/>
      <c r="CB88" s="119"/>
      <c r="CC88" s="119"/>
      <c r="CD88" s="119"/>
      <c r="CE88" s="119"/>
      <c r="CF88" s="119"/>
      <c r="CG88" s="119"/>
      <c r="CH88" s="119"/>
      <c r="CI88" s="119"/>
      <c r="CJ88" s="119"/>
      <c r="CK88" s="119"/>
      <c r="CL88" s="119"/>
      <c r="CM88" s="119"/>
      <c r="CN88" s="119"/>
      <c r="CO88" s="119"/>
      <c r="CP88" s="119"/>
      <c r="CQ88" s="119"/>
      <c r="CR88" s="119"/>
      <c r="CS88" s="119"/>
      <c r="CT88" s="119"/>
      <c r="CU88" s="119"/>
      <c r="CV88" s="119"/>
      <c r="CW88" s="119"/>
      <c r="CX88" s="119"/>
      <c r="CY88" s="119"/>
      <c r="CZ88" s="119"/>
      <c r="DA88" s="119"/>
      <c r="DB88" s="119"/>
      <c r="DC88" s="119"/>
      <c r="DD88" s="119"/>
      <c r="DE88" s="119"/>
      <c r="DF88" s="119"/>
      <c r="DG88" s="119"/>
      <c r="DH88" s="119"/>
      <c r="DI88" s="119"/>
      <c r="DJ88" s="119"/>
      <c r="DK88" s="119"/>
      <c r="DL88" s="119"/>
      <c r="DM88" s="119"/>
      <c r="DN88" s="119"/>
      <c r="DO88" s="119"/>
      <c r="DP88" s="119"/>
      <c r="DQ88" s="119"/>
      <c r="DR88" s="119"/>
      <c r="DS88" s="119"/>
      <c r="DT88" s="119"/>
      <c r="DU88" s="119"/>
      <c r="DV88" s="119"/>
      <c r="DW88" s="119"/>
      <c r="DX88" s="119"/>
      <c r="DY88" s="119"/>
      <c r="DZ88" s="119"/>
      <c r="EA88" s="119"/>
      <c r="EB88" s="119"/>
      <c r="EC88" s="119"/>
      <c r="ED88" s="119"/>
      <c r="EE88" s="119"/>
      <c r="EF88" s="119"/>
      <c r="EG88" s="119"/>
      <c r="EH88" s="119"/>
      <c r="EI88" s="119"/>
      <c r="EJ88" s="119"/>
      <c r="EK88" s="119"/>
      <c r="EL88" s="119"/>
      <c r="EM88" s="119"/>
      <c r="EN88" s="119"/>
      <c r="EO88" s="119"/>
      <c r="EP88" s="119"/>
      <c r="EQ88" s="119"/>
      <c r="ER88" s="119"/>
      <c r="ES88" s="119"/>
      <c r="ET88" s="119"/>
      <c r="EU88" s="119"/>
      <c r="EV88" s="119"/>
      <c r="EW88" s="119"/>
      <c r="EX88" s="119"/>
      <c r="EY88" s="119"/>
      <c r="EZ88" s="119"/>
      <c r="FA88" s="119"/>
      <c r="FB88" s="119"/>
      <c r="FC88" s="119"/>
      <c r="FD88" s="119"/>
      <c r="FE88" s="119"/>
      <c r="FF88" s="119"/>
      <c r="FG88" s="119"/>
      <c r="FH88" s="119"/>
      <c r="FI88" s="119"/>
      <c r="FJ88" s="119"/>
      <c r="FK88" s="119"/>
      <c r="FL88" s="119"/>
      <c r="FM88" s="119"/>
      <c r="FN88" s="119"/>
      <c r="FO88" s="119"/>
      <c r="FP88" s="119"/>
      <c r="FQ88" s="119"/>
      <c r="FR88" s="119"/>
      <c r="FS88" s="119"/>
      <c r="FT88" s="119"/>
      <c r="FU88" s="119"/>
      <c r="FV88" s="119"/>
      <c r="FW88" s="119"/>
      <c r="FX88" s="119"/>
      <c r="FY88" s="119"/>
      <c r="FZ88" s="119"/>
      <c r="GA88" s="119"/>
      <c r="GB88" s="119"/>
      <c r="GC88" s="119"/>
      <c r="GD88" s="119"/>
      <c r="GE88" s="119"/>
      <c r="GF88" s="119"/>
      <c r="GG88" s="119"/>
      <c r="GH88" s="119"/>
      <c r="GI88" s="119"/>
      <c r="GJ88" s="119"/>
      <c r="GK88" s="119"/>
      <c r="GL88" s="119"/>
      <c r="GM88" s="119"/>
      <c r="GN88" s="119"/>
      <c r="GO88" s="119"/>
      <c r="GP88" s="119"/>
      <c r="GQ88" s="119"/>
      <c r="GR88" s="119"/>
      <c r="GS88" s="119"/>
      <c r="GT88" s="119"/>
      <c r="GU88" s="119"/>
      <c r="GV88" s="119"/>
      <c r="GW88" s="119"/>
      <c r="GX88" s="119"/>
      <c r="GY88" s="119"/>
      <c r="GZ88" s="119"/>
      <c r="HA88" s="119"/>
      <c r="HB88" s="119"/>
      <c r="HC88" s="119"/>
      <c r="HD88" s="119"/>
      <c r="HE88" s="119"/>
      <c r="HF88" s="119"/>
      <c r="HG88" s="119"/>
      <c r="HH88" s="119"/>
      <c r="HI88" s="119"/>
      <c r="HJ88" s="119"/>
      <c r="HK88" s="119"/>
      <c r="HL88" s="119"/>
      <c r="HM88" s="119"/>
      <c r="HN88" s="119"/>
      <c r="HO88" s="119"/>
      <c r="HP88" s="119"/>
      <c r="HQ88" s="119"/>
      <c r="HR88" s="119"/>
      <c r="HS88" s="119"/>
      <c r="HT88" s="119"/>
      <c r="HU88" s="119"/>
      <c r="HV88" s="119"/>
      <c r="HW88" s="119"/>
      <c r="HX88" s="119"/>
      <c r="HY88" s="119"/>
      <c r="HZ88" s="119"/>
      <c r="IA88" s="119"/>
      <c r="IB88" s="119"/>
      <c r="IC88" s="119"/>
      <c r="ID88" s="119"/>
      <c r="IE88" s="119"/>
      <c r="IF88" s="119"/>
      <c r="IG88" s="119"/>
      <c r="IH88" s="119"/>
      <c r="II88" s="119"/>
      <c r="IJ88" s="119"/>
      <c r="IK88" s="119"/>
      <c r="IL88" s="119"/>
      <c r="IM88" s="119"/>
      <c r="IN88" s="119"/>
      <c r="IO88" s="119"/>
      <c r="IP88" s="119"/>
      <c r="IQ88" s="119"/>
      <c r="IR88" s="119"/>
      <c r="IS88" s="119"/>
      <c r="IT88" s="119"/>
      <c r="IU88" s="119"/>
      <c r="IV88" s="119"/>
    </row>
    <row r="89" spans="1:32" ht="12.75" hidden="1">
      <c r="A89" s="134"/>
      <c r="B89" s="627" t="s">
        <v>164</v>
      </c>
      <c r="C89" s="623"/>
      <c r="D89" s="624"/>
      <c r="E89" s="624"/>
      <c r="F89" s="624">
        <f t="shared" si="11"/>
        <v>0</v>
      </c>
      <c r="G89" s="623"/>
      <c r="H89" s="624"/>
      <c r="I89" s="624"/>
      <c r="J89" s="624">
        <f t="shared" si="7"/>
        <v>0</v>
      </c>
      <c r="K89" s="623" t="e">
        <f t="shared" si="10"/>
        <v>#DIV/0!</v>
      </c>
      <c r="L89" s="149"/>
      <c r="M89" s="149"/>
      <c r="N89" s="175"/>
      <c r="O89" s="145"/>
      <c r="P89" s="145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</row>
    <row r="90" spans="1:32" ht="12.75" hidden="1">
      <c r="A90" s="188"/>
      <c r="B90" s="627" t="s">
        <v>216</v>
      </c>
      <c r="C90" s="623"/>
      <c r="D90" s="624"/>
      <c r="E90" s="624"/>
      <c r="F90" s="624">
        <f t="shared" si="11"/>
        <v>0</v>
      </c>
      <c r="G90" s="623"/>
      <c r="H90" s="624"/>
      <c r="I90" s="624"/>
      <c r="J90" s="624">
        <f t="shared" si="7"/>
        <v>0</v>
      </c>
      <c r="K90" s="623" t="e">
        <f t="shared" si="10"/>
        <v>#DIV/0!</v>
      </c>
      <c r="L90" s="154"/>
      <c r="M90" s="154"/>
      <c r="N90" s="177"/>
      <c r="O90" s="145"/>
      <c r="P90" s="145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</row>
    <row r="91" spans="1:50" s="546" customFormat="1" ht="12.75">
      <c r="A91" s="582">
        <v>7</v>
      </c>
      <c r="B91" s="627" t="s">
        <v>165</v>
      </c>
      <c r="C91" s="623"/>
      <c r="D91" s="624"/>
      <c r="E91" s="624">
        <v>2287</v>
      </c>
      <c r="F91" s="624">
        <f t="shared" si="11"/>
        <v>2287</v>
      </c>
      <c r="G91" s="623"/>
      <c r="H91" s="624"/>
      <c r="I91" s="624"/>
      <c r="J91" s="624">
        <f t="shared" si="7"/>
        <v>0</v>
      </c>
      <c r="K91" s="623">
        <f t="shared" si="10"/>
        <v>0</v>
      </c>
      <c r="L91" s="583"/>
      <c r="M91" s="553"/>
      <c r="N91" s="554"/>
      <c r="O91" s="584"/>
      <c r="P91" s="584"/>
      <c r="Q91" s="567"/>
      <c r="R91" s="567"/>
      <c r="S91" s="567"/>
      <c r="T91" s="567"/>
      <c r="U91" s="567"/>
      <c r="V91" s="567"/>
      <c r="W91" s="567"/>
      <c r="X91" s="567"/>
      <c r="Y91" s="567"/>
      <c r="Z91" s="567"/>
      <c r="AA91" s="567"/>
      <c r="AB91" s="567"/>
      <c r="AC91" s="567" t="s">
        <v>225</v>
      </c>
      <c r="AD91" s="567"/>
      <c r="AE91" s="567"/>
      <c r="AF91" s="567"/>
      <c r="AX91" s="693">
        <f aca="true" t="shared" si="12" ref="AX91:AX98">I91-E91</f>
        <v>-2287</v>
      </c>
    </row>
    <row r="92" spans="1:50" s="546" customFormat="1" ht="12.75">
      <c r="A92" s="582"/>
      <c r="B92" s="311" t="s">
        <v>447</v>
      </c>
      <c r="C92" s="623"/>
      <c r="D92" s="624"/>
      <c r="E92" s="624"/>
      <c r="F92" s="624"/>
      <c r="G92" s="623"/>
      <c r="H92" s="624"/>
      <c r="I92" s="672">
        <v>15000</v>
      </c>
      <c r="J92" s="672">
        <f t="shared" si="7"/>
        <v>15000</v>
      </c>
      <c r="K92" s="623"/>
      <c r="L92" s="583"/>
      <c r="M92" s="553"/>
      <c r="N92" s="554"/>
      <c r="O92" s="584"/>
      <c r="P92" s="584"/>
      <c r="Q92" s="567"/>
      <c r="R92" s="567"/>
      <c r="S92" s="567"/>
      <c r="T92" s="567"/>
      <c r="U92" s="567"/>
      <c r="V92" s="567"/>
      <c r="W92" s="567"/>
      <c r="X92" s="567"/>
      <c r="Y92" s="567"/>
      <c r="Z92" s="567"/>
      <c r="AA92" s="567"/>
      <c r="AB92" s="567"/>
      <c r="AC92" s="567"/>
      <c r="AD92" s="567"/>
      <c r="AE92" s="567"/>
      <c r="AF92" s="567"/>
      <c r="AX92" s="693">
        <f t="shared" si="12"/>
        <v>15000</v>
      </c>
    </row>
    <row r="93" spans="1:50" s="546" customFormat="1" ht="12.75">
      <c r="A93" s="582">
        <v>8</v>
      </c>
      <c r="B93" s="627" t="s">
        <v>364</v>
      </c>
      <c r="C93" s="624"/>
      <c r="D93" s="624"/>
      <c r="E93" s="624">
        <v>2100</v>
      </c>
      <c r="F93" s="624">
        <v>0</v>
      </c>
      <c r="G93" s="624"/>
      <c r="H93" s="624"/>
      <c r="I93" s="624"/>
      <c r="J93" s="624">
        <f t="shared" si="7"/>
        <v>0</v>
      </c>
      <c r="K93" s="623"/>
      <c r="L93" s="553"/>
      <c r="M93" s="553"/>
      <c r="N93" s="554"/>
      <c r="O93" s="539"/>
      <c r="P93" s="539"/>
      <c r="Q93" s="567"/>
      <c r="R93" s="567"/>
      <c r="S93" s="567"/>
      <c r="T93" s="567"/>
      <c r="U93" s="567"/>
      <c r="V93" s="567"/>
      <c r="W93" s="567"/>
      <c r="X93" s="567"/>
      <c r="Y93" s="567"/>
      <c r="Z93" s="567"/>
      <c r="AA93" s="567"/>
      <c r="AB93" s="567"/>
      <c r="AC93" s="567"/>
      <c r="AD93" s="567"/>
      <c r="AE93" s="567"/>
      <c r="AF93" s="567"/>
      <c r="AX93" s="693">
        <f t="shared" si="12"/>
        <v>-2100</v>
      </c>
    </row>
    <row r="94" spans="1:50" s="546" customFormat="1" ht="13.5" thickBot="1">
      <c r="A94" s="585">
        <v>1</v>
      </c>
      <c r="B94" s="626" t="s">
        <v>264</v>
      </c>
      <c r="C94" s="624"/>
      <c r="D94" s="624"/>
      <c r="E94" s="624">
        <v>16000</v>
      </c>
      <c r="F94" s="624">
        <f>E94+D94+C94</f>
        <v>16000</v>
      </c>
      <c r="G94" s="624"/>
      <c r="H94" s="624"/>
      <c r="I94" s="672">
        <f>10300-49</f>
        <v>10251</v>
      </c>
      <c r="J94" s="624">
        <f>I94+H94+G94</f>
        <v>10251</v>
      </c>
      <c r="K94" s="623">
        <f t="shared" si="10"/>
        <v>64.06875</v>
      </c>
      <c r="L94" s="586"/>
      <c r="M94" s="587"/>
      <c r="N94" s="588"/>
      <c r="O94" s="539"/>
      <c r="P94" s="539"/>
      <c r="Q94" s="567"/>
      <c r="R94" s="567"/>
      <c r="S94" s="567"/>
      <c r="T94" s="567"/>
      <c r="U94" s="567"/>
      <c r="V94" s="567"/>
      <c r="W94" s="567"/>
      <c r="X94" s="567"/>
      <c r="Y94" s="567"/>
      <c r="Z94" s="567"/>
      <c r="AA94" s="567"/>
      <c r="AB94" s="567"/>
      <c r="AC94" s="567" t="s">
        <v>243</v>
      </c>
      <c r="AD94" s="567"/>
      <c r="AE94" s="567"/>
      <c r="AX94" s="693">
        <f t="shared" si="12"/>
        <v>-5749</v>
      </c>
    </row>
    <row r="95" spans="1:50" s="546" customFormat="1" ht="12.75">
      <c r="A95" s="565"/>
      <c r="B95" s="626" t="s">
        <v>404</v>
      </c>
      <c r="C95" s="624"/>
      <c r="D95" s="624"/>
      <c r="E95" s="624"/>
      <c r="F95" s="624"/>
      <c r="G95" s="624"/>
      <c r="H95" s="624"/>
      <c r="I95" s="624">
        <v>500</v>
      </c>
      <c r="J95" s="624">
        <f>I95+H95+G95</f>
        <v>500</v>
      </c>
      <c r="K95" s="623"/>
      <c r="L95" s="566"/>
      <c r="M95" s="563"/>
      <c r="N95" s="563"/>
      <c r="O95" s="539"/>
      <c r="P95" s="539"/>
      <c r="Q95" s="567"/>
      <c r="R95" s="567"/>
      <c r="S95" s="567"/>
      <c r="T95" s="567"/>
      <c r="U95" s="567"/>
      <c r="V95" s="567"/>
      <c r="W95" s="567"/>
      <c r="X95" s="567"/>
      <c r="Y95" s="567"/>
      <c r="Z95" s="567"/>
      <c r="AA95" s="567"/>
      <c r="AB95" s="567"/>
      <c r="AC95" s="567"/>
      <c r="AD95" s="567"/>
      <c r="AE95" s="567"/>
      <c r="AX95" s="693">
        <f t="shared" si="12"/>
        <v>500</v>
      </c>
    </row>
    <row r="96" spans="1:50" s="118" customFormat="1" ht="12.75">
      <c r="A96" s="189" t="s">
        <v>166</v>
      </c>
      <c r="B96" s="627" t="s">
        <v>167</v>
      </c>
      <c r="C96" s="624"/>
      <c r="D96" s="624"/>
      <c r="E96" s="624"/>
      <c r="F96" s="624">
        <f>E96+D96+C96</f>
        <v>0</v>
      </c>
      <c r="G96" s="624"/>
      <c r="H96" s="624"/>
      <c r="I96" s="624"/>
      <c r="J96" s="624">
        <f t="shared" si="7"/>
        <v>0</v>
      </c>
      <c r="K96" s="623"/>
      <c r="L96" s="165"/>
      <c r="M96" s="165"/>
      <c r="N96" s="178"/>
      <c r="O96" s="145"/>
      <c r="P96" s="145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X96" s="693">
        <f t="shared" si="12"/>
        <v>0</v>
      </c>
    </row>
    <row r="97" spans="1:50" s="541" customFormat="1" ht="13.5" thickBot="1">
      <c r="A97" s="547"/>
      <c r="B97" s="628" t="s">
        <v>168</v>
      </c>
      <c r="C97" s="629"/>
      <c r="D97" s="630"/>
      <c r="E97" s="630">
        <v>1934</v>
      </c>
      <c r="F97" s="630">
        <f>E97+D97+C97</f>
        <v>1934</v>
      </c>
      <c r="G97" s="629"/>
      <c r="H97" s="630"/>
      <c r="I97" s="630">
        <v>1934</v>
      </c>
      <c r="J97" s="630">
        <f t="shared" si="7"/>
        <v>1934</v>
      </c>
      <c r="K97" s="629">
        <f t="shared" si="10"/>
        <v>100</v>
      </c>
      <c r="L97" s="548"/>
      <c r="M97" s="548"/>
      <c r="N97" s="549"/>
      <c r="O97" s="550"/>
      <c r="P97" s="550"/>
      <c r="Q97" s="551"/>
      <c r="R97" s="551"/>
      <c r="S97" s="551"/>
      <c r="T97" s="551"/>
      <c r="U97" s="551"/>
      <c r="V97" s="551"/>
      <c r="W97" s="551"/>
      <c r="X97" s="551"/>
      <c r="Y97" s="551"/>
      <c r="Z97" s="551"/>
      <c r="AA97" s="551"/>
      <c r="AB97" s="551"/>
      <c r="AC97" s="551"/>
      <c r="AD97" s="551"/>
      <c r="AE97" s="551"/>
      <c r="AF97" s="551"/>
      <c r="AG97" s="552"/>
      <c r="AH97" s="552"/>
      <c r="AI97" s="552"/>
      <c r="AJ97" s="552"/>
      <c r="AK97" s="552"/>
      <c r="AL97" s="552"/>
      <c r="AM97" s="552"/>
      <c r="AN97" s="552"/>
      <c r="AO97" s="552"/>
      <c r="AP97" s="552"/>
      <c r="AQ97" s="552"/>
      <c r="AR97" s="552"/>
      <c r="AS97" s="552"/>
      <c r="AT97" s="552"/>
      <c r="AU97" s="552"/>
      <c r="AV97" s="552"/>
      <c r="AW97" s="552"/>
      <c r="AX97" s="693">
        <f t="shared" si="12"/>
        <v>0</v>
      </c>
    </row>
    <row r="98" spans="1:50" s="57" customFormat="1" ht="14.25" thickBot="1">
      <c r="A98" s="194" t="s">
        <v>169</v>
      </c>
      <c r="B98" s="628" t="s">
        <v>170</v>
      </c>
      <c r="C98" s="630">
        <f aca="true" t="shared" si="13" ref="C98:I98">SUM(C57:C97)-C67-C77</f>
        <v>10759</v>
      </c>
      <c r="D98" s="630">
        <f t="shared" si="13"/>
        <v>2708</v>
      </c>
      <c r="E98" s="630">
        <f t="shared" si="13"/>
        <v>95829</v>
      </c>
      <c r="F98" s="630">
        <f t="shared" si="13"/>
        <v>107196</v>
      </c>
      <c r="G98" s="630">
        <f t="shared" si="13"/>
        <v>7557</v>
      </c>
      <c r="H98" s="630">
        <f t="shared" si="13"/>
        <v>3885</v>
      </c>
      <c r="I98" s="630">
        <f t="shared" si="13"/>
        <v>151471</v>
      </c>
      <c r="J98" s="630">
        <f>SUM(J57:J97)-J67-J77</f>
        <v>162913</v>
      </c>
      <c r="K98" s="629">
        <f t="shared" si="10"/>
        <v>151.97675286391282</v>
      </c>
      <c r="L98" s="373"/>
      <c r="M98" s="373"/>
      <c r="N98" s="374"/>
      <c r="O98" s="375"/>
      <c r="P98" s="375"/>
      <c r="Q98" s="376"/>
      <c r="R98" s="376"/>
      <c r="S98" s="376"/>
      <c r="T98" s="376"/>
      <c r="U98" s="376"/>
      <c r="V98" s="376"/>
      <c r="W98" s="376"/>
      <c r="X98" s="376"/>
      <c r="Y98" s="376"/>
      <c r="Z98" s="376"/>
      <c r="AA98" s="376"/>
      <c r="AB98" s="376"/>
      <c r="AC98" s="376"/>
      <c r="AD98" s="376"/>
      <c r="AE98" s="376"/>
      <c r="AF98" s="376"/>
      <c r="AG98" s="377"/>
      <c r="AH98" s="377"/>
      <c r="AI98" s="377"/>
      <c r="AJ98" s="377"/>
      <c r="AK98" s="377"/>
      <c r="AL98" s="377"/>
      <c r="AM98" s="377"/>
      <c r="AN98" s="377"/>
      <c r="AO98" s="377"/>
      <c r="AP98" s="377"/>
      <c r="AQ98" s="377"/>
      <c r="AR98" s="377"/>
      <c r="AS98" s="377"/>
      <c r="AT98" s="377"/>
      <c r="AU98" s="377"/>
      <c r="AV98" s="377"/>
      <c r="AW98" s="377"/>
      <c r="AX98" s="693">
        <f t="shared" si="12"/>
        <v>55642</v>
      </c>
    </row>
    <row r="99" spans="2:32" ht="12.75" hidden="1">
      <c r="B99" s="182"/>
      <c r="C99" s="147"/>
      <c r="D99" s="147"/>
      <c r="E99" s="147" t="e">
        <f>#REF!+F101</f>
        <v>#REF!</v>
      </c>
      <c r="F99" s="152" t="e">
        <f>#REF!-#REF!</f>
        <v>#REF!</v>
      </c>
      <c r="G99" s="147"/>
      <c r="H99" s="147"/>
      <c r="I99" s="147" t="e">
        <f>#REF!+J101</f>
        <v>#REF!</v>
      </c>
      <c r="J99" s="152" t="e">
        <f>#REF!-#REF!</f>
        <v>#REF!</v>
      </c>
      <c r="K99" s="179" t="e">
        <f>#REF!+#REF!+#REF!</f>
        <v>#REF!</v>
      </c>
      <c r="L99" s="159"/>
      <c r="M99" s="152"/>
      <c r="N99" s="152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</row>
    <row r="100" spans="3:32" ht="12.75" hidden="1">
      <c r="C100" s="183"/>
      <c r="D100" s="183">
        <v>26655</v>
      </c>
      <c r="E100" s="183"/>
      <c r="F100" s="183">
        <v>480322</v>
      </c>
      <c r="G100" s="183"/>
      <c r="H100" s="183">
        <v>26655</v>
      </c>
      <c r="I100" s="183"/>
      <c r="J100" s="183">
        <v>480322</v>
      </c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</row>
    <row r="101" spans="1:50" s="122" customFormat="1" ht="15.75" hidden="1">
      <c r="A101" s="110"/>
      <c r="B101" s="120" t="s">
        <v>178</v>
      </c>
      <c r="D101" s="124">
        <f>D100-D98</f>
        <v>23947</v>
      </c>
      <c r="E101" s="124">
        <f>2590/2</f>
        <v>1295</v>
      </c>
      <c r="F101" s="124" t="e">
        <f>F100-#REF!</f>
        <v>#REF!</v>
      </c>
      <c r="H101" s="124">
        <f>H100-H98</f>
        <v>22770</v>
      </c>
      <c r="I101" s="124">
        <f>2590/2</f>
        <v>1295</v>
      </c>
      <c r="J101" s="124" t="e">
        <f>J100-#REF!</f>
        <v>#REF!</v>
      </c>
      <c r="K101" s="124" t="e">
        <f>H101-J101</f>
        <v>#REF!</v>
      </c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X101" s="389"/>
    </row>
    <row r="102" spans="2:50" s="122" customFormat="1" ht="12.75" hidden="1">
      <c r="B102" s="122" t="s">
        <v>258</v>
      </c>
      <c r="E102" s="124"/>
      <c r="F102" s="124">
        <v>0</v>
      </c>
      <c r="I102" s="124"/>
      <c r="J102" s="124">
        <f>F98-J98</f>
        <v>-55717</v>
      </c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X102" s="389"/>
    </row>
    <row r="103" spans="10:50" s="122" customFormat="1" ht="12.75">
      <c r="J103" s="124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X103" s="389"/>
    </row>
    <row r="104" spans="1:2" ht="12.75">
      <c r="A104" s="122"/>
      <c r="B104" s="96"/>
    </row>
    <row r="108" spans="2:14" ht="12.75"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&amp;R..........................rendelet a város 2014 évi költégvetéséről
</oddHeader>
    <oddFooter>&amp;C&amp;D&amp;R&amp;P.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76"/>
  <sheetViews>
    <sheetView zoomScalePageLayoutView="0" workbookViewId="0" topLeftCell="A1">
      <selection activeCell="F71" activeCellId="2" sqref="C65 C71 F71"/>
    </sheetView>
  </sheetViews>
  <sheetFormatPr defaultColWidth="9.140625" defaultRowHeight="12.75"/>
  <cols>
    <col min="1" max="1" width="51.140625" style="0" customWidth="1"/>
    <col min="2" max="2" width="26.140625" style="59" customWidth="1"/>
    <col min="3" max="3" width="13.421875" style="0" hidden="1" customWidth="1"/>
    <col min="4" max="5" width="0" style="0" hidden="1" customWidth="1"/>
    <col min="6" max="6" width="15.421875" style="0" hidden="1" customWidth="1"/>
    <col min="7" max="7" width="22.28125" style="0" hidden="1" customWidth="1"/>
    <col min="8" max="8" width="5.140625" style="0" hidden="1" customWidth="1"/>
    <col min="9" max="9" width="9.28125" style="0" hidden="1" customWidth="1"/>
    <col min="10" max="10" width="0" style="0" hidden="1" customWidth="1"/>
    <col min="11" max="11" width="3.57421875" style="0" hidden="1" customWidth="1"/>
    <col min="12" max="12" width="0" style="0" hidden="1" customWidth="1"/>
    <col min="13" max="13" width="9.00390625" style="0" hidden="1" customWidth="1"/>
    <col min="14" max="14" width="0" style="0" hidden="1" customWidth="1"/>
    <col min="15" max="15" width="4.140625" style="0" hidden="1" customWidth="1"/>
    <col min="16" max="23" width="0" style="0" hidden="1" customWidth="1"/>
  </cols>
  <sheetData>
    <row r="1" spans="1:2" ht="15">
      <c r="A1" s="61" t="s">
        <v>366</v>
      </c>
      <c r="B1"/>
    </row>
    <row r="2" spans="1:2" ht="12.75">
      <c r="A2" s="57"/>
      <c r="B2"/>
    </row>
    <row r="3" spans="1:2" ht="15.75">
      <c r="A3" s="63" t="s">
        <v>45</v>
      </c>
      <c r="B3"/>
    </row>
    <row r="4" spans="1:2" ht="12.75">
      <c r="A4" s="57">
        <v>2014</v>
      </c>
      <c r="B4"/>
    </row>
    <row r="5" ht="12.75">
      <c r="B5"/>
    </row>
    <row r="6" spans="1:2" ht="15">
      <c r="A6" s="418" t="s">
        <v>46</v>
      </c>
      <c r="B6" s="418" t="s">
        <v>44</v>
      </c>
    </row>
    <row r="7" spans="1:2" ht="15">
      <c r="A7" s="105"/>
      <c r="B7" s="418" t="s">
        <v>47</v>
      </c>
    </row>
    <row r="8" spans="1:2" ht="15">
      <c r="A8" s="418" t="s">
        <v>48</v>
      </c>
      <c r="B8" s="418"/>
    </row>
    <row r="9" spans="1:2" ht="16.5">
      <c r="A9" s="359" t="s">
        <v>423</v>
      </c>
      <c r="B9" s="356">
        <v>1449</v>
      </c>
    </row>
    <row r="10" spans="1:3" ht="16.5">
      <c r="A10" s="359" t="s">
        <v>2</v>
      </c>
      <c r="B10" s="356">
        <v>400</v>
      </c>
      <c r="C10" t="s">
        <v>184</v>
      </c>
    </row>
    <row r="11" spans="1:2" ht="16.5">
      <c r="A11" s="359" t="s">
        <v>420</v>
      </c>
      <c r="B11" s="356">
        <v>4000</v>
      </c>
    </row>
    <row r="12" spans="1:2" ht="16.5">
      <c r="A12" s="359" t="s">
        <v>673</v>
      </c>
      <c r="B12" s="356">
        <v>500</v>
      </c>
    </row>
    <row r="13" spans="1:2" ht="16.5">
      <c r="A13" s="359" t="s">
        <v>255</v>
      </c>
      <c r="B13" s="356"/>
    </row>
    <row r="14" spans="1:7" ht="16.5">
      <c r="A14" s="359" t="s">
        <v>49</v>
      </c>
      <c r="B14" s="356">
        <v>1000</v>
      </c>
      <c r="G14" t="s">
        <v>213</v>
      </c>
    </row>
    <row r="15" spans="1:3" ht="16.5">
      <c r="A15" s="509" t="s">
        <v>50</v>
      </c>
      <c r="B15" s="510">
        <f>SUM(B9:B14)</f>
        <v>7349</v>
      </c>
      <c r="C15" s="357">
        <v>400</v>
      </c>
    </row>
    <row r="16" spans="1:3" ht="16.5">
      <c r="A16" s="508" t="s">
        <v>51</v>
      </c>
      <c r="B16" s="356"/>
      <c r="C16" s="312">
        <v>800</v>
      </c>
    </row>
    <row r="17" spans="1:2" ht="16.5">
      <c r="A17" s="450" t="s">
        <v>398</v>
      </c>
      <c r="B17" s="356">
        <v>11945</v>
      </c>
    </row>
    <row r="18" spans="1:2" ht="16.5">
      <c r="A18" s="450" t="s">
        <v>641</v>
      </c>
      <c r="B18" s="356">
        <f>10000+4300</f>
        <v>14300</v>
      </c>
    </row>
    <row r="19" spans="1:2" ht="16.5">
      <c r="A19" s="450" t="s">
        <v>427</v>
      </c>
      <c r="B19" s="356">
        <f>7350*2</f>
        <v>14700</v>
      </c>
    </row>
    <row r="20" spans="1:2" ht="16.5">
      <c r="A20" s="450" t="s">
        <v>405</v>
      </c>
      <c r="B20" s="356">
        <v>5000</v>
      </c>
    </row>
    <row r="21" spans="1:24" s="103" customFormat="1" ht="15.75">
      <c r="A21" s="512" t="s">
        <v>3</v>
      </c>
      <c r="B21" s="511">
        <v>15000</v>
      </c>
      <c r="X21"/>
    </row>
    <row r="22" spans="1:2" ht="16.5">
      <c r="A22" s="509" t="s">
        <v>52</v>
      </c>
      <c r="B22" s="510">
        <f>SUM(B17:B21)</f>
        <v>60945</v>
      </c>
    </row>
    <row r="23" ht="12" customHeight="1">
      <c r="B23"/>
    </row>
    <row r="24" spans="1:4" s="103" customFormat="1" ht="17.25" customHeight="1">
      <c r="A24"/>
      <c r="B24"/>
      <c r="C24"/>
      <c r="D24" s="103" t="s">
        <v>244</v>
      </c>
    </row>
    <row r="25" spans="2:7" ht="12.75" hidden="1">
      <c r="B25"/>
      <c r="F25">
        <f>735305-16000-10000</f>
        <v>709305</v>
      </c>
      <c r="G25" s="59" t="e">
        <f>#REF!-F25</f>
        <v>#REF!</v>
      </c>
    </row>
    <row r="26" ht="12.75" hidden="1">
      <c r="B26"/>
    </row>
    <row r="27" ht="12.75" hidden="1">
      <c r="B27"/>
    </row>
    <row r="28" ht="12.75" hidden="1">
      <c r="B28"/>
    </row>
    <row r="29" ht="12.75" hidden="1">
      <c r="B29"/>
    </row>
    <row r="30" ht="12.75" hidden="1">
      <c r="B30"/>
    </row>
    <row r="31" ht="12.75" hidden="1">
      <c r="B31"/>
    </row>
    <row r="32" ht="12.75" hidden="1">
      <c r="B32"/>
    </row>
    <row r="33" ht="12.75" hidden="1">
      <c r="B33"/>
    </row>
    <row r="34" ht="12.75" hidden="1">
      <c r="B34"/>
    </row>
    <row r="35" ht="12.75" hidden="1">
      <c r="B35"/>
    </row>
    <row r="36" spans="2:3" ht="12.75" hidden="1">
      <c r="B36"/>
      <c r="C36">
        <v>46846</v>
      </c>
    </row>
    <row r="37" ht="12.75">
      <c r="B37"/>
    </row>
    <row r="38" ht="12.75">
      <c r="B38"/>
    </row>
    <row r="39" ht="12.75">
      <c r="B39"/>
    </row>
    <row r="40" ht="12.75">
      <c r="B40"/>
    </row>
    <row r="41" ht="12.75">
      <c r="B41"/>
    </row>
    <row r="42" ht="12.75">
      <c r="B42"/>
    </row>
    <row r="43" ht="12.75">
      <c r="B43"/>
    </row>
    <row r="44" ht="12.75">
      <c r="B44"/>
    </row>
    <row r="76" ht="12.75">
      <c r="H76" t="e">
        <f>E76/E78</f>
        <v>#DIV/0!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&amp;R..........................rendelet a város 2014 évi költégvetéséről
</oddHeader>
    <oddFooter>&amp;C&amp;D&amp;R&amp;P.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35"/>
  <sheetViews>
    <sheetView zoomScalePageLayoutView="0" workbookViewId="0" topLeftCell="A15">
      <selection activeCell="F71" activeCellId="2" sqref="C65 C71 F71"/>
    </sheetView>
  </sheetViews>
  <sheetFormatPr defaultColWidth="9.140625" defaultRowHeight="12.75"/>
  <cols>
    <col min="1" max="1" width="29.140625" style="213" customWidth="1"/>
    <col min="2" max="2" width="13.28125" style="204" customWidth="1"/>
    <col min="3" max="3" width="29.28125" style="217" customWidth="1"/>
    <col min="4" max="4" width="9.140625" style="204" hidden="1" customWidth="1"/>
    <col min="5" max="8" width="0" style="204" hidden="1" customWidth="1"/>
    <col min="9" max="9" width="5.140625" style="204" hidden="1" customWidth="1"/>
    <col min="10" max="10" width="9.28125" style="204" hidden="1" customWidth="1"/>
    <col min="11" max="11" width="0" style="204" hidden="1" customWidth="1"/>
    <col min="12" max="12" width="3.57421875" style="204" hidden="1" customWidth="1"/>
    <col min="13" max="13" width="0" style="204" hidden="1" customWidth="1"/>
    <col min="14" max="14" width="9.00390625" style="204" hidden="1" customWidth="1"/>
    <col min="15" max="15" width="9.140625" style="204" customWidth="1"/>
    <col min="16" max="16" width="4.140625" style="204" hidden="1" customWidth="1"/>
    <col min="17" max="16384" width="9.140625" style="204" customWidth="1"/>
  </cols>
  <sheetData>
    <row r="1" spans="1:3" s="197" customFormat="1" ht="15.75">
      <c r="A1" s="195" t="s">
        <v>4</v>
      </c>
      <c r="B1" s="196"/>
      <c r="C1" s="361" t="s">
        <v>259</v>
      </c>
    </row>
    <row r="2" spans="1:3" s="197" customFormat="1" ht="8.25" customHeight="1">
      <c r="A2" s="198"/>
      <c r="C2" s="362"/>
    </row>
    <row r="3" spans="1:3" s="197" customFormat="1" ht="15.75">
      <c r="A3" s="932" t="s">
        <v>370</v>
      </c>
      <c r="B3" s="933"/>
      <c r="C3" s="933"/>
    </row>
    <row r="4" spans="1:3" s="197" customFormat="1" ht="31.5">
      <c r="A4" s="195" t="s">
        <v>396</v>
      </c>
      <c r="B4" s="196"/>
      <c r="C4" s="361">
        <v>2014</v>
      </c>
    </row>
    <row r="5" s="199" customFormat="1" ht="12.75">
      <c r="C5" s="363"/>
    </row>
    <row r="6" spans="1:3" s="201" customFormat="1" ht="13.5" thickBot="1">
      <c r="A6" s="256"/>
      <c r="B6" s="257"/>
      <c r="C6" s="364" t="s">
        <v>227</v>
      </c>
    </row>
    <row r="7" spans="1:3" s="203" customFormat="1" ht="15.75">
      <c r="A7" s="631" t="s">
        <v>228</v>
      </c>
      <c r="B7" s="200" t="s">
        <v>44</v>
      </c>
      <c r="C7" s="365" t="s">
        <v>229</v>
      </c>
    </row>
    <row r="8" spans="1:3" s="203" customFormat="1" ht="15">
      <c r="A8" s="632" t="s">
        <v>230</v>
      </c>
      <c r="B8" s="202"/>
      <c r="C8" s="366"/>
    </row>
    <row r="9" spans="1:3" s="203" customFormat="1" ht="14.25">
      <c r="A9" s="653" t="s">
        <v>408</v>
      </c>
      <c r="B9" s="666">
        <v>17289</v>
      </c>
      <c r="C9" s="366"/>
    </row>
    <row r="10" spans="1:3" s="203" customFormat="1" ht="14.25">
      <c r="A10" s="667" t="s">
        <v>409</v>
      </c>
      <c r="B10" s="666">
        <v>10000</v>
      </c>
      <c r="C10" s="366"/>
    </row>
    <row r="11" spans="1:3" s="203" customFormat="1" ht="14.25">
      <c r="A11" s="667" t="s">
        <v>410</v>
      </c>
      <c r="B11" s="666">
        <v>4000</v>
      </c>
      <c r="C11" s="366"/>
    </row>
    <row r="12" spans="1:3" s="203" customFormat="1" ht="14.25">
      <c r="A12" s="667" t="s">
        <v>411</v>
      </c>
      <c r="B12" s="666">
        <v>10000</v>
      </c>
      <c r="C12" s="366"/>
    </row>
    <row r="13" spans="1:3" s="110" customFormat="1" ht="14.25" hidden="1">
      <c r="A13" s="667"/>
      <c r="B13" s="666"/>
      <c r="C13" s="366"/>
    </row>
    <row r="14" spans="1:3" s="203" customFormat="1" ht="12.75" hidden="1">
      <c r="A14" s="667"/>
      <c r="B14" s="666"/>
      <c r="C14" s="321"/>
    </row>
    <row r="15" spans="1:3" s="203" customFormat="1" ht="14.25">
      <c r="A15" s="667" t="s">
        <v>412</v>
      </c>
      <c r="B15" s="666">
        <v>885580</v>
      </c>
      <c r="C15" s="366"/>
    </row>
    <row r="16" spans="1:3" s="103" customFormat="1" ht="14.25">
      <c r="A16" s="667" t="s">
        <v>413</v>
      </c>
      <c r="B16" s="666">
        <v>1500</v>
      </c>
      <c r="C16" s="514"/>
    </row>
    <row r="17" spans="1:3" s="103" customFormat="1" ht="14.25">
      <c r="A17" s="667" t="s">
        <v>414</v>
      </c>
      <c r="B17" s="666">
        <v>800</v>
      </c>
      <c r="C17" s="514"/>
    </row>
    <row r="18" spans="1:3" s="103" customFormat="1" ht="14.25">
      <c r="A18" s="667" t="s">
        <v>415</v>
      </c>
      <c r="B18" s="666">
        <v>8000</v>
      </c>
      <c r="C18" s="514"/>
    </row>
    <row r="19" spans="1:3" s="103" customFormat="1" ht="25.5">
      <c r="A19" s="667" t="s">
        <v>416</v>
      </c>
      <c r="B19" s="666">
        <v>1500</v>
      </c>
      <c r="C19" s="515"/>
    </row>
    <row r="20" spans="1:3" s="103" customFormat="1" ht="14.25">
      <c r="A20" s="667" t="s">
        <v>419</v>
      </c>
      <c r="B20" s="668">
        <v>10000</v>
      </c>
      <c r="C20" s="514"/>
    </row>
    <row r="21" spans="1:3" ht="14.25">
      <c r="A21" s="667" t="s">
        <v>421</v>
      </c>
      <c r="B21" s="668">
        <v>9234</v>
      </c>
      <c r="C21" s="321"/>
    </row>
    <row r="22" spans="1:3" ht="14.25">
      <c r="A22" s="667" t="s">
        <v>422</v>
      </c>
      <c r="B22" s="668">
        <v>433</v>
      </c>
      <c r="C22" s="321"/>
    </row>
    <row r="23" spans="1:3" ht="34.5" customHeight="1">
      <c r="A23" s="671" t="s">
        <v>426</v>
      </c>
      <c r="B23" s="668">
        <v>1000</v>
      </c>
      <c r="C23" s="369"/>
    </row>
    <row r="24" spans="1:3" ht="15">
      <c r="A24" s="632" t="s">
        <v>231</v>
      </c>
      <c r="B24" s="202">
        <f>SUM(B9:B23)</f>
        <v>959336</v>
      </c>
      <c r="C24" s="369"/>
    </row>
    <row r="25" spans="1:3" s="211" customFormat="1" ht="25.5">
      <c r="A25" s="205" t="s">
        <v>232</v>
      </c>
      <c r="B25" s="207">
        <v>500</v>
      </c>
      <c r="C25" s="669"/>
    </row>
    <row r="26" spans="1:3" ht="25.5">
      <c r="A26" s="205" t="s">
        <v>233</v>
      </c>
      <c r="B26" s="207">
        <v>500</v>
      </c>
      <c r="C26" s="669"/>
    </row>
    <row r="27" spans="1:8" ht="12.75">
      <c r="A27" s="205" t="s">
        <v>675</v>
      </c>
      <c r="B27" s="207">
        <v>5000</v>
      </c>
      <c r="C27" s="669"/>
      <c r="H27" s="212"/>
    </row>
    <row r="28" spans="1:3" s="212" customFormat="1" ht="24" customHeight="1">
      <c r="A28" s="205" t="s">
        <v>418</v>
      </c>
      <c r="B28" s="207">
        <v>3000</v>
      </c>
      <c r="C28" s="669"/>
    </row>
    <row r="29" spans="1:3" s="212" customFormat="1" ht="12.75">
      <c r="A29" s="205" t="s">
        <v>674</v>
      </c>
      <c r="B29" s="207">
        <v>6000</v>
      </c>
      <c r="C29" s="669"/>
    </row>
    <row r="30" spans="1:3" ht="12.75">
      <c r="A30" s="205" t="s">
        <v>417</v>
      </c>
      <c r="B30" s="207">
        <v>500</v>
      </c>
      <c r="C30" s="669"/>
    </row>
    <row r="31" spans="1:3" ht="12.75">
      <c r="A31" s="367" t="s">
        <v>234</v>
      </c>
      <c r="B31" s="368">
        <f>SUM(B24:B30)</f>
        <v>974836</v>
      </c>
      <c r="C31" s="670"/>
    </row>
    <row r="32" spans="1:3" ht="25.5">
      <c r="A32" s="367" t="s">
        <v>235</v>
      </c>
      <c r="B32" s="368">
        <f>B31</f>
        <v>974836</v>
      </c>
      <c r="C32" s="670"/>
    </row>
    <row r="33" spans="1:3" ht="12.75">
      <c r="A33" s="205" t="s">
        <v>236</v>
      </c>
      <c r="B33" s="207"/>
      <c r="C33" s="670"/>
    </row>
    <row r="34" spans="1:3" ht="25.5">
      <c r="A34" s="208" t="s">
        <v>347</v>
      </c>
      <c r="B34" s="209">
        <v>2831</v>
      </c>
      <c r="C34" s="670"/>
    </row>
    <row r="35" spans="1:3" ht="12.75">
      <c r="A35" s="205" t="s">
        <v>237</v>
      </c>
      <c r="B35" s="209"/>
      <c r="C35" s="670"/>
    </row>
    <row r="36" spans="1:3" ht="25.5">
      <c r="A36" s="205" t="s">
        <v>238</v>
      </c>
      <c r="B36" s="207">
        <v>1000</v>
      </c>
      <c r="C36" s="670"/>
    </row>
    <row r="37" spans="1:3" ht="12.75">
      <c r="A37" s="205" t="s">
        <v>666</v>
      </c>
      <c r="B37" s="207">
        <v>6059</v>
      </c>
      <c r="C37" s="670"/>
    </row>
    <row r="38" spans="1:3" ht="25.5">
      <c r="A38" s="205" t="s">
        <v>348</v>
      </c>
      <c r="B38" s="207">
        <v>1283</v>
      </c>
      <c r="C38" s="670"/>
    </row>
    <row r="39" spans="1:3" ht="12.75">
      <c r="A39" s="205" t="s">
        <v>346</v>
      </c>
      <c r="B39" s="210">
        <f>SUM(B36:B38)</f>
        <v>8342</v>
      </c>
      <c r="C39" s="670"/>
    </row>
    <row r="40" spans="1:3" ht="12.75">
      <c r="A40" s="205" t="s">
        <v>667</v>
      </c>
      <c r="B40" s="206">
        <v>0</v>
      </c>
      <c r="C40" s="670"/>
    </row>
    <row r="41" spans="1:3" ht="25.5">
      <c r="A41" s="370" t="s">
        <v>239</v>
      </c>
      <c r="B41" s="371">
        <f>B39+B32+B34+B40</f>
        <v>986009</v>
      </c>
      <c r="C41" s="670"/>
    </row>
    <row r="42" spans="1:2" ht="12.75">
      <c r="A42" s="204"/>
      <c r="B42" s="771"/>
    </row>
    <row r="43" ht="12.75">
      <c r="A43" s="204"/>
    </row>
    <row r="44" ht="12.75">
      <c r="A44" s="204"/>
    </row>
    <row r="45" ht="12.75">
      <c r="A45" s="204"/>
    </row>
    <row r="46" ht="12.75">
      <c r="A46" s="204"/>
    </row>
    <row r="47" ht="12.75">
      <c r="A47" s="204"/>
    </row>
    <row r="48" ht="12.75">
      <c r="A48" s="204"/>
    </row>
    <row r="49" ht="12.75">
      <c r="A49" s="204"/>
    </row>
    <row r="50" ht="12.75">
      <c r="A50" s="204"/>
    </row>
    <row r="51" ht="12.75">
      <c r="A51" s="204"/>
    </row>
    <row r="52" ht="12.75">
      <c r="A52" s="204"/>
    </row>
    <row r="53" ht="12.75">
      <c r="A53" s="204"/>
    </row>
    <row r="54" ht="12.75">
      <c r="A54" s="204"/>
    </row>
    <row r="55" ht="12.75">
      <c r="A55" s="204"/>
    </row>
    <row r="56" ht="12.75">
      <c r="A56" s="204"/>
    </row>
    <row r="57" ht="12.75">
      <c r="A57" s="204"/>
    </row>
    <row r="58" ht="12.75">
      <c r="A58" s="204"/>
    </row>
    <row r="59" ht="12.75">
      <c r="A59" s="204"/>
    </row>
    <row r="60" ht="12.75">
      <c r="A60" s="204"/>
    </row>
    <row r="61" ht="12.75">
      <c r="A61" s="204"/>
    </row>
    <row r="62" ht="12.75">
      <c r="A62" s="204"/>
    </row>
    <row r="63" ht="12.75">
      <c r="A63" s="204"/>
    </row>
    <row r="64" ht="12.75">
      <c r="A64" s="204"/>
    </row>
    <row r="65" ht="12.75">
      <c r="A65" s="204"/>
    </row>
    <row r="66" ht="12.75">
      <c r="A66" s="204"/>
    </row>
    <row r="67" ht="12.75">
      <c r="A67" s="204"/>
    </row>
    <row r="68" ht="12.75">
      <c r="A68" s="204"/>
    </row>
    <row r="69" ht="12.75">
      <c r="A69" s="204"/>
    </row>
    <row r="70" ht="12.75">
      <c r="A70" s="204"/>
    </row>
    <row r="71" ht="12.75">
      <c r="A71" s="204"/>
    </row>
    <row r="72" ht="12.75">
      <c r="A72" s="204"/>
    </row>
    <row r="73" ht="12.75">
      <c r="A73" s="204"/>
    </row>
    <row r="74" ht="12.75">
      <c r="A74" s="204"/>
    </row>
    <row r="75" ht="12.75">
      <c r="A75" s="204"/>
    </row>
    <row r="76" ht="12.75">
      <c r="A76" s="204"/>
    </row>
    <row r="77" ht="12.75">
      <c r="A77" s="204"/>
    </row>
    <row r="78" ht="12.75">
      <c r="A78" s="204"/>
    </row>
    <row r="79" ht="12.75">
      <c r="A79" s="204"/>
    </row>
    <row r="80" ht="12.75">
      <c r="A80" s="204"/>
    </row>
    <row r="81" ht="12.75">
      <c r="A81" s="204"/>
    </row>
    <row r="82" ht="12.75">
      <c r="A82" s="204"/>
    </row>
    <row r="83" ht="12.75">
      <c r="A83" s="204"/>
    </row>
    <row r="84" ht="12.75">
      <c r="A84" s="204"/>
    </row>
    <row r="85" ht="12.75">
      <c r="A85" s="204"/>
    </row>
    <row r="86" ht="12.75">
      <c r="A86" s="204"/>
    </row>
    <row r="87" ht="12.75">
      <c r="A87" s="204"/>
    </row>
    <row r="88" ht="12.75">
      <c r="A88" s="204"/>
    </row>
    <row r="89" ht="12.75">
      <c r="A89" s="204"/>
    </row>
    <row r="90" ht="12.75">
      <c r="A90" s="204"/>
    </row>
    <row r="91" ht="12.75">
      <c r="A91" s="204"/>
    </row>
    <row r="92" ht="12.75">
      <c r="A92" s="204"/>
    </row>
    <row r="93" ht="12.75">
      <c r="A93" s="204"/>
    </row>
    <row r="94" ht="12.75">
      <c r="A94" s="204"/>
    </row>
    <row r="95" ht="12.75">
      <c r="A95" s="204"/>
    </row>
    <row r="96" ht="12.75">
      <c r="A96" s="204"/>
    </row>
    <row r="97" ht="12.75">
      <c r="A97" s="204"/>
    </row>
    <row r="98" ht="12.75">
      <c r="A98" s="204"/>
    </row>
    <row r="99" ht="12.75">
      <c r="A99" s="204"/>
    </row>
    <row r="100" ht="12.75">
      <c r="A100" s="204"/>
    </row>
    <row r="101" ht="12.75">
      <c r="A101" s="204"/>
    </row>
    <row r="102" ht="12.75">
      <c r="A102" s="204"/>
    </row>
    <row r="103" ht="12.75">
      <c r="A103" s="204"/>
    </row>
    <row r="104" ht="12.75">
      <c r="A104" s="204"/>
    </row>
    <row r="105" ht="12.75">
      <c r="A105" s="204"/>
    </row>
    <row r="106" spans="1:3" ht="12.75">
      <c r="A106" s="204"/>
      <c r="C106" s="216"/>
    </row>
    <row r="107" spans="1:3" ht="12.75">
      <c r="A107" s="204"/>
      <c r="C107" s="216"/>
    </row>
    <row r="108" spans="1:3" ht="12.75">
      <c r="A108" s="204"/>
      <c r="C108" s="216"/>
    </row>
    <row r="109" spans="1:3" ht="12.75">
      <c r="A109" s="204"/>
      <c r="C109" s="216"/>
    </row>
    <row r="110" spans="1:3" ht="12.75">
      <c r="A110" s="204"/>
      <c r="C110" s="216"/>
    </row>
    <row r="111" spans="1:3" ht="12.75">
      <c r="A111" s="204"/>
      <c r="C111" s="216"/>
    </row>
    <row r="112" spans="1:3" ht="12.75">
      <c r="A112" s="204"/>
      <c r="C112" s="216"/>
    </row>
    <row r="113" spans="1:3" ht="12.75">
      <c r="A113" s="204"/>
      <c r="C113" s="216"/>
    </row>
    <row r="114" spans="1:3" ht="12.75">
      <c r="A114" s="204"/>
      <c r="C114" s="216"/>
    </row>
    <row r="115" spans="1:3" ht="12.75">
      <c r="A115" s="204"/>
      <c r="C115" s="216"/>
    </row>
    <row r="116" spans="1:3" ht="12.75">
      <c r="A116" s="204"/>
      <c r="C116" s="216"/>
    </row>
    <row r="117" spans="1:3" ht="12.75">
      <c r="A117" s="204"/>
      <c r="C117" s="216"/>
    </row>
    <row r="118" spans="1:3" ht="12.75">
      <c r="A118" s="204"/>
      <c r="C118" s="216"/>
    </row>
    <row r="119" spans="1:3" ht="12.75">
      <c r="A119" s="204"/>
      <c r="C119" s="216"/>
    </row>
    <row r="120" spans="1:3" ht="12.75">
      <c r="A120" s="214"/>
      <c r="B120" s="215"/>
      <c r="C120" s="216"/>
    </row>
    <row r="121" spans="1:3" ht="12.75">
      <c r="A121" s="214"/>
      <c r="B121" s="215"/>
      <c r="C121" s="216"/>
    </row>
    <row r="122" spans="1:2" ht="12.75">
      <c r="A122" s="214"/>
      <c r="B122" s="215"/>
    </row>
    <row r="123" spans="1:2" ht="12.75">
      <c r="A123" s="214"/>
      <c r="B123" s="215"/>
    </row>
    <row r="124" spans="1:2" ht="12.75">
      <c r="A124" s="214"/>
      <c r="B124" s="215"/>
    </row>
    <row r="125" spans="1:2" ht="12.75">
      <c r="A125" s="214"/>
      <c r="B125" s="215"/>
    </row>
    <row r="126" spans="1:2" ht="12.75">
      <c r="A126" s="214"/>
      <c r="B126" s="215"/>
    </row>
    <row r="127" spans="1:2" ht="12.75">
      <c r="A127" s="214"/>
      <c r="B127" s="215"/>
    </row>
    <row r="128" spans="1:2" ht="12.75">
      <c r="A128" s="214"/>
      <c r="B128" s="215"/>
    </row>
    <row r="129" spans="1:2" ht="12.75">
      <c r="A129" s="214"/>
      <c r="B129" s="215"/>
    </row>
    <row r="130" spans="1:2" ht="12.75">
      <c r="A130" s="214"/>
      <c r="B130" s="215"/>
    </row>
    <row r="131" spans="1:2" ht="12.75">
      <c r="A131" s="214"/>
      <c r="B131" s="215"/>
    </row>
    <row r="132" spans="1:2" ht="12.75">
      <c r="A132" s="214"/>
      <c r="B132" s="215"/>
    </row>
    <row r="133" spans="1:2" ht="12.75">
      <c r="A133" s="214"/>
      <c r="B133" s="215"/>
    </row>
    <row r="134" spans="1:2" ht="12.75">
      <c r="A134" s="214"/>
      <c r="B134" s="215"/>
    </row>
    <row r="135" spans="1:2" ht="12.75">
      <c r="A135" s="214"/>
      <c r="B135" s="215"/>
    </row>
  </sheetData>
  <sheetProtection/>
  <mergeCells count="1">
    <mergeCell ref="A3:C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&amp;R..........................rendelet a város 2014 évi költégvetéséről
</oddHeader>
    <oddFooter>&amp;C&amp;D&amp;R&amp;P.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89"/>
  <sheetViews>
    <sheetView tabSelected="1" zoomScalePageLayoutView="0" workbookViewId="0" topLeftCell="A28">
      <selection activeCell="C60" sqref="C60"/>
    </sheetView>
  </sheetViews>
  <sheetFormatPr defaultColWidth="8.8515625" defaultRowHeight="12.75"/>
  <cols>
    <col min="1" max="1" width="32.28125" style="0" customWidth="1"/>
    <col min="2" max="3" width="12.8515625" style="0" customWidth="1"/>
    <col min="4" max="4" width="20.28125" style="245" customWidth="1"/>
    <col min="5" max="5" width="0" style="0" hidden="1" customWidth="1"/>
    <col min="6" max="6" width="9.140625" style="0" hidden="1" customWidth="1"/>
    <col min="7" max="8" width="0" style="0" hidden="1" customWidth="1"/>
    <col min="9" max="9" width="5.140625" style="0" hidden="1" customWidth="1"/>
    <col min="10" max="10" width="9.28125" style="0" hidden="1" customWidth="1"/>
    <col min="11" max="11" width="0" style="0" hidden="1" customWidth="1"/>
    <col min="12" max="12" width="3.57421875" style="0" hidden="1" customWidth="1"/>
    <col min="13" max="13" width="0" style="0" hidden="1" customWidth="1"/>
    <col min="14" max="14" width="9.00390625" style="0" hidden="1" customWidth="1"/>
    <col min="15" max="15" width="0" style="0" hidden="1" customWidth="1"/>
    <col min="16" max="16" width="4.140625" style="0" hidden="1" customWidth="1"/>
    <col min="17" max="17" width="0" style="0" hidden="1" customWidth="1"/>
    <col min="18" max="18" width="10.7109375" style="0" hidden="1" customWidth="1"/>
    <col min="19" max="20" width="0" style="0" hidden="1" customWidth="1"/>
  </cols>
  <sheetData>
    <row r="1" spans="1:4" s="4" customFormat="1" ht="15">
      <c r="A1" s="15" t="s">
        <v>4</v>
      </c>
      <c r="B1" s="64"/>
      <c r="C1" s="934" t="s">
        <v>372</v>
      </c>
      <c r="D1" s="934"/>
    </row>
    <row r="2" spans="1:4" s="4" customFormat="1" ht="15">
      <c r="A2" s="15"/>
      <c r="B2" s="64"/>
      <c r="C2" s="64"/>
      <c r="D2" s="220"/>
    </row>
    <row r="3" spans="1:4" ht="15">
      <c r="A3" s="65" t="s">
        <v>53</v>
      </c>
      <c r="B3" s="65"/>
      <c r="C3" s="65"/>
      <c r="D3" s="221"/>
    </row>
    <row r="4" spans="1:4" ht="15">
      <c r="A4" s="65"/>
      <c r="B4" s="65"/>
      <c r="C4" s="65"/>
      <c r="D4" s="221"/>
    </row>
    <row r="5" spans="1:4" ht="13.5" thickBot="1">
      <c r="A5" s="2"/>
      <c r="B5" s="2"/>
      <c r="C5" s="2"/>
      <c r="D5" s="222" t="s">
        <v>371</v>
      </c>
    </row>
    <row r="6" spans="1:4" ht="15">
      <c r="A6" s="66" t="s">
        <v>54</v>
      </c>
      <c r="B6" s="67">
        <v>2013</v>
      </c>
      <c r="C6" s="67">
        <v>2014</v>
      </c>
      <c r="D6" s="223" t="s">
        <v>55</v>
      </c>
    </row>
    <row r="7" spans="1:4" ht="15.75" thickBot="1">
      <c r="A7" s="68"/>
      <c r="B7" s="69" t="s">
        <v>56</v>
      </c>
      <c r="C7" s="69" t="s">
        <v>56</v>
      </c>
      <c r="D7" s="224"/>
    </row>
    <row r="8" spans="1:4" ht="12.75">
      <c r="A8" s="70" t="s">
        <v>57</v>
      </c>
      <c r="B8" s="71"/>
      <c r="C8" s="71"/>
      <c r="D8" s="225"/>
    </row>
    <row r="9" spans="1:4" ht="12.75">
      <c r="A9" s="72" t="s">
        <v>58</v>
      </c>
      <c r="B9" s="71"/>
      <c r="C9" s="71"/>
      <c r="D9" s="226"/>
    </row>
    <row r="10" spans="1:4" ht="12.75">
      <c r="A10" s="73" t="s">
        <v>59</v>
      </c>
      <c r="B10" s="74"/>
      <c r="C10" s="74"/>
      <c r="D10" s="226"/>
    </row>
    <row r="11" spans="1:4" ht="12.75">
      <c r="A11" s="75" t="s">
        <v>399</v>
      </c>
      <c r="B11" s="27"/>
      <c r="C11" s="27">
        <v>300</v>
      </c>
      <c r="D11" s="227"/>
    </row>
    <row r="12" spans="1:4" ht="12.75">
      <c r="A12" s="75" t="s">
        <v>400</v>
      </c>
      <c r="B12" s="27"/>
      <c r="C12" s="27">
        <v>350</v>
      </c>
      <c r="D12" s="654"/>
    </row>
    <row r="13" spans="1:19" ht="12.75">
      <c r="A13" s="75"/>
      <c r="B13" s="76"/>
      <c r="C13" s="76"/>
      <c r="D13" s="228"/>
      <c r="S13" t="s">
        <v>220</v>
      </c>
    </row>
    <row r="14" spans="1:4" ht="12.75">
      <c r="A14" s="77" t="s">
        <v>60</v>
      </c>
      <c r="B14" s="633">
        <v>422</v>
      </c>
      <c r="C14" s="633">
        <v>450</v>
      </c>
      <c r="D14" s="229"/>
    </row>
    <row r="15" spans="1:4" ht="12.75">
      <c r="A15" s="78" t="s">
        <v>61</v>
      </c>
      <c r="B15" s="634">
        <f>581+2809/2</f>
        <v>1985.5</v>
      </c>
      <c r="C15" s="634"/>
      <c r="D15" s="230"/>
    </row>
    <row r="16" spans="1:4" ht="12.75">
      <c r="A16" s="79" t="s">
        <v>62</v>
      </c>
      <c r="B16" s="635">
        <v>470</v>
      </c>
      <c r="C16" s="635"/>
      <c r="D16" s="231"/>
    </row>
    <row r="17" spans="1:4" ht="12.75">
      <c r="A17" s="79" t="s">
        <v>63</v>
      </c>
      <c r="B17" s="80"/>
      <c r="C17" s="80"/>
      <c r="D17" s="232"/>
    </row>
    <row r="18" spans="1:4" ht="12.75">
      <c r="A18" s="81" t="s">
        <v>64</v>
      </c>
      <c r="B18" s="82">
        <v>1000</v>
      </c>
      <c r="C18" s="82">
        <v>1000</v>
      </c>
      <c r="D18" s="233"/>
    </row>
    <row r="19" spans="1:4" ht="12.75">
      <c r="A19" s="75" t="s">
        <v>186</v>
      </c>
      <c r="B19" s="76"/>
      <c r="C19" s="76"/>
      <c r="D19" s="234"/>
    </row>
    <row r="20" spans="1:4" ht="12.75">
      <c r="A20" s="75" t="s">
        <v>0</v>
      </c>
      <c r="B20" s="27"/>
      <c r="C20" s="27"/>
      <c r="D20" s="315"/>
    </row>
    <row r="21" spans="1:4" ht="12.75">
      <c r="A21" s="75" t="s">
        <v>340</v>
      </c>
      <c r="B21" s="27">
        <v>500</v>
      </c>
      <c r="C21" s="27">
        <v>500</v>
      </c>
      <c r="D21" s="315"/>
    </row>
    <row r="22" spans="1:4" ht="13.5" thickBot="1">
      <c r="A22" s="75" t="s">
        <v>397</v>
      </c>
      <c r="B22" s="27">
        <v>15740</v>
      </c>
      <c r="C22" s="27">
        <v>15740</v>
      </c>
      <c r="D22" s="315"/>
    </row>
    <row r="23" spans="1:4" ht="13.5" thickBot="1">
      <c r="A23" s="394" t="s">
        <v>65</v>
      </c>
      <c r="B23" s="395">
        <f>SUM(B11:B22)</f>
        <v>20117.5</v>
      </c>
      <c r="C23" s="395">
        <f>SUM(C11:C22)</f>
        <v>18340</v>
      </c>
      <c r="D23" s="396"/>
    </row>
    <row r="24" spans="1:4" ht="12.75">
      <c r="A24" s="73" t="s">
        <v>66</v>
      </c>
      <c r="B24" s="636"/>
      <c r="C24" s="636"/>
      <c r="D24" s="226"/>
    </row>
    <row r="25" spans="1:4" ht="12.75">
      <c r="A25" s="75" t="s">
        <v>67</v>
      </c>
      <c r="B25" s="634">
        <v>60</v>
      </c>
      <c r="C25" s="634">
        <v>60</v>
      </c>
      <c r="D25" s="226"/>
    </row>
    <row r="26" spans="1:4" ht="12.75">
      <c r="A26" s="75" t="s">
        <v>68</v>
      </c>
      <c r="B26" s="634">
        <v>60</v>
      </c>
      <c r="C26" s="634">
        <v>60</v>
      </c>
      <c r="D26" s="226"/>
    </row>
    <row r="27" spans="1:4" ht="12.75">
      <c r="A27" s="75" t="s">
        <v>69</v>
      </c>
      <c r="B27" s="637">
        <v>300</v>
      </c>
      <c r="C27" s="637">
        <v>300</v>
      </c>
      <c r="D27" s="226"/>
    </row>
    <row r="28" spans="1:4" ht="12.75">
      <c r="A28" s="75" t="s">
        <v>70</v>
      </c>
      <c r="B28" s="636">
        <v>300</v>
      </c>
      <c r="C28" s="636">
        <v>300</v>
      </c>
      <c r="D28" s="226"/>
    </row>
    <row r="29" spans="1:4" ht="12.75">
      <c r="A29" s="75" t="s">
        <v>406</v>
      </c>
      <c r="B29" s="636">
        <v>0</v>
      </c>
      <c r="C29" s="636">
        <v>0</v>
      </c>
      <c r="D29" s="237"/>
    </row>
    <row r="30" spans="1:4" ht="12.75">
      <c r="A30" s="75" t="s">
        <v>71</v>
      </c>
      <c r="B30" s="636">
        <v>8600</v>
      </c>
      <c r="C30" s="675">
        <v>10400</v>
      </c>
      <c r="D30" s="226" t="s">
        <v>428</v>
      </c>
    </row>
    <row r="31" spans="1:4" ht="12.75">
      <c r="A31" s="75" t="s">
        <v>445</v>
      </c>
      <c r="B31" s="636">
        <v>0</v>
      </c>
      <c r="C31" s="636">
        <v>400</v>
      </c>
      <c r="D31" s="237"/>
    </row>
    <row r="32" spans="1:4" ht="12.75">
      <c r="A32" s="75" t="s">
        <v>72</v>
      </c>
      <c r="B32" s="636">
        <v>0</v>
      </c>
      <c r="C32" s="636">
        <v>0</v>
      </c>
      <c r="D32" s="237"/>
    </row>
    <row r="33" spans="1:4" ht="12.75">
      <c r="A33" s="75" t="s">
        <v>73</v>
      </c>
      <c r="B33" s="636"/>
      <c r="C33" s="636"/>
      <c r="D33" s="226"/>
    </row>
    <row r="34" spans="1:4" ht="13.5" thickBot="1">
      <c r="A34" s="75" t="s">
        <v>74</v>
      </c>
      <c r="B34" s="636"/>
      <c r="C34" s="636"/>
      <c r="D34" s="226"/>
    </row>
    <row r="35" spans="1:4" ht="13.5" thickBot="1">
      <c r="A35" s="83" t="s">
        <v>75</v>
      </c>
      <c r="B35" s="638">
        <f>SUM(B25:B34)</f>
        <v>9320</v>
      </c>
      <c r="C35" s="638">
        <f>SUM(C25:C34)</f>
        <v>11520</v>
      </c>
      <c r="D35" s="236"/>
    </row>
    <row r="36" spans="1:4" ht="13.5" thickBot="1">
      <c r="A36" s="397" t="s">
        <v>76</v>
      </c>
      <c r="B36" s="639">
        <f>B35+B23</f>
        <v>29437.5</v>
      </c>
      <c r="C36" s="639">
        <f>C35+C23</f>
        <v>29860</v>
      </c>
      <c r="D36" s="398"/>
    </row>
    <row r="37" spans="1:4" ht="12.75">
      <c r="A37" s="84" t="s">
        <v>77</v>
      </c>
      <c r="B37" s="640"/>
      <c r="C37" s="640"/>
      <c r="D37" s="235"/>
    </row>
    <row r="38" spans="1:4" ht="12.75">
      <c r="A38" s="85" t="s">
        <v>78</v>
      </c>
      <c r="B38" s="641"/>
      <c r="C38" s="641"/>
      <c r="D38" s="226"/>
    </row>
    <row r="39" spans="1:4" ht="12.75">
      <c r="A39" s="75" t="s">
        <v>79</v>
      </c>
      <c r="B39" s="641"/>
      <c r="C39" s="641"/>
      <c r="D39" s="226"/>
    </row>
    <row r="40" spans="1:4" ht="12.75">
      <c r="A40" s="75" t="s">
        <v>80</v>
      </c>
      <c r="B40" s="641">
        <v>10770</v>
      </c>
      <c r="C40" s="641">
        <f>12300-1230</f>
        <v>11070</v>
      </c>
      <c r="D40" s="226"/>
    </row>
    <row r="41" spans="1:4" ht="12.75">
      <c r="A41" s="75" t="s">
        <v>81</v>
      </c>
      <c r="B41" s="641">
        <v>19800</v>
      </c>
      <c r="C41" s="641">
        <f>19800-1980</f>
        <v>17820</v>
      </c>
      <c r="D41" s="226"/>
    </row>
    <row r="42" spans="1:4" ht="12.75">
      <c r="A42" s="75" t="s">
        <v>82</v>
      </c>
      <c r="B42" s="642">
        <v>5700</v>
      </c>
      <c r="C42" s="642">
        <v>5700</v>
      </c>
      <c r="D42" s="226"/>
    </row>
    <row r="43" spans="1:4" ht="12.75">
      <c r="A43" s="75" t="s">
        <v>1</v>
      </c>
      <c r="B43" s="643">
        <v>27360</v>
      </c>
      <c r="C43" s="643">
        <f>33400-1208</f>
        <v>32192</v>
      </c>
      <c r="D43" s="226"/>
    </row>
    <row r="44" spans="1:4" ht="12.75">
      <c r="A44" s="75" t="s">
        <v>83</v>
      </c>
      <c r="B44" s="642">
        <v>2500</v>
      </c>
      <c r="C44" s="642">
        <v>2500</v>
      </c>
      <c r="D44" s="226"/>
    </row>
    <row r="45" spans="1:4" ht="12.75">
      <c r="A45" s="673"/>
      <c r="B45" s="674"/>
      <c r="C45" s="674"/>
      <c r="D45" s="226"/>
    </row>
    <row r="46" spans="1:17" ht="12.75">
      <c r="A46" s="75" t="s">
        <v>84</v>
      </c>
      <c r="B46" s="643">
        <v>3000</v>
      </c>
      <c r="C46" s="643">
        <v>3000</v>
      </c>
      <c r="D46" s="237"/>
      <c r="Q46" t="s">
        <v>214</v>
      </c>
    </row>
    <row r="47" spans="1:4" ht="12.75">
      <c r="A47" s="75" t="s">
        <v>85</v>
      </c>
      <c r="B47" s="643">
        <v>1500</v>
      </c>
      <c r="C47" s="643">
        <v>1500</v>
      </c>
      <c r="D47" s="226"/>
    </row>
    <row r="48" spans="1:4" ht="12.75">
      <c r="A48" s="75" t="s">
        <v>121</v>
      </c>
      <c r="B48" s="642">
        <v>0</v>
      </c>
      <c r="C48" s="642">
        <v>0</v>
      </c>
      <c r="D48" s="226"/>
    </row>
    <row r="49" spans="1:5" ht="12.75">
      <c r="A49" s="75" t="s">
        <v>86</v>
      </c>
      <c r="B49" s="642"/>
      <c r="C49" s="642"/>
      <c r="D49" s="226"/>
      <c r="E49" t="s">
        <v>87</v>
      </c>
    </row>
    <row r="50" spans="1:4" ht="13.5" thickBot="1">
      <c r="A50" s="77" t="s">
        <v>88</v>
      </c>
      <c r="B50" s="644"/>
      <c r="C50" s="644"/>
      <c r="D50" s="235"/>
    </row>
    <row r="51" spans="1:22" ht="13.5" thickBot="1">
      <c r="A51" s="86" t="s">
        <v>89</v>
      </c>
      <c r="B51" s="645">
        <f>SUM(B39:B50)</f>
        <v>70630</v>
      </c>
      <c r="C51" s="645">
        <f>SUM(C39:C50)</f>
        <v>73782</v>
      </c>
      <c r="D51" s="236"/>
      <c r="U51" s="59"/>
      <c r="V51" s="59"/>
    </row>
    <row r="52" spans="1:4" ht="12.75">
      <c r="A52" s="75" t="s">
        <v>90</v>
      </c>
      <c r="B52" s="641"/>
      <c r="C52" s="641"/>
      <c r="D52" s="226"/>
    </row>
    <row r="53" spans="1:4" ht="12.75">
      <c r="A53" s="75" t="s">
        <v>91</v>
      </c>
      <c r="B53" s="642">
        <v>2500</v>
      </c>
      <c r="C53" s="642">
        <v>1000</v>
      </c>
      <c r="D53" s="226"/>
    </row>
    <row r="54" spans="1:4" ht="12.75">
      <c r="A54" s="87" t="s">
        <v>92</v>
      </c>
      <c r="B54" s="643">
        <v>1200</v>
      </c>
      <c r="C54" s="643">
        <v>800</v>
      </c>
      <c r="D54" s="235"/>
    </row>
    <row r="55" spans="1:5" ht="13.5" thickBot="1">
      <c r="A55" s="77" t="s">
        <v>93</v>
      </c>
      <c r="B55" s="646"/>
      <c r="C55" s="646"/>
      <c r="D55" s="238"/>
      <c r="E55" t="s">
        <v>94</v>
      </c>
    </row>
    <row r="56" spans="1:4" ht="13.5" thickBot="1">
      <c r="A56" s="86" t="s">
        <v>95</v>
      </c>
      <c r="B56" s="647">
        <f>SUM(B53:B55)</f>
        <v>3700</v>
      </c>
      <c r="C56" s="647">
        <f>SUM(C53:C55)</f>
        <v>1800</v>
      </c>
      <c r="D56" s="236"/>
    </row>
    <row r="57" spans="1:18" ht="13.5" thickBot="1">
      <c r="A57" s="88" t="s">
        <v>96</v>
      </c>
      <c r="B57" s="648">
        <f>B56+B51</f>
        <v>74330</v>
      </c>
      <c r="C57" s="648">
        <f>C56+C51</f>
        <v>75582</v>
      </c>
      <c r="D57" s="239"/>
      <c r="Q57" s="59"/>
      <c r="R57" s="59"/>
    </row>
    <row r="58" spans="1:4" ht="13.5" thickBot="1">
      <c r="A58" s="89" t="s">
        <v>97</v>
      </c>
      <c r="B58" s="649">
        <f>B57+B36</f>
        <v>103767.5</v>
      </c>
      <c r="C58" s="649">
        <f>C57+C36</f>
        <v>105442</v>
      </c>
      <c r="D58" s="236"/>
    </row>
    <row r="59" spans="1:4" ht="13.5" thickBot="1">
      <c r="A59" s="88" t="s">
        <v>98</v>
      </c>
      <c r="B59" s="650"/>
      <c r="C59" s="650"/>
      <c r="D59" s="239"/>
    </row>
    <row r="60" spans="1:4" ht="13.5" thickBot="1">
      <c r="A60" s="88" t="s">
        <v>401</v>
      </c>
      <c r="B60" s="650"/>
      <c r="C60" s="650">
        <f>208473+477+12773+195+3615</f>
        <v>225533</v>
      </c>
      <c r="D60" s="226"/>
    </row>
    <row r="61" spans="1:4" ht="13.5" thickBot="1">
      <c r="A61" s="88" t="s">
        <v>402</v>
      </c>
      <c r="B61" s="650"/>
      <c r="C61" s="694">
        <v>77617</v>
      </c>
      <c r="D61" s="226"/>
    </row>
    <row r="62" spans="1:4" ht="13.5" hidden="1" thickBot="1">
      <c r="A62" s="75"/>
      <c r="B62" s="641"/>
      <c r="C62" s="641"/>
      <c r="D62" s="226"/>
    </row>
    <row r="63" spans="1:4" ht="13.5" thickBot="1">
      <c r="A63" s="70" t="s">
        <v>99</v>
      </c>
      <c r="B63" s="651">
        <f>SUM(B62:B62)</f>
        <v>0</v>
      </c>
      <c r="C63" s="651">
        <f>SUM(C60:C62)</f>
        <v>303150</v>
      </c>
      <c r="D63" s="240"/>
    </row>
    <row r="64" spans="1:19" ht="16.5" thickBot="1">
      <c r="A64" s="91" t="s">
        <v>27</v>
      </c>
      <c r="B64" s="652">
        <f>B63+B58</f>
        <v>103767.5</v>
      </c>
      <c r="C64" s="652">
        <f>C63+C58</f>
        <v>408592</v>
      </c>
      <c r="D64" s="241"/>
      <c r="S64" s="59">
        <f>C64-B64</f>
        <v>304824.5</v>
      </c>
    </row>
    <row r="65" spans="1:4" ht="12.75">
      <c r="A65" s="92"/>
      <c r="B65" s="93"/>
      <c r="C65" s="93"/>
      <c r="D65" s="242"/>
    </row>
    <row r="66" spans="1:4" ht="12.75">
      <c r="A66" s="90"/>
      <c r="B66" s="94"/>
      <c r="C66" s="94"/>
      <c r="D66" s="243"/>
    </row>
    <row r="67" spans="1:4" ht="15.75">
      <c r="A67" s="100"/>
      <c r="B67" s="94"/>
      <c r="C67" s="94"/>
      <c r="D67" s="243"/>
    </row>
    <row r="68" spans="1:4" ht="12.75">
      <c r="A68" s="95"/>
      <c r="B68" s="94"/>
      <c r="C68" s="94"/>
      <c r="D68" s="243"/>
    </row>
    <row r="69" spans="1:4" ht="12.75">
      <c r="A69" s="95"/>
      <c r="B69" s="94"/>
      <c r="C69" s="94"/>
      <c r="D69" s="243"/>
    </row>
    <row r="70" spans="1:4" ht="12.75">
      <c r="A70" s="95"/>
      <c r="B70" s="94"/>
      <c r="C70" s="94"/>
      <c r="D70" s="243"/>
    </row>
    <row r="71" spans="1:4" ht="12.75">
      <c r="A71" s="95"/>
      <c r="B71" s="94"/>
      <c r="C71" s="94"/>
      <c r="D71" s="243"/>
    </row>
    <row r="72" spans="1:4" ht="12.75">
      <c r="A72" s="95"/>
      <c r="B72" s="94"/>
      <c r="C72" s="94"/>
      <c r="D72" s="243"/>
    </row>
    <row r="73" spans="1:4" ht="12.75">
      <c r="A73" s="95"/>
      <c r="B73" s="94"/>
      <c r="C73" s="94"/>
      <c r="D73" s="243"/>
    </row>
    <row r="74" spans="1:4" ht="12.75">
      <c r="A74" s="95"/>
      <c r="B74" s="94"/>
      <c r="C74" s="94"/>
      <c r="D74" s="243"/>
    </row>
    <row r="75" spans="1:4" ht="12.75">
      <c r="A75" s="95"/>
      <c r="B75" s="94"/>
      <c r="C75" s="94"/>
      <c r="D75" s="243"/>
    </row>
    <row r="76" spans="1:4" ht="12.75">
      <c r="A76" s="95"/>
      <c r="B76" s="94"/>
      <c r="C76" s="94"/>
      <c r="D76" s="243"/>
    </row>
    <row r="77" spans="1:4" ht="12.75">
      <c r="A77" s="95"/>
      <c r="B77" s="94"/>
      <c r="C77" s="94"/>
      <c r="D77" s="243"/>
    </row>
    <row r="78" spans="1:4" ht="12.75">
      <c r="A78" s="95"/>
      <c r="B78" s="94"/>
      <c r="C78" s="94"/>
      <c r="D78" s="243"/>
    </row>
    <row r="79" spans="1:4" ht="12.75">
      <c r="A79" s="95"/>
      <c r="B79" s="94"/>
      <c r="C79" s="94"/>
      <c r="D79" s="243"/>
    </row>
    <row r="80" spans="1:4" ht="12.75">
      <c r="A80" s="57"/>
      <c r="B80" s="16"/>
      <c r="C80" s="16"/>
      <c r="D80" s="244"/>
    </row>
    <row r="81" spans="1:4" ht="12.75">
      <c r="A81" s="57"/>
      <c r="B81" s="16"/>
      <c r="C81" s="16"/>
      <c r="D81" s="244"/>
    </row>
    <row r="82" spans="1:4" ht="12.75">
      <c r="A82" s="57"/>
      <c r="B82" s="16"/>
      <c r="C82" s="16"/>
      <c r="D82" s="244"/>
    </row>
    <row r="83" spans="1:4" ht="12.75">
      <c r="A83" s="57"/>
      <c r="B83" s="16"/>
      <c r="C83" s="16"/>
      <c r="D83" s="244"/>
    </row>
    <row r="84" spans="1:4" ht="12.75">
      <c r="A84" s="57"/>
      <c r="B84" s="16"/>
      <c r="C84" s="16"/>
      <c r="D84" s="244"/>
    </row>
    <row r="85" spans="1:4" ht="12.75">
      <c r="A85" s="57"/>
      <c r="B85" s="16"/>
      <c r="C85" s="16"/>
      <c r="D85" s="244"/>
    </row>
    <row r="86" spans="1:4" ht="12.75">
      <c r="A86" s="57"/>
      <c r="B86" s="16"/>
      <c r="C86" s="16"/>
      <c r="D86" s="244"/>
    </row>
    <row r="87" spans="1:4" ht="12.75">
      <c r="A87" s="57"/>
      <c r="B87" s="16"/>
      <c r="C87" s="16"/>
      <c r="D87" s="244"/>
    </row>
    <row r="89" spans="1:9" ht="12.75">
      <c r="A89" s="96"/>
      <c r="I89" t="e">
        <f>F89/F91</f>
        <v>#DIV/0!</v>
      </c>
    </row>
    <row r="90" ht="1.5" customHeight="1"/>
  </sheetData>
  <sheetProtection/>
  <mergeCells count="1">
    <mergeCell ref="C1:D1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&amp;R..........................rendelet a város 2014 évi költégvetéséről
</oddHeader>
    <oddFooter>&amp;C&amp;D&amp;R&amp;P. oldal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33"/>
  <sheetViews>
    <sheetView workbookViewId="0" topLeftCell="A1">
      <selection activeCell="F71" activeCellId="2" sqref="C65 C71 F71"/>
    </sheetView>
  </sheetViews>
  <sheetFormatPr defaultColWidth="9.140625" defaultRowHeight="12.75"/>
  <cols>
    <col min="1" max="1" width="55.7109375" style="0" bestFit="1" customWidth="1"/>
    <col min="2" max="2" width="13.8515625" style="109" bestFit="1" customWidth="1"/>
  </cols>
  <sheetData>
    <row r="1" ht="12.75">
      <c r="A1" s="57" t="s">
        <v>643</v>
      </c>
    </row>
    <row r="4" ht="12.75">
      <c r="A4" t="s">
        <v>644</v>
      </c>
    </row>
    <row r="6" ht="12.75">
      <c r="A6" s="761" t="s">
        <v>645</v>
      </c>
    </row>
    <row r="7" ht="12.75">
      <c r="A7" s="761" t="s">
        <v>654</v>
      </c>
    </row>
    <row r="8" spans="1:2" ht="12.75">
      <c r="A8" s="106" t="s">
        <v>646</v>
      </c>
      <c r="B8" s="115" t="s">
        <v>655</v>
      </c>
    </row>
    <row r="9" spans="1:2" ht="12.75">
      <c r="A9" s="105" t="s">
        <v>464</v>
      </c>
      <c r="B9" s="115">
        <v>21437600</v>
      </c>
    </row>
    <row r="10" spans="1:2" ht="12.75">
      <c r="A10" s="105" t="s">
        <v>653</v>
      </c>
      <c r="B10" s="115">
        <v>0</v>
      </c>
    </row>
    <row r="11" spans="1:2" ht="12.75">
      <c r="A11" s="106" t="s">
        <v>647</v>
      </c>
      <c r="B11" s="115"/>
    </row>
    <row r="12" spans="1:2" ht="12.75">
      <c r="A12" s="105" t="s">
        <v>648</v>
      </c>
      <c r="B12" s="115">
        <v>1016000</v>
      </c>
    </row>
    <row r="13" spans="1:2" ht="12.75">
      <c r="A13" s="105" t="s">
        <v>649</v>
      </c>
      <c r="B13" s="115">
        <v>13970000</v>
      </c>
    </row>
    <row r="14" spans="1:2" ht="12.75">
      <c r="A14" s="105" t="s">
        <v>650</v>
      </c>
      <c r="B14" s="115">
        <v>76200</v>
      </c>
    </row>
    <row r="15" spans="1:2" ht="12.75">
      <c r="A15" s="105" t="s">
        <v>651</v>
      </c>
      <c r="B15" s="115">
        <v>6096000</v>
      </c>
    </row>
    <row r="16" spans="1:2" ht="12.75">
      <c r="A16" s="105" t="s">
        <v>652</v>
      </c>
      <c r="B16" s="115">
        <v>279400</v>
      </c>
    </row>
    <row r="17" spans="1:2" ht="12.75">
      <c r="A17" s="105" t="s">
        <v>21</v>
      </c>
      <c r="B17" s="115">
        <f>SUM(B12:B16)</f>
        <v>21437600</v>
      </c>
    </row>
    <row r="20" ht="12.75">
      <c r="A20" t="s">
        <v>656</v>
      </c>
    </row>
    <row r="21" ht="12.75">
      <c r="A21" s="761" t="s">
        <v>657</v>
      </c>
    </row>
    <row r="22" ht="12.75">
      <c r="A22" s="761" t="s">
        <v>658</v>
      </c>
    </row>
    <row r="24" spans="1:2" ht="12.75">
      <c r="A24" s="105" t="s">
        <v>659</v>
      </c>
      <c r="B24" s="115">
        <v>797022000</v>
      </c>
    </row>
    <row r="25" spans="1:2" ht="12.75">
      <c r="A25" s="105" t="s">
        <v>660</v>
      </c>
      <c r="B25" s="115">
        <v>885580000</v>
      </c>
    </row>
    <row r="26" spans="1:2" ht="12.75">
      <c r="A26" s="105" t="s">
        <v>653</v>
      </c>
      <c r="B26" s="115">
        <f>B25-B24</f>
        <v>88558000</v>
      </c>
    </row>
    <row r="29" ht="12.75">
      <c r="A29" s="761" t="s">
        <v>661</v>
      </c>
    </row>
    <row r="30" ht="12.75">
      <c r="A30" s="761" t="s">
        <v>662</v>
      </c>
    </row>
    <row r="31" spans="1:2" ht="12.75">
      <c r="A31" s="105" t="s">
        <v>659</v>
      </c>
      <c r="B31" s="115">
        <v>10000000</v>
      </c>
    </row>
    <row r="32" spans="1:2" ht="12.75">
      <c r="A32" s="105" t="s">
        <v>660</v>
      </c>
      <c r="B32" s="115">
        <v>10000000</v>
      </c>
    </row>
    <row r="33" spans="1:2" ht="12.75">
      <c r="A33" s="105" t="s">
        <v>653</v>
      </c>
      <c r="B33" s="115">
        <f>B32-B31</f>
        <v>0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&amp;R..........................rendelet a város 2014 évi költégvetéséről
</oddHeader>
    <oddFooter>&amp;C&amp;D&amp;R&amp;P.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penzugy1</cp:lastModifiedBy>
  <cp:lastPrinted>2014-02-25T08:29:31Z</cp:lastPrinted>
  <dcterms:created xsi:type="dcterms:W3CDTF">2003-01-31T11:08:55Z</dcterms:created>
  <dcterms:modified xsi:type="dcterms:W3CDTF">2014-02-25T08:43:23Z</dcterms:modified>
  <cp:category/>
  <cp:version/>
  <cp:contentType/>
  <cp:contentStatus/>
  <cp:revision>15</cp:revision>
</cp:coreProperties>
</file>