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200" windowHeight="10395" tabRatio="926" firstSheet="16" activeTab="24"/>
  </bookViews>
  <sheets>
    <sheet name="Táblázatok listája" sheetId="1" r:id="rId1"/>
    <sheet name="1.önkbev " sheetId="2" r:id="rId2"/>
    <sheet name="2.önki" sheetId="3" r:id="rId3"/>
    <sheet name="3.bev-kiad" sheetId="4" r:id="rId4"/>
    <sheet name="4.kv teljesites" sheetId="5" r:id="rId5"/>
    <sheet name="5.önk.bev.int." sheetId="6" r:id="rId6"/>
    <sheet name="6.önk.kiad.int." sheetId="7" r:id="rId7"/>
    <sheet name="7.pü-i mérleg" sheetId="8" r:id="rId8"/>
    <sheet name="7a.önk." sheetId="9" r:id="rId9"/>
    <sheet name="7b.Polg.Hiv." sheetId="10" r:id="rId10"/>
    <sheet name="7c.Óvoda" sheetId="11" r:id="rId11"/>
    <sheet name="8.önkorm.szakf." sheetId="12" r:id="rId12"/>
    <sheet name="9.intfinansz" sheetId="13" r:id="rId13"/>
    <sheet name="10.felhalm.kiadások" sheetId="14" r:id="rId14"/>
    <sheet name="11.műk-felh." sheetId="15" r:id="rId15"/>
    <sheet name="12.önkva" sheetId="16" r:id="rId16"/>
    <sheet name="13.ingatlanv." sheetId="17" r:id="rId17"/>
    <sheet name="14.részes" sheetId="18" r:id="rId18"/>
    <sheet name="15.maradvány" sheetId="19" r:id="rId19"/>
    <sheet name="15a.maradv.kötel." sheetId="20" r:id="rId20"/>
    <sheet name="16.EU projektek" sheetId="21" r:id="rId21"/>
    <sheet name="17.kölcsön" sheetId="22" r:id="rId22"/>
    <sheet name="18.tartalék" sheetId="23" r:id="rId23"/>
    <sheet name="19. önk.tám. elsz." sheetId="24" r:id="rId24"/>
    <sheet name="20.kieg.tám." sheetId="25" r:id="rId25"/>
    <sheet name="Munka1" sheetId="26" r:id="rId26"/>
  </sheets>
  <definedNames>
    <definedName name="_xlnm.Print_Titles" localSheetId="1">'1.önkbev '!$5:$7</definedName>
    <definedName name="_xlnm.Print_Titles" localSheetId="13">'10.felhalm.kiadások'!$8:$10</definedName>
    <definedName name="_xlnm.Print_Titles" localSheetId="20">'16.EU projektek'!$6:$9</definedName>
    <definedName name="_xlnm.Print_Titles" localSheetId="22">'18.tartalék'!$6:$7</definedName>
    <definedName name="_xlnm.Print_Titles" localSheetId="23">'19. önk.tám. elsz.'!$8:$10</definedName>
    <definedName name="_xlnm.Print_Titles" localSheetId="24">'20.kieg.tám.'!$6:$7</definedName>
    <definedName name="_xlnm.Print_Titles" localSheetId="6">'6.önk.kiad.int.'!$C:$C,'6.önk.kiad.int.'!$7:$8</definedName>
    <definedName name="_xlnm.Print_Titles" localSheetId="11">'8.önkorm.szakf.'!$4:$6</definedName>
    <definedName name="_xlnm.Print_Area" localSheetId="1">'1.önkbev '!$A$1:$J$156</definedName>
    <definedName name="_xlnm.Print_Area" localSheetId="13">'10.felhalm.kiadások'!$A$1:$H$77</definedName>
    <definedName name="_xlnm.Print_Area" localSheetId="14">'11.műk-felh.'!$A$1:$I$57</definedName>
    <definedName name="_xlnm.Print_Area" localSheetId="20">'16.EU projektek'!$A$1:$L$79</definedName>
    <definedName name="_xlnm.Print_Area" localSheetId="21">'17.kölcsön'!$A$1:$F$20</definedName>
    <definedName name="_xlnm.Print_Area" localSheetId="22">'18.tartalék'!$A$1:$D$108</definedName>
    <definedName name="_xlnm.Print_Area" localSheetId="2">'2.önki'!$A$1:$I$160</definedName>
    <definedName name="_xlnm.Print_Area" localSheetId="24">'20.kieg.tám.'!$A$1:$F$21</definedName>
    <definedName name="_xlnm.Print_Area" localSheetId="3">'3.bev-kiad'!$A$1:$I$55</definedName>
    <definedName name="_xlnm.Print_Area" localSheetId="6">'6.önk.kiad.int.'!$A$1:$F$69</definedName>
    <definedName name="_xlnm.Print_Area" localSheetId="7">'7.pü-i mérleg'!$A$1:$N$173</definedName>
    <definedName name="_xlnm.Print_Area" localSheetId="8">'7a.önk.'!$A$1:$N$177</definedName>
    <definedName name="_xlnm.Print_Area" localSheetId="9">'7b.Polg.Hiv.'!$A$1:$N$97</definedName>
    <definedName name="_xlnm.Print_Area" localSheetId="11">'8.önkorm.szakf.'!$B$1:$K$61</definedName>
  </definedNames>
  <calcPr fullCalcOnLoad="1"/>
</workbook>
</file>

<file path=xl/sharedStrings.xml><?xml version="1.0" encoding="utf-8"?>
<sst xmlns="http://schemas.openxmlformats.org/spreadsheetml/2006/main" count="3504" uniqueCount="1487">
  <si>
    <t>Önkormányzati jogalkotás</t>
  </si>
  <si>
    <t>Az önkormányzati vagyonnal való gazdálkodással kapcs. f.</t>
  </si>
  <si>
    <t>Polgármesteri Hivatal</t>
  </si>
  <si>
    <t>Felújítás</t>
  </si>
  <si>
    <t>adatok E Ft-ban</t>
  </si>
  <si>
    <t>K i a d á s o k</t>
  </si>
  <si>
    <t>Adatok E Ft-ban</t>
  </si>
  <si>
    <t>Családsegítés</t>
  </si>
  <si>
    <t>Összesen:</t>
  </si>
  <si>
    <t>Mindösszesen:</t>
  </si>
  <si>
    <t>Bevételi jogcím megnevezés</t>
  </si>
  <si>
    <t>Megnevezés</t>
  </si>
  <si>
    <t>B e v é t e l e k</t>
  </si>
  <si>
    <t>B e v é t e l</t>
  </si>
  <si>
    <t>E Ft-ban</t>
  </si>
  <si>
    <t>Eredeti</t>
  </si>
  <si>
    <t>Általános tartalék</t>
  </si>
  <si>
    <t>Gyermeklánc Óvoda és Egységes Óvoda-Bölcsőde</t>
  </si>
  <si>
    <t>Helyi önkormányzat*</t>
  </si>
  <si>
    <t>Módosított</t>
  </si>
  <si>
    <t>Teljesítés</t>
  </si>
  <si>
    <t>előirányzat</t>
  </si>
  <si>
    <t xml:space="preserve"> teljesítése intézményenként</t>
  </si>
  <si>
    <t>Adatok EFt-ban</t>
  </si>
  <si>
    <t>Intézmény neve</t>
  </si>
  <si>
    <t xml:space="preserve">Módosított előirányzat </t>
  </si>
  <si>
    <t>Teljesítés    %-a</t>
  </si>
  <si>
    <t>–</t>
  </si>
  <si>
    <t>%-a</t>
  </si>
  <si>
    <t>Kiadási jogcím megnevezés</t>
  </si>
  <si>
    <t>Immateriális javak értékesítése</t>
  </si>
  <si>
    <t>Bevételek mindösszesen:</t>
  </si>
  <si>
    <t>Kiadások mindösszesen:</t>
  </si>
  <si>
    <t>Hosszabb időtartamú közfoglalkoztatás</t>
  </si>
  <si>
    <t>Házi segítségnyújtás</t>
  </si>
  <si>
    <t>adatok ezer Ft-ban</t>
  </si>
  <si>
    <t xml:space="preserve">Eredeti </t>
  </si>
  <si>
    <t>Eredeti előirányzat</t>
  </si>
  <si>
    <t>Módosított előirányzat</t>
  </si>
  <si>
    <t xml:space="preserve"> K i a d á s</t>
  </si>
  <si>
    <t>Teljesített</t>
  </si>
  <si>
    <t>Teljesítés        %-a</t>
  </si>
  <si>
    <t>Teljesítés       %-a</t>
  </si>
  <si>
    <t>Le: intézményfinanszírozás</t>
  </si>
  <si>
    <t>Összeg</t>
  </si>
  <si>
    <t>-</t>
  </si>
  <si>
    <t>Szerződés szerinti lejárati idő</t>
  </si>
  <si>
    <t>Tartozás</t>
  </si>
  <si>
    <t>Lejárt tartozás</t>
  </si>
  <si>
    <t>Túlfizetés</t>
  </si>
  <si>
    <t>Kiadások</t>
  </si>
  <si>
    <t>Beruházások</t>
  </si>
  <si>
    <t>Előirányzat</t>
  </si>
  <si>
    <t>eredeti</t>
  </si>
  <si>
    <t>módosított</t>
  </si>
  <si>
    <t>Polgármesteri Hivatal összesen:</t>
  </si>
  <si>
    <t>Veszélyes hulladék kezelése, ártalmatlanítása</t>
  </si>
  <si>
    <t>Üdülői szálláshely-szolgáltatás</t>
  </si>
  <si>
    <t>Zöldterület kezelés</t>
  </si>
  <si>
    <t>Kiemelt állami és önkormányzati rendezvények</t>
  </si>
  <si>
    <t>Közvilágítás</t>
  </si>
  <si>
    <t>Város-, és községgazdálkodási m.n.s. szolgáltatások</t>
  </si>
  <si>
    <t>Központi költségvetési befizetések</t>
  </si>
  <si>
    <t>Háziorvosi alapellátás</t>
  </si>
  <si>
    <t>Háziorvosi ügyeleti ellátás</t>
  </si>
  <si>
    <t>Fogorvosi alapellátás</t>
  </si>
  <si>
    <t>Család- és nővédelmi eü.-i gondozás</t>
  </si>
  <si>
    <t>Ellátottak pénzbeli juttatásai</t>
  </si>
  <si>
    <t>teljesítése intézményenként</t>
  </si>
  <si>
    <t>Működési tartalékok összesen (I.):</t>
  </si>
  <si>
    <t>Felhalmozási tartalékok összesen (II.):</t>
  </si>
  <si>
    <t>Tartalékok mindösszesen (I.+II.)</t>
  </si>
  <si>
    <t>ESZKÖZÖK</t>
  </si>
  <si>
    <t>FORRÁSOK</t>
  </si>
  <si>
    <t>7</t>
  </si>
  <si>
    <t>2.) Polgármesteri Hivatal</t>
  </si>
  <si>
    <t>Önkormányzat és intézményei mindösszesen</t>
  </si>
  <si>
    <t>Helyi önkormányzat</t>
  </si>
  <si>
    <t>Helyi önkormányzat összesen:</t>
  </si>
  <si>
    <t>Jánoshalma Város Önkormányzat és intézményei</t>
  </si>
  <si>
    <t>FORRÁSOK ÖSSZESEN</t>
  </si>
  <si>
    <t>ESZKÖZÖK ÖSSZESEN</t>
  </si>
  <si>
    <t>Kimutatás</t>
  </si>
  <si>
    <t>Vagyoni értékű jogok</t>
  </si>
  <si>
    <t>Szellemi termékek</t>
  </si>
  <si>
    <t>Ingatlanok és a kapcsolódó vagyoni értékű jogok</t>
  </si>
  <si>
    <t>Beruházások, felújítások</t>
  </si>
  <si>
    <t>Ár- és belvízvédelem</t>
  </si>
  <si>
    <t>Műk. célú</t>
  </si>
  <si>
    <t>Felh. célú</t>
  </si>
  <si>
    <t>Össz.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</si>
  <si>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</si>
  <si>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</si>
  <si>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</si>
  <si>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</si>
  <si>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</si>
  <si>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</si>
  <si>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</si>
  <si>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</si>
  <si>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</si>
  <si>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</si>
  <si>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</si>
  <si>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</si>
  <si>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</si>
  <si>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</si>
  <si>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</si>
  <si>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</si>
  <si>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</si>
  <si>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</si>
  <si>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</si>
  <si>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25</t>
  </si>
  <si>
    <t>26</t>
  </si>
  <si>
    <t>27</t>
  </si>
  <si>
    <t>Sorszám</t>
  </si>
  <si>
    <t>Cím</t>
  </si>
  <si>
    <t>Jh. város Önkorm. gazdálkodó szervezetekben való részesedéseinek alakulása</t>
  </si>
  <si>
    <t>Önkormányzatok elszámolásai</t>
  </si>
  <si>
    <t>Évközi változások (+,-)</t>
  </si>
  <si>
    <t>J</t>
  </si>
  <si>
    <t>K</t>
  </si>
  <si>
    <t>L</t>
  </si>
  <si>
    <t>M</t>
  </si>
  <si>
    <t>Cég neve</t>
  </si>
  <si>
    <t>Tulajdonosi részarány               (%)</t>
  </si>
  <si>
    <t>Befektetés értéke a társasági szerződés szerint</t>
  </si>
  <si>
    <t>2003-ban visszaírt értékvesztés</t>
  </si>
  <si>
    <t>Bács-Szakma Szakképzés-Fejlesztési és  Szervezési Nonprofit Zrt.</t>
  </si>
  <si>
    <t>Jánoshalma Város Önkormányzat gazdálkodó szervezetekben való részesedéseinek alakulása</t>
  </si>
  <si>
    <t xml:space="preserve">S.sz. </t>
  </si>
  <si>
    <t>Városgazda Kft. Jánoshalma</t>
  </si>
  <si>
    <t>Jánoshalmi Kistérségi Egészségügyi Központ Nonprofit Kft.</t>
  </si>
  <si>
    <t>OTP és Kereskedelmi Bank Nyrt. Budapest</t>
  </si>
  <si>
    <t>Homokhátság Zrt. Csongrád</t>
  </si>
  <si>
    <t>Pelikán Nonprofit Kft. Jánoshalma</t>
  </si>
  <si>
    <t>Lajtha László Nonprofit Kft. Jánoshalma</t>
  </si>
  <si>
    <t>Filantrop Nonprofit Kft. Kecskemét</t>
  </si>
  <si>
    <t>Jánoshalma Város Önkormányzat</t>
  </si>
  <si>
    <t>Teljesítés %-a</t>
  </si>
  <si>
    <t>Gyermekjóléti szolgáltatás</t>
  </si>
  <si>
    <t>Szociális étkeztetés</t>
  </si>
  <si>
    <t>Könyvtári szolgáltatások</t>
  </si>
  <si>
    <t>Sportlétesítmények működtetése és fejlesztése</t>
  </si>
  <si>
    <t>I. Működési bevételek</t>
  </si>
  <si>
    <t>I. Működési kiadások</t>
  </si>
  <si>
    <t>1. Személyi juttatások</t>
  </si>
  <si>
    <t>4. Ellátottak pénzbeli juttatásai</t>
  </si>
  <si>
    <t xml:space="preserve">3. Dologi kiadások </t>
  </si>
  <si>
    <t>5. Egyéb működési célú kiadások</t>
  </si>
  <si>
    <t>3. Egyéb felhalmozási célú kiadások</t>
  </si>
  <si>
    <t>B. Költségvetési bevételek és A. költségvetési kiadások összesítésének egyenlege (hiány/többlet):</t>
  </si>
  <si>
    <t>III. Előző évek pénzmaradványának (és váll. mar.) igénybevétele</t>
  </si>
  <si>
    <t>II. Felhalmozási bevételek</t>
  </si>
  <si>
    <t>II. Felhalmozási kiadások</t>
  </si>
  <si>
    <t>B. KÖLTSÉGVETÉSI BEVÉTELEK (I.+II.)</t>
  </si>
  <si>
    <t>Környezetvédelmi Alap alszámla záró egyenlege (a befolyó pénzeszközök csak a helyi rendelet szerinti célokra használhatóak)</t>
  </si>
  <si>
    <t>Kiskunsági Víziközmű- Szolgáltató Kft. Kecel (Halasvíz Kft. Kiskunhalas)</t>
  </si>
  <si>
    <t>Jánoshalma-Mélykút Ivóvízminőség-javító Önkormányzati Társulás</t>
  </si>
  <si>
    <t>Vis maior tartalék (működési)</t>
  </si>
  <si>
    <t>Vis maior tartalék képzése</t>
  </si>
  <si>
    <t>Céltartalék (működési)</t>
  </si>
  <si>
    <t>Környezetvédelmi alap (Előző évek maradványa)</t>
  </si>
  <si>
    <t>Általános tartalék képzése</t>
  </si>
  <si>
    <t>21</t>
  </si>
  <si>
    <t>22</t>
  </si>
  <si>
    <t>23</t>
  </si>
  <si>
    <t>Fecske-Ház bérlakás program alszámla záró egyenlege</t>
  </si>
  <si>
    <t>4. Működési célú átvett pénzeszközök</t>
  </si>
  <si>
    <t>Közhatalmi bevételek</t>
  </si>
  <si>
    <t>Felhalmozási bevételek</t>
  </si>
  <si>
    <t>3.) Gyermeklánc Óvoda és Egységes Óvoda- Bölcsőde</t>
  </si>
  <si>
    <t>Közutak, alagutak üzemeltetése, fenntartása</t>
  </si>
  <si>
    <t>Diákélelmezési konyha</t>
  </si>
  <si>
    <t>Gyermeklánc Óvoda és Egységes Óvoda- Bölcsőde</t>
  </si>
  <si>
    <t>Felújítási alap befizetési kötelezettség (vegyes tulajdonú társasházak)</t>
  </si>
  <si>
    <t>Fejlesztési célú támogatásértékű kiadások</t>
  </si>
  <si>
    <t>Fejlesztési célú tartalék</t>
  </si>
  <si>
    <t>darab</t>
  </si>
  <si>
    <t>ha</t>
  </si>
  <si>
    <t>m²</t>
  </si>
  <si>
    <t>E Ft</t>
  </si>
  <si>
    <t>ingatlanszám</t>
  </si>
  <si>
    <t>földrészlet</t>
  </si>
  <si>
    <t>Bácska Kincse Termelő és Értékesítő Szövetkezet Kecskemét</t>
  </si>
  <si>
    <t>könyv szerinti bruttó</t>
  </si>
  <si>
    <t>becslés szerinti</t>
  </si>
  <si>
    <t>mennyiség</t>
  </si>
  <si>
    <t>érték</t>
  </si>
  <si>
    <t>Ingatlan-</t>
  </si>
  <si>
    <t>Sor- szám</t>
  </si>
  <si>
    <t>Rendezett összes ingatlan</t>
  </si>
  <si>
    <t>Rendezetlen, tulajdonba került ingatlanok</t>
  </si>
  <si>
    <t>Rendezetlen, tulajdonból kikerült ingatlanok</t>
  </si>
  <si>
    <t>Helyrajzi számmal nem rendelkező ingatlanok</t>
  </si>
  <si>
    <t>Állomány összesen (01+02+04) sorok</t>
  </si>
  <si>
    <t>belterület</t>
  </si>
  <si>
    <t>külterület</t>
  </si>
  <si>
    <t>forgalomképtelen</t>
  </si>
  <si>
    <t>korlátozottan forgalomképes</t>
  </si>
  <si>
    <t>forgalomképes</t>
  </si>
  <si>
    <t>Beépítetlen terület összesen</t>
  </si>
  <si>
    <t>100%-os saját tulajdon</t>
  </si>
  <si>
    <t>más önkormányzattal közös tulajdon</t>
  </si>
  <si>
    <t>egyéb közös tulajdon</t>
  </si>
  <si>
    <t>Beépített terület összesen</t>
  </si>
  <si>
    <t>más tulajdonos által beépített</t>
  </si>
  <si>
    <t>Egyéb önálló ingatlan összesen</t>
  </si>
  <si>
    <t>önkormányzat településén kívül fekvő ingatlan</t>
  </si>
  <si>
    <t>védett természeti terület</t>
  </si>
  <si>
    <t>műemléki védettségű</t>
  </si>
  <si>
    <t>5. sorból</t>
  </si>
  <si>
    <t>5. sorból küföldi ingatlan</t>
  </si>
  <si>
    <t>13. sorból</t>
  </si>
  <si>
    <t>17. sorból</t>
  </si>
  <si>
    <t>22. sorból</t>
  </si>
  <si>
    <t>(adatok ezer Ft-ban)</t>
  </si>
  <si>
    <t>Polgármesteri         Hivatal</t>
  </si>
  <si>
    <t>Bevételek</t>
  </si>
  <si>
    <t>Tárgyidőszak</t>
  </si>
  <si>
    <t>elején</t>
  </si>
  <si>
    <t>végén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</si>
  <si>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</si>
  <si>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</si>
  <si>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</si>
  <si>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</si>
  <si>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</si>
  <si>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</si>
  <si>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</si>
  <si>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</si>
  <si>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</si>
  <si>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</si>
  <si>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</si>
  <si>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</si>
  <si>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</si>
  <si>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</si>
  <si>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</si>
  <si>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ált. támogatása</t>
  </si>
  <si>
    <t>B112</t>
  </si>
  <si>
    <t>Telep. önk-ok egyes köznevelési feladatainak támogatása</t>
  </si>
  <si>
    <t>B113</t>
  </si>
  <si>
    <t>B114</t>
  </si>
  <si>
    <t>Telep. önk-ok kulturális feladatainak támogatása</t>
  </si>
  <si>
    <t>B115</t>
  </si>
  <si>
    <t>Működési célú központosított előirányzatok</t>
  </si>
  <si>
    <t>B116</t>
  </si>
  <si>
    <t>Helyi önkormányzatok kiegészítő támogatásai</t>
  </si>
  <si>
    <t>B12</t>
  </si>
  <si>
    <t>Elvonások és befizetések bevételei</t>
  </si>
  <si>
    <t>B13</t>
  </si>
  <si>
    <t>Működési c. garancia- és kez.váll-ból szárm. megt. állh-on belülről</t>
  </si>
  <si>
    <t>B14</t>
  </si>
  <si>
    <t>Műk. c. visszatérítendő támogatások, kölcsönök vtérülése állh. bel.</t>
  </si>
  <si>
    <t>ebből: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</si>
  <si>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</si>
  <si>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</si>
  <si>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</si>
  <si>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</si>
  <si>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</si>
  <si>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társfinanszírozása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</si>
  <si>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</si>
  <si>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</si>
  <si>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</si>
  <si>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</si>
  <si>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</si>
  <si>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</si>
  <si>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</si>
  <si>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</si>
  <si>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</si>
  <si>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</si>
  <si>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</si>
  <si>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</si>
  <si>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</si>
  <si>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</si>
  <si>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B15</t>
  </si>
  <si>
    <t>Műk. c. visszatérítendő támogatások, kölcsönök igénybev. állh. bel.</t>
  </si>
  <si>
    <t>B16</t>
  </si>
  <si>
    <t>Egyéb műk. c. támogatások bevételei államházt.-on belülről</t>
  </si>
  <si>
    <t>B2</t>
  </si>
  <si>
    <t>Felhalm. célú támogatások államháztartáson belülről</t>
  </si>
  <si>
    <t>B21</t>
  </si>
  <si>
    <t>Felhalmozási c. önkormányzati támogatások</t>
  </si>
  <si>
    <t>B22</t>
  </si>
  <si>
    <t>Felhalm. c. garancia- és kez.váll-ból szárm. megt. állh-on belülről</t>
  </si>
  <si>
    <t>B23</t>
  </si>
  <si>
    <t>Felh. c. visszatérítendő támogatások, kölcsönök vtérülése állh. bel.</t>
  </si>
  <si>
    <t>B24</t>
  </si>
  <si>
    <t>Felh. c. visszatérítendő támogatások, kölcsönök igénybev. állh. bel.</t>
  </si>
  <si>
    <t>B25</t>
  </si>
  <si>
    <t>Egyéb felh. c. támogatások bevételei államházt.-on belülről</t>
  </si>
  <si>
    <t>B3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</si>
  <si>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</si>
  <si>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</si>
  <si>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</si>
  <si>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</si>
  <si>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</si>
  <si>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</si>
  <si>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</si>
  <si>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</si>
  <si>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</si>
  <si>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</si>
  <si>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</si>
  <si>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</si>
  <si>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</si>
  <si>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</si>
  <si>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állandó jelleggel végz. iparűz. tev. utáni helyi iparűzési adó</t>
  </si>
  <si>
    <t>ideigl. jell. végz. tev. utáni helyi iparűzési adó</t>
  </si>
  <si>
    <t>B352</t>
  </si>
  <si>
    <t>Fogyasztási adók</t>
  </si>
  <si>
    <t>B353</t>
  </si>
  <si>
    <t>Pü-i monopóliumok nyereségét terhelő adók</t>
  </si>
  <si>
    <t>B354</t>
  </si>
  <si>
    <t>Gépjárműadók</t>
  </si>
  <si>
    <t>belföldi gépjárművek adójának helyi önk-t megillető része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</si>
  <si>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</si>
  <si>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</si>
  <si>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</si>
  <si>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</si>
  <si>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</si>
  <si>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</si>
  <si>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</si>
  <si>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</si>
  <si>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</si>
  <si>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</si>
  <si>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</si>
  <si>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építésügyi bírság</t>
  </si>
  <si>
    <t>szabálysértési pénz- és helyszíni bírság és a közlekedési szabályszegések után kiszabott közig. bírság önkormányzatot megillető része</t>
  </si>
  <si>
    <t>egyéb bírságok</t>
  </si>
  <si>
    <t>késedelmi és önellenőrzési pótlék</t>
  </si>
  <si>
    <t>B4</t>
  </si>
  <si>
    <t>Működési bevételek</t>
  </si>
  <si>
    <t>B401</t>
  </si>
  <si>
    <t>B402</t>
  </si>
  <si>
    <t>Szolgáltatások ellenértéke</t>
  </si>
  <si>
    <t>tárgyi eszközök bérbe adásából származó bevétel</t>
  </si>
  <si>
    <t>B403</t>
  </si>
  <si>
    <t>Közvetített szolgáltatások ellenértéke</t>
  </si>
  <si>
    <t>államháztartáson belül</t>
  </si>
  <si>
    <t>B404</t>
  </si>
  <si>
    <t>Tulajdonosi bevételek</t>
  </si>
  <si>
    <t>vadászati jog bérbeadásából származó bevétel</t>
  </si>
  <si>
    <t>önk-i vagyon vagyonkezelésbe adásából szárm.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</si>
  <si>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</si>
  <si>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</si>
  <si>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</si>
  <si>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</si>
  <si>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</si>
  <si>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</si>
  <si>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</si>
  <si>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</si>
  <si>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Egyéb pénzügyi műveletek bevételei (pl. árfolyamnyereség)</t>
  </si>
  <si>
    <t>B410</t>
  </si>
  <si>
    <t>költségek visszatérítései</t>
  </si>
  <si>
    <t>B5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</si>
  <si>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</si>
  <si>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</si>
  <si>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</si>
  <si>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</si>
  <si>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</si>
  <si>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</si>
  <si>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</si>
  <si>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</si>
  <si>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</si>
  <si>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</si>
  <si>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</si>
  <si>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</si>
  <si>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</si>
  <si>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Működési c. garancia- és kez.váll-ból szárm. megt. állh-on kívülről</t>
  </si>
  <si>
    <t>B62</t>
  </si>
  <si>
    <t>Műk. c. visszatérítendő támogatások, kölcsönök vtérülése állh. kív.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</si>
  <si>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</si>
  <si>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</si>
  <si>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</si>
  <si>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</si>
  <si>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</si>
  <si>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</si>
  <si>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</si>
  <si>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</si>
  <si>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</si>
  <si>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</si>
  <si>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B63</t>
  </si>
  <si>
    <t>Egyéb műk. c. átvett pénzeszközök</t>
  </si>
  <si>
    <t>B7</t>
  </si>
  <si>
    <t>Felhalmozási célú átvett pénzeszközök</t>
  </si>
  <si>
    <t>B71</t>
  </si>
  <si>
    <t>Felhalm. c. garancia- és kez.váll-ból szárm. megt. állh-on kívülről</t>
  </si>
  <si>
    <t>B72</t>
  </si>
  <si>
    <t>Felhalm. c. v.térítendő támogatások, kölcsönök vtérülése állh. kív.</t>
  </si>
  <si>
    <t>B73</t>
  </si>
  <si>
    <t>Egyéb felhalm. c. átvett pénzeszközök</t>
  </si>
  <si>
    <t>B8</t>
  </si>
  <si>
    <t>Finanszírozási bevételek</t>
  </si>
  <si>
    <t>B81</t>
  </si>
  <si>
    <t>Belföldi finanszírozás bevételei</t>
  </si>
  <si>
    <t>B811</t>
  </si>
  <si>
    <t>Hitel-, kölcsönfelvétel államháztartáson kívülről</t>
  </si>
  <si>
    <t>B8111</t>
  </si>
  <si>
    <t>B8112</t>
  </si>
  <si>
    <t>Likviditási célú hitelek, kölcsönök felvétele pü-i vállalkozástól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</si>
  <si>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</si>
  <si>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</si>
  <si>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</si>
  <si>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</si>
  <si>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</si>
  <si>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</si>
  <si>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</si>
  <si>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</si>
  <si>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</si>
  <si>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</si>
  <si>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 (Áht. 78.§ (4) és (5) bek.)</t>
  </si>
  <si>
    <t>B815</t>
  </si>
  <si>
    <t>Államháztartáson belüli megelől. törleszt. (Áht. 78.§ (4) és (5) bek.)</t>
  </si>
  <si>
    <t>B816</t>
  </si>
  <si>
    <t>Központi, irányító szervi támogatás</t>
  </si>
  <si>
    <t>B817</t>
  </si>
  <si>
    <t>Betétek megszüntetése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</si>
  <si>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</si>
  <si>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</si>
  <si>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</si>
  <si>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</si>
  <si>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</si>
  <si>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</si>
  <si>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K11</t>
  </si>
  <si>
    <t>Foglalkoztatottak személyi juttatásai</t>
  </si>
  <si>
    <t>K1101</t>
  </si>
  <si>
    <t>Törvény szerinti illetmények, munkabérek</t>
  </si>
  <si>
    <t>K1102</t>
  </si>
  <si>
    <t>Normatív jutalmak</t>
  </si>
  <si>
    <t>K1104</t>
  </si>
  <si>
    <t>Készenléti, ügyeleti, helyettesítési díj, túlóra, túlszolgálat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</si>
  <si>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</si>
  <si>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</si>
  <si>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</si>
  <si>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</si>
  <si>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</si>
  <si>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</si>
  <si>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</si>
  <si>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</si>
  <si>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</si>
  <si>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</si>
  <si>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biztosítási díjak</t>
  </si>
  <si>
    <t>K12</t>
  </si>
  <si>
    <t>Külső személyi juttatások</t>
  </si>
  <si>
    <t>K121</t>
  </si>
  <si>
    <t>Választott tisztségviselők juttatásai</t>
  </si>
  <si>
    <t>K122</t>
  </si>
  <si>
    <t>Munkavégzésre irányuló egyéb jogvisz-ban nem saját foglalkoztatottnak fizetett juttatások</t>
  </si>
  <si>
    <t>K123</t>
  </si>
  <si>
    <t>Egyéb külső személyi juttatások</t>
  </si>
  <si>
    <t>szociális hozzájárulási adó</t>
  </si>
  <si>
    <t>rehabilitációs hozzájárulás</t>
  </si>
  <si>
    <t>korkedvezmény-biztosítási járulék</t>
  </si>
  <si>
    <t>egészségügyi hozzájárulás</t>
  </si>
  <si>
    <t>munkáltatót terhelő SZJA</t>
  </si>
  <si>
    <t>K31</t>
  </si>
  <si>
    <t>Készletbeszerzés</t>
  </si>
  <si>
    <t>K311</t>
  </si>
  <si>
    <t>Szakmai anyagok beszerzése</t>
  </si>
  <si>
    <t>K312</t>
  </si>
  <si>
    <t>Üzemeltetési anyagok beszerzése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</si>
  <si>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</si>
  <si>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</si>
  <si>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</si>
  <si>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</si>
  <si>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</si>
  <si>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</si>
  <si>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</si>
  <si>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</si>
  <si>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</si>
  <si>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</si>
  <si>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</si>
  <si>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</si>
  <si>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távhő- és melegvíz</t>
  </si>
  <si>
    <t>víz- és csatornadíjak</t>
  </si>
  <si>
    <t>K332</t>
  </si>
  <si>
    <t>Vásárolt élelmezés</t>
  </si>
  <si>
    <t>K333</t>
  </si>
  <si>
    <t>Bérleti és lízingdíjak</t>
  </si>
  <si>
    <t>K334</t>
  </si>
  <si>
    <t>Karbantartási, kisjavítási szolgáltatások</t>
  </si>
  <si>
    <t>K335</t>
  </si>
  <si>
    <t>Közvetített szolgáltatások</t>
  </si>
  <si>
    <t>K336</t>
  </si>
  <si>
    <t>Szakmai tevékenységet segítő szolgáltatások</t>
  </si>
  <si>
    <t>K337</t>
  </si>
  <si>
    <t>Egyéb szolgáltatások</t>
  </si>
  <si>
    <t>K34</t>
  </si>
  <si>
    <t>Kiküldetések, reklám- és propagandakiadások</t>
  </si>
  <si>
    <t>K341</t>
  </si>
  <si>
    <t>Kiküldetések kiadásai</t>
  </si>
  <si>
    <t>K342</t>
  </si>
  <si>
    <t>Reklám- és propagandakiadások</t>
  </si>
  <si>
    <t>K35</t>
  </si>
  <si>
    <t>Különféle befizetések és egyéb dologi kiadások</t>
  </si>
  <si>
    <t>K351</t>
  </si>
  <si>
    <t>Működési célú előzetesen felszámított áfa</t>
  </si>
  <si>
    <t>K352</t>
  </si>
  <si>
    <t>Fizetendő általános forgalmi adó</t>
  </si>
  <si>
    <t>K355</t>
  </si>
  <si>
    <t>Egyéb dologi kiadások</t>
  </si>
  <si>
    <t>K41</t>
  </si>
  <si>
    <t>Társadalombiztosítási ellátások</t>
  </si>
  <si>
    <t>K42</t>
  </si>
  <si>
    <t>Családi támogatások</t>
  </si>
  <si>
    <t>Pénzbeli és természetbeni gyermekvédelmi támogatások</t>
  </si>
  <si>
    <t>kiegészítő gyermekvédelmi támogatás és a kieg. gyermekvédelmi tám. pótléka Gyvt. 20/B. §</t>
  </si>
  <si>
    <t>Óvodáztatási támogatás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</si>
  <si>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</si>
  <si>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</si>
  <si>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</si>
  <si>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</si>
  <si>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</si>
  <si>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</si>
  <si>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foglalkoztatást helyettesítő támogatás (Szoctv. 35.§ (1) bek.)</t>
  </si>
  <si>
    <t>K46</t>
  </si>
  <si>
    <t>Lakhatással kapcsolatos ellátások</t>
  </si>
  <si>
    <t>lakásfenntartási támogatás (Szoctv. 38.§(1) a, b, pontok)</t>
  </si>
  <si>
    <t>K47</t>
  </si>
  <si>
    <t>Intézményi ellátottak pénzbeli juttatásai</t>
  </si>
  <si>
    <t>K48</t>
  </si>
  <si>
    <t>Egyéb nem intézményi ellátások</t>
  </si>
  <si>
    <t>K501</t>
  </si>
  <si>
    <t>Nemzetközi kötelezettségek</t>
  </si>
  <si>
    <t>K502</t>
  </si>
  <si>
    <t>Elvonások és befizetések</t>
  </si>
  <si>
    <t>K503</t>
  </si>
  <si>
    <t>K504</t>
  </si>
  <si>
    <t>Műk. c. visszatérítendő támogatások, kölcsönök nyújtása államháztartáson belülre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</si>
  <si>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</si>
  <si>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</si>
  <si>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</si>
  <si>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</si>
  <si>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fejezeti kezelésű ei EU-s pr. és azok hazai társfin.</t>
  </si>
  <si>
    <t>K507</t>
  </si>
  <si>
    <t>Műk. c. garancia- és kezességv-ból származó kifizetés államháztartáson kívülre</t>
  </si>
  <si>
    <t>K508</t>
  </si>
  <si>
    <t>Műk. c. visszatérítendő támogatások, kölcsönök nyújtása államháztartáson kívülre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</si>
  <si>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</si>
  <si>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</si>
  <si>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</si>
  <si>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</si>
  <si>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</si>
  <si>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</si>
  <si>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</si>
  <si>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</si>
  <si>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>Vis maior tartalék</t>
  </si>
  <si>
    <t>Céltartalék - Környezetvédelmi alap</t>
  </si>
  <si>
    <t>Céltartalék - Védőnők OEP fin. maradv.</t>
  </si>
  <si>
    <t>Fejlesztési c. tartalék- viziközművek fejlesztésére</t>
  </si>
  <si>
    <t>Maradványból képzett tartalék</t>
  </si>
  <si>
    <t>K61</t>
  </si>
  <si>
    <t>Immateriális javak beszerzése, létesítése</t>
  </si>
  <si>
    <t>K62</t>
  </si>
  <si>
    <t>Ingatlanok beszerzése, létesítése</t>
  </si>
  <si>
    <t xml:space="preserve">    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</si>
  <si>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</si>
  <si>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</si>
  <si>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</si>
  <si>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</si>
  <si>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</si>
  <si>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</si>
  <si>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</si>
  <si>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</si>
  <si>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</si>
  <si>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</si>
  <si>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K71</t>
  </si>
  <si>
    <t>Ingatlanok felújítása</t>
  </si>
  <si>
    <t>K72</t>
  </si>
  <si>
    <t>Infrormatikai eszközök felújítása</t>
  </si>
  <si>
    <t xml:space="preserve">K73 </t>
  </si>
  <si>
    <t>Egyéb tárgyi eszközök felújítása</t>
  </si>
  <si>
    <t>K74</t>
  </si>
  <si>
    <t>Felújítási célú előzetesen felszámított áfa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</si>
  <si>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</si>
  <si>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</si>
  <si>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</si>
  <si>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</si>
  <si>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</si>
  <si>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</si>
  <si>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</si>
  <si>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</si>
  <si>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</si>
  <si>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</si>
  <si>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</si>
  <si>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</si>
  <si>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</si>
  <si>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</si>
  <si>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</si>
  <si>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Egyéb felhalmozási c. támogatások állh-on kívülre</t>
  </si>
  <si>
    <t>K91</t>
  </si>
  <si>
    <t>Belföldi finanszírozás kiadásai</t>
  </si>
  <si>
    <t>K92</t>
  </si>
  <si>
    <t>Külföldi finanszírozás kiadásai</t>
  </si>
  <si>
    <t>K93</t>
  </si>
  <si>
    <t>Adóssághoz nem kapcsolódó származékos ügyletek kiadásai</t>
  </si>
  <si>
    <t>1. Működési célú támogatások államháztartáson belülről</t>
  </si>
  <si>
    <t>1.1. Önkormányzatok működési támogatásai</t>
  </si>
  <si>
    <t>2. Munkaadót terhelő járulékok és szoc. hozzájárulási adó</t>
  </si>
  <si>
    <t>1.2. Műk. c. visszatérítendő tám., kölcsönök v.térülése állh-on bel.</t>
  </si>
  <si>
    <t>1.3. Egyéb műk. c. támogatások bevételei állh.-on belülről</t>
  </si>
  <si>
    <t>1.4. Elvonások és befizetések bevételei</t>
  </si>
  <si>
    <t>2. Közhatalmi bevételek</t>
  </si>
  <si>
    <t>5.1. Egyéb műk. célú támogatások államh.-on belülre</t>
  </si>
  <si>
    <t>2.1. Helyi adók és adójellegű bevételek</t>
  </si>
  <si>
    <t>5.2. Műk. c. v.térítendő támogatások, kölcs. nyújt. állh-on belül.</t>
  </si>
  <si>
    <t>2.2. Belföldi gépjárművek adójának helyi önk-t megillető része</t>
  </si>
  <si>
    <t>5.3. Egyéb műk. célú támogatások államh.-on kívülre</t>
  </si>
  <si>
    <t>2.3. Egyéb közhatalmi bevételek</t>
  </si>
  <si>
    <t>5.4. Műk. c. v.térítendő támogatások, kölcs. nyújt. állh-on kívülre</t>
  </si>
  <si>
    <t>3. Működési bevételek</t>
  </si>
  <si>
    <t>5.5. Tartalékok</t>
  </si>
  <si>
    <t>5.6. Elvonások és befizetések</t>
  </si>
  <si>
    <t>3.2. Szolgáltatások ellenértéke</t>
  </si>
  <si>
    <t>3.3. Közvetített szolgáltatások ellenértéke</t>
  </si>
  <si>
    <t>3.4. Tulajdonosi bevételek</t>
  </si>
  <si>
    <t>3.5. Ellátási díjak</t>
  </si>
  <si>
    <t>3.6. Kiszámlázott általános forgalmi adó</t>
  </si>
  <si>
    <t>3.7. Általános forgalmi adó visszatérítése</t>
  </si>
  <si>
    <t>4.1. Műk. c. vtérítendő támog., kölcsönök vtérülése állh.-on kív.</t>
  </si>
  <si>
    <t>4.2. Egyéb műk. c. átvett pénzeszközök</t>
  </si>
  <si>
    <t>1.Felhalm. célú támogatások államháztartáson belülről</t>
  </si>
  <si>
    <t>1. Beruházások</t>
  </si>
  <si>
    <t>1.1. Felhalmozási célú önkormányzati támogatások</t>
  </si>
  <si>
    <t>2. Felújítások</t>
  </si>
  <si>
    <t>1.2. Egyéb felh. c. támogatások bevételei államházt.-on belülről</t>
  </si>
  <si>
    <t>2. Felhalmozási bevételek</t>
  </si>
  <si>
    <t>3.1. Felh. c. v.tér. tám. kölcs. nyújt. állh.-on belülre</t>
  </si>
  <si>
    <t>2.1. Immateriális javak értékesítése</t>
  </si>
  <si>
    <t>3.2. Felh. c. v.tér. tám. kölcs. törl. állh.-on belülre</t>
  </si>
  <si>
    <t>2.2. Ingatlanok értékesítése</t>
  </si>
  <si>
    <t>3.3. Egyéb felh. c. támogatások állh-on belülre</t>
  </si>
  <si>
    <t>2.3. Egyéb tárgyi eszközök értékesítése</t>
  </si>
  <si>
    <t>3.4. Felh. c. v.tér. tám. kölcs. nyújt. állh.-on kívülre</t>
  </si>
  <si>
    <t>2.4. Részesedések értékesítése</t>
  </si>
  <si>
    <t>3.5. Egyéb felh. c. támogatások állh-on kívülre</t>
  </si>
  <si>
    <t>3.  Felhalmozási célú átvett pénzeszközök</t>
  </si>
  <si>
    <t>3.1. Felh. c. vtérítendő támog., kölcsönök vtérülése állh.-on kív.</t>
  </si>
  <si>
    <t>3.2. Egyéb felh. c. átvett pénzeszközök</t>
  </si>
  <si>
    <t xml:space="preserve"> </t>
  </si>
  <si>
    <t>BEVÉTELEK</t>
  </si>
  <si>
    <t>K1 Személyi juttatások</t>
  </si>
  <si>
    <t>K2 Munkaadókat terhelő járulékok és szoc. hozzájárulási adó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</si>
  <si>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</si>
  <si>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</si>
  <si>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</si>
  <si>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</si>
  <si>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</si>
  <si>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</si>
  <si>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</si>
  <si>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nonprofit gazdasági társaságok</t>
  </si>
  <si>
    <t>k,</t>
  </si>
  <si>
    <t xml:space="preserve">I. </t>
  </si>
  <si>
    <t>Működési bevételek (B1+B3+B4+B6)</t>
  </si>
  <si>
    <t>II.</t>
  </si>
  <si>
    <t>Felhalmozási bevételek (B2+B5+B7)</t>
  </si>
  <si>
    <t>C. FINANSZÍROZÁSI  BEVÉTELEK (B8)</t>
  </si>
  <si>
    <t>BEVÉTELEK MINDÖSSZESEN (B+C):</t>
  </si>
  <si>
    <t>A. KÖLTSÉGVETÉSI KIADÁSOK (I.+II.)</t>
  </si>
  <si>
    <t>I. Működési kiadások (K1-K5)</t>
  </si>
  <si>
    <t>II. Felhalmozási kiadások (K6-K8)</t>
  </si>
  <si>
    <t>D. FINANSZÍROZÁSI  KIADÁSOK (K9)</t>
  </si>
  <si>
    <t>KIADÁSOK MINDÖSSZESEN (A+D):</t>
  </si>
  <si>
    <t>C1. Költségvetési hiány belső finanszírozására szolgáló pénzforgalom nélküli bevételek</t>
  </si>
  <si>
    <t>C2. Költségvetési hiány belső finanszírozását meghaladó összegének külső finanszírozására szolgáló bevételek</t>
  </si>
  <si>
    <t>D. Finanszírozási kiadások</t>
  </si>
  <si>
    <t>4.1. Családi támogatások</t>
  </si>
  <si>
    <t>4.2. Pénzbeli kárpótlások, kártérítések</t>
  </si>
  <si>
    <t>4.3. Foglalkoztatással, munkanélküliséggel kapcs. ellátások</t>
  </si>
  <si>
    <t>4.4. Lakhatással kapcsolatos ellátások</t>
  </si>
  <si>
    <t>4.5. Egyéb nem intézményi ellátások</t>
  </si>
  <si>
    <t>B. Költségvetési bevételek (I.+II.)</t>
  </si>
  <si>
    <t>A. Költségvetési kiadások (I.+II.)</t>
  </si>
  <si>
    <t>IV.Belföldi értékpapírok bevételei</t>
  </si>
  <si>
    <t>IV. Értékpapírok vásárlásának kiadása</t>
  </si>
  <si>
    <t>V. Hitel-, kölcsönfelvétel államháztartáson kívülről</t>
  </si>
  <si>
    <t>V. Hitelek törlesztése és kötvénybeváltás kiadásai</t>
  </si>
  <si>
    <t>VI. Államháztartáson belüli megelőlegezések</t>
  </si>
  <si>
    <t>VI. Államháztartáson belüli megelőlegezések visszafizetése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</si>
  <si>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</si>
  <si>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</si>
  <si>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</si>
  <si>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</si>
  <si>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</si>
  <si>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</si>
  <si>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</si>
  <si>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</si>
  <si>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</si>
  <si>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</si>
  <si>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</si>
  <si>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</si>
  <si>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</si>
  <si>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</si>
  <si>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2.</t>
  </si>
  <si>
    <t>Működési célú támogatások államháztartáson belülről (2.1.+…+.2.5.)</t>
  </si>
  <si>
    <t>2.1.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</si>
  <si>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</si>
  <si>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</si>
  <si>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</si>
  <si>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</si>
  <si>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</si>
  <si>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</si>
  <si>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</si>
  <si>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</si>
  <si>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</si>
  <si>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</si>
  <si>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</si>
  <si>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</si>
  <si>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</si>
  <si>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</si>
  <si>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</si>
  <si>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</si>
  <si>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</si>
  <si>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</si>
  <si>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</si>
  <si>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</si>
  <si>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</si>
  <si>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</si>
  <si>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</si>
  <si>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</si>
  <si>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</si>
  <si>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</si>
  <si>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</si>
  <si>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</si>
  <si>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</si>
  <si>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</si>
  <si>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</si>
  <si>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</si>
  <si>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</si>
  <si>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</si>
  <si>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</si>
  <si>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4.4.</t>
  </si>
  <si>
    <t>5.</t>
  </si>
  <si>
    <t>Működési bevételek (5.1.+…+ 5.10.)</t>
  </si>
  <si>
    <t>5.1.</t>
  </si>
  <si>
    <t>Készletértékesítés ellenértéke</t>
  </si>
  <si>
    <t>5.2.</t>
  </si>
  <si>
    <t>5.3.</t>
  </si>
  <si>
    <t>Közvetített szolgáltatások értéke</t>
  </si>
  <si>
    <t>5.4.</t>
  </si>
  <si>
    <t>5.5.</t>
  </si>
  <si>
    <t>Ellátási díjak</t>
  </si>
  <si>
    <t>5.6.</t>
  </si>
  <si>
    <t xml:space="preserve">Kiszámlázott általános forgalmi adó </t>
  </si>
  <si>
    <t>5.7.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</si>
  <si>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</si>
  <si>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</si>
  <si>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</si>
  <si>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</si>
  <si>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</si>
  <si>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</si>
  <si>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</si>
  <si>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</si>
  <si>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</si>
  <si>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6.2.</t>
  </si>
  <si>
    <t>6.3.</t>
  </si>
  <si>
    <t>6.4.</t>
  </si>
  <si>
    <t>6.5.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</si>
  <si>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</si>
  <si>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</si>
  <si>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</si>
  <si>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</si>
  <si>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</si>
  <si>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</si>
  <si>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</si>
  <si>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</si>
  <si>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</si>
  <si>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</si>
  <si>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</si>
  <si>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</si>
  <si>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</si>
  <si>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</si>
  <si>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</si>
  <si>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</si>
  <si>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</si>
  <si>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</si>
  <si>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</si>
  <si>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</si>
  <si>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</si>
  <si>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</si>
  <si>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</si>
  <si>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</si>
  <si>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</si>
  <si>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</si>
  <si>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</si>
  <si>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</si>
  <si>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</si>
  <si>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</si>
  <si>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</si>
  <si>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</si>
  <si>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</si>
  <si>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</si>
  <si>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</si>
  <si>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</si>
  <si>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</si>
  <si>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</si>
  <si>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</si>
  <si>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</si>
  <si>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</si>
  <si>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</si>
  <si>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</si>
  <si>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12.2.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</si>
  <si>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</si>
  <si>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</si>
  <si>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</si>
  <si>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</si>
  <si>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</si>
  <si>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</si>
  <si>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</si>
  <si>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</si>
  <si>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</si>
  <si>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</si>
  <si>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</si>
  <si>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</si>
  <si>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</si>
  <si>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</si>
  <si>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</si>
  <si>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</si>
  <si>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</si>
  <si>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</si>
  <si>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</si>
  <si>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</si>
  <si>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</si>
  <si>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</si>
  <si>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1.) Jánoshalma Város Önkormányzata</t>
  </si>
  <si>
    <t xml:space="preserve">Költségvetési maradvány igénybevétele </t>
  </si>
  <si>
    <t xml:space="preserve">Vállalkozási maradvány igénybevétele </t>
  </si>
  <si>
    <t>Irányító szervi  (önkormányzati ) támogatás ( intézményfinanszírozás)</t>
  </si>
  <si>
    <t>4.</t>
  </si>
  <si>
    <t>4.5.</t>
  </si>
  <si>
    <t>4.6.</t>
  </si>
  <si>
    <t>4.7.</t>
  </si>
  <si>
    <t>4.8.</t>
  </si>
  <si>
    <t>4.9.</t>
  </si>
  <si>
    <t>4.10.</t>
  </si>
  <si>
    <t>7.</t>
  </si>
  <si>
    <t>Önkormányzat és intézményei együttesen:</t>
  </si>
  <si>
    <t>ÖNKORMÁNYZATI BEVÉTELEK MINDÖSSZESEN (Intézményfinanszírozás nélkül)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</si>
  <si>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</si>
  <si>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</si>
  <si>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</si>
  <si>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</si>
  <si>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</si>
  <si>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</si>
  <si>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</si>
  <si>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</si>
  <si>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</si>
  <si>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</si>
  <si>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Külföldi finanszírozás bevételei </t>
  </si>
  <si>
    <t>Működési célú kölcsönök visszatérülése államháztartáson belülről</t>
  </si>
  <si>
    <t xml:space="preserve">Egyéb működési célú támogatások államháztartáson belülről </t>
  </si>
  <si>
    <t xml:space="preserve">Egyéb felhalmozási célú támogatások államháztartáson belülről </t>
  </si>
  <si>
    <t>KÖLTSÉGVETÉSI BEVÉTELEK ÖSSZESEN: (2+…+12)</t>
  </si>
  <si>
    <t>Belföldi finanszírozás bevételei (14+…+17)</t>
  </si>
  <si>
    <t>FINANSZÍROZÁSI BEVÉTELEK ÖSSZESEN: (18+ … +20)</t>
  </si>
  <si>
    <t>KÖLTSÉGVETÉSI ÉS FINANSZÍROZÁSI BEVÉTELEK ÖSSZESEN: (13+21)</t>
  </si>
  <si>
    <t>KÖLTSÉGVETÉSI BEVÉTELEK ÖSSZESEN: (24+…+30)</t>
  </si>
  <si>
    <t>FINANSZÍROZÁSI BEVÉTELEK ÖSSZESEN: (32 + … +34)</t>
  </si>
  <si>
    <t>KÖLTSÉGVETÉSI ÉS FINANSZÍROZÁSI BEVÉTELEK ÖSSZESEN: (31+35)</t>
  </si>
  <si>
    <t>KÖLTSÉGVETÉSI BEVÉTELEK ÖSSZESEN: (38+…+44)</t>
  </si>
  <si>
    <t>FINANSZÍROZÁSI BEVÉTELEK ÖSSZESEN: (46 + … +48)</t>
  </si>
  <si>
    <t>KÖLTSÉGVETÉSI ÉS FINANSZÍROZÁSI BEVÉTELEK ÖSSZESEN: (45+49)</t>
  </si>
  <si>
    <t xml:space="preserve">KÖLTSÉGVETÉSI ÉS FINANSZÍROZÁSI BEVÉTELEK MINDÖSSZESEN (22+36+50): </t>
  </si>
  <si>
    <r>
      <rPr>
        <b/>
        <sz val="10"/>
        <rFont val="Times New Roman CE"/>
        <family val="0"/>
      </rPr>
      <t>LE:</t>
    </r>
    <r>
      <rPr>
        <sz val="10"/>
        <rFont val="Times New Roman CE"/>
        <family val="1"/>
      </rPr>
      <t xml:space="preserve"> INTÉZMÉNYFINANSZÍROZÁS (34+48)</t>
    </r>
  </si>
  <si>
    <t>Kiadási jogcím</t>
  </si>
  <si>
    <t>Személyi  juttatások</t>
  </si>
  <si>
    <t>Munkaadókat terhelő járulékok és szociális hozzájárulási adó</t>
  </si>
  <si>
    <t>Dologi  kiadások</t>
  </si>
  <si>
    <t>Egyéb működési célú kiadások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</si>
  <si>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</si>
  <si>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</si>
  <si>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</si>
  <si>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</si>
  <si>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</si>
  <si>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</si>
  <si>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</si>
  <si>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</si>
  <si>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</si>
  <si>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Felújítások</t>
  </si>
  <si>
    <t>Egyéb felhalmozási kiadások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</si>
  <si>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</si>
  <si>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</si>
  <si>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</si>
  <si>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</si>
  <si>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</si>
  <si>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>Céltartalék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</si>
  <si>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</si>
  <si>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</si>
  <si>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</si>
  <si>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</si>
  <si>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</si>
  <si>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</si>
  <si>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</si>
  <si>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</si>
  <si>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</si>
  <si>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</si>
  <si>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</si>
  <si>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</si>
  <si>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</si>
  <si>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</si>
  <si>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</si>
  <si>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Irányító szervi  (önkormányzati ) támogatás folyósítása (intézményfinanszírozás)</t>
  </si>
  <si>
    <t>ÖNKORMÁNYZATI KIADÁSOK MINDÖSSZESEN (Intézményfinanszírozás nélkül)</t>
  </si>
  <si>
    <t xml:space="preserve">Hitel-, kölcsöntörlesztés államháztartáson kívülre </t>
  </si>
  <si>
    <t>Belföldi értékpapírok kiadásai</t>
  </si>
  <si>
    <t xml:space="preserve">Külföldi finanszírozás kiadásai </t>
  </si>
  <si>
    <t>FINANSZÍROZÁSI KIADÁSOK ÖSSZESEN:</t>
  </si>
  <si>
    <t>Műk. c. kölcsön nyújtás államháztartáson belülre</t>
  </si>
  <si>
    <t>Egyéb működési célú támogatás államháztartáson belülre</t>
  </si>
  <si>
    <t>Műk. c. kölcsön nyújtás államháztartáson kívülre</t>
  </si>
  <si>
    <t>Egyéb működési célú támogatás államháztartáson kívülre</t>
  </si>
  <si>
    <r>
      <t xml:space="preserve">   Működési költségvetés kiadásai </t>
    </r>
    <r>
      <rPr>
        <sz val="8"/>
        <rFont val="Times New Roman CE"/>
        <family val="0"/>
      </rPr>
      <t>(3+…+11)</t>
    </r>
  </si>
  <si>
    <r>
      <t xml:space="preserve">   Felhalmozási költségvetés kiadásai </t>
    </r>
    <r>
      <rPr>
        <sz val="8"/>
        <rFont val="Times New Roman CE"/>
        <family val="0"/>
      </rPr>
      <t>(13+...+15)</t>
    </r>
  </si>
  <si>
    <t>Tartalékok (17+18)</t>
  </si>
  <si>
    <t>KÖLTSÉGVETÉSI KIADÁSOK ÖSSZESEN (2+12+16)</t>
  </si>
  <si>
    <t>Belföldi finanszírozás kiadásai (20 + … +22)</t>
  </si>
  <si>
    <t>FINANSZÍROZÁSI KIADÁSOK ÖSSZESEN: (23+24)</t>
  </si>
  <si>
    <t>KÖLTSÉGVETÉSI ÉS FINANSZÍROZÁSI KIADÁSOK ÖSSZESEN: (19+25)</t>
  </si>
  <si>
    <r>
      <t xml:space="preserve">   Működési költségvetés kiadásai </t>
    </r>
    <r>
      <rPr>
        <sz val="8"/>
        <rFont val="Times New Roman CE"/>
        <family val="0"/>
      </rPr>
      <t>(29+…+33)</t>
    </r>
  </si>
  <si>
    <r>
      <t xml:space="preserve">   Felhalmozási költségvetés kiadásai </t>
    </r>
    <r>
      <rPr>
        <sz val="8"/>
        <rFont val="Times New Roman CE"/>
        <family val="0"/>
      </rPr>
      <t>(35+...+37)</t>
    </r>
  </si>
  <si>
    <t>KÖLTSÉGVETÉSI KIADÁSOK ÖSSZESEN (28+34)</t>
  </si>
  <si>
    <t>KÖLTSÉGVETÉSI ÉS FINANSZÍROZÁSI KIADÁSOK ÖSSZESEN: (38+39)</t>
  </si>
  <si>
    <r>
      <t xml:space="preserve">   Működési költségvetés kiadásai </t>
    </r>
    <r>
      <rPr>
        <sz val="8"/>
        <rFont val="Times New Roman CE"/>
        <family val="0"/>
      </rPr>
      <t>(43+…+47)</t>
    </r>
  </si>
  <si>
    <r>
      <t xml:space="preserve">   Felhalmozási költségvetés kiadásai </t>
    </r>
    <r>
      <rPr>
        <sz val="8"/>
        <rFont val="Times New Roman CE"/>
        <family val="0"/>
      </rPr>
      <t>(49+…+51)</t>
    </r>
  </si>
  <si>
    <t>KÖLTSÉGVETÉSI KIADÁSOK ÖSSZESEN (42+48)</t>
  </si>
  <si>
    <t>KÖLTSÉGVETÉSI ÉS FINANSZÍROZÁSI KIADÁSOK ÖSSZESEN: (52+53)</t>
  </si>
  <si>
    <t xml:space="preserve">KÖLTSÉGVETÉSI ÉS FINANSZÍROZÁSI KIADÁSOK MINDÖSSZESEN (26+40+54): </t>
  </si>
  <si>
    <r>
      <rPr>
        <b/>
        <sz val="10"/>
        <rFont val="Times New Roman CE"/>
        <family val="0"/>
      </rPr>
      <t>LE:</t>
    </r>
    <r>
      <rPr>
        <sz val="10"/>
        <rFont val="Times New Roman CE"/>
        <family val="1"/>
      </rPr>
      <t xml:space="preserve"> INTÉZMÉNYFINANSZÍROZÁS (22)</t>
    </r>
  </si>
  <si>
    <t>B E V É T E L E K</t>
  </si>
  <si>
    <t>Ezer forintban</t>
  </si>
  <si>
    <t>K I A D Á S O K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</si>
  <si>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</si>
  <si>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</si>
  <si>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</si>
  <si>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Kötelező feladatok</t>
  </si>
  <si>
    <t>Önként vállalt feladatok</t>
  </si>
  <si>
    <t>Államigazgatási feladatok</t>
  </si>
  <si>
    <t>Feladatok mindösszesen</t>
  </si>
  <si>
    <t>Éves engedélyezett létszám előirányzat (fő)</t>
  </si>
  <si>
    <t>Közfoglalkoztatottak létszáma (fő)</t>
  </si>
  <si>
    <t>ENGEDÉLYEZETT ÉS TÉNYLEGES LÉTSZÁM ALAKULÁSA</t>
  </si>
  <si>
    <t>9.1.</t>
  </si>
  <si>
    <t>9.2.</t>
  </si>
  <si>
    <t>Működési célú támogatások államháztartáson belülről (1.1.+…+1.5.)</t>
  </si>
  <si>
    <t>1.5.-ből EU-s támogatás</t>
  </si>
  <si>
    <t>Felhalmozási célú támogatások államháztartáson belülről (2.1.+…+2.5.)</t>
  </si>
  <si>
    <t>Működési bevételek (4.1.+…+ 4.10.)</t>
  </si>
  <si>
    <t>Felhalmozási bevételek (5.1.+…+5.3)</t>
  </si>
  <si>
    <t>6.1</t>
  </si>
  <si>
    <t>6.2.-ból EU-s támogatás (közvetlen)</t>
  </si>
  <si>
    <t>Működési célú átvett pénzeszközök (6.1.)</t>
  </si>
  <si>
    <t>Felhalmozási célú átvett pénzeszközök (7.1.)</t>
  </si>
  <si>
    <t>7.2.-ból EU-s támogatás (közvetlen)</t>
  </si>
  <si>
    <t>KÖLTSÉGVETÉSI BEVÉTELEK ÖSSZESEN: (1+…+7)</t>
  </si>
  <si>
    <t>Maradvány igénybevétele (9.1. + 9.2.)</t>
  </si>
  <si>
    <t>FINANSZÍROZÁSI BEVÉTELEK ÖSSZESEN: (9+10.)</t>
  </si>
  <si>
    <t>KÖLTSÉGVETÉSI ÉS FINANSZÍROZÁSI BEVÉTELEK ÖSSZESEN: (8+11)</t>
  </si>
  <si>
    <r>
      <t xml:space="preserve">   Működési költségvetés kiadásai </t>
    </r>
    <r>
      <rPr>
        <sz val="8"/>
        <rFont val="Times New Roman CE"/>
        <family val="0"/>
      </rPr>
      <t>(13.1+…+13.5.)</t>
    </r>
  </si>
  <si>
    <t>13.4.</t>
  </si>
  <si>
    <t>13.5</t>
  </si>
  <si>
    <t>13.6.</t>
  </si>
  <si>
    <t>13.7.</t>
  </si>
  <si>
    <t>13.8.</t>
  </si>
  <si>
    <t>14.1.</t>
  </si>
  <si>
    <t>14.2.</t>
  </si>
  <si>
    <t>14.3.</t>
  </si>
  <si>
    <t>14.4.</t>
  </si>
  <si>
    <t>14.5.</t>
  </si>
  <si>
    <t>14.6.</t>
  </si>
  <si>
    <t>14.7.</t>
  </si>
  <si>
    <t xml:space="preserve"> - az 13.5-ből: - Elvonások és befizetések</t>
  </si>
  <si>
    <r>
      <t xml:space="preserve">   Felhalmozási költségvetés kiadásai </t>
    </r>
    <r>
      <rPr>
        <sz val="8"/>
        <rFont val="Times New Roman CE"/>
        <family val="0"/>
      </rPr>
      <t>(14.1.+14.3.+14.5.)</t>
    </r>
  </si>
  <si>
    <t>14.1.-ből EU-s forrásból megvalósuló beruházás</t>
  </si>
  <si>
    <t>14.3.-ból EU-s forrásból megvalósuló felújítás</t>
  </si>
  <si>
    <t>14.5.-ből   - Egyéb felhalmozási célú támogatások ÁH-n belülre</t>
  </si>
  <si>
    <t>KÖLTSÉGVETÉSI KIADÁSOK ÖSSZESEN (13+14)</t>
  </si>
  <si>
    <t xml:space="preserve">FINANSZÍROZÁSI KIADÁSOK ÖSSZESEN: </t>
  </si>
  <si>
    <t>KÖLTSÉGVETÉSI ÉS FINANSZÍROZÁSI KIADÁSOK ÖSSZESEN: (15+16)</t>
  </si>
  <si>
    <t>18.</t>
  </si>
  <si>
    <r>
      <t xml:space="preserve">   Működési költségvetés kiadásai </t>
    </r>
    <r>
      <rPr>
        <sz val="8"/>
        <rFont val="Times New Roman CE"/>
        <family val="0"/>
      </rPr>
      <t>(18.1+…+18.5.)</t>
    </r>
  </si>
  <si>
    <t>18.1.</t>
  </si>
  <si>
    <t>18.2.</t>
  </si>
  <si>
    <t>18.3.</t>
  </si>
  <si>
    <t>18.4.</t>
  </si>
  <si>
    <t>18.5</t>
  </si>
  <si>
    <t xml:space="preserve"> - az 18.5-ből: - Elvonások és befizetések</t>
  </si>
  <si>
    <t>18.7.</t>
  </si>
  <si>
    <t>18.6.</t>
  </si>
  <si>
    <t>18.8.</t>
  </si>
  <si>
    <t>18.9.</t>
  </si>
  <si>
    <t>18.10.</t>
  </si>
  <si>
    <t>18.11.</t>
  </si>
  <si>
    <t>18.12.</t>
  </si>
  <si>
    <t>18.13.</t>
  </si>
  <si>
    <t>18.14.</t>
  </si>
  <si>
    <t>18.15.</t>
  </si>
  <si>
    <t>19.</t>
  </si>
  <si>
    <r>
      <t xml:space="preserve">   Felhalmozási költségvetés kiadásai </t>
    </r>
    <r>
      <rPr>
        <sz val="8"/>
        <rFont val="Times New Roman CE"/>
        <family val="0"/>
      </rPr>
      <t>(19.1.+19.3.+19.5.)</t>
    </r>
  </si>
  <si>
    <t>19.1.-ből EU-s forrásból megvalósuló beruházás</t>
  </si>
  <si>
    <t>19.3.-ból EU-s forrásból megvalósuló felújítás</t>
  </si>
  <si>
    <t>19.5.-ből        - Garancia- és kezességvállalásból kifizetés ÁH-n belülre</t>
  </si>
  <si>
    <t>19.1.</t>
  </si>
  <si>
    <t>19.2.</t>
  </si>
  <si>
    <t>19.3.</t>
  </si>
  <si>
    <t>19.4.</t>
  </si>
  <si>
    <t>19.5.</t>
  </si>
  <si>
    <t>19.6.</t>
  </si>
  <si>
    <t>19.7.</t>
  </si>
  <si>
    <t>19.8.</t>
  </si>
  <si>
    <t>19.9.</t>
  </si>
  <si>
    <t>19.10.</t>
  </si>
  <si>
    <t>19.11.</t>
  </si>
  <si>
    <t>19.12.</t>
  </si>
  <si>
    <t>19.13.</t>
  </si>
  <si>
    <t>Tartalékok (20.1.+20.2.)</t>
  </si>
  <si>
    <t>20.1.</t>
  </si>
  <si>
    <t>20.2.</t>
  </si>
  <si>
    <t>21.</t>
  </si>
  <si>
    <t>22.</t>
  </si>
  <si>
    <t>Hitel-, kölcsöntörlesztés államháztartáson kívülre (22.1. + … + 22.3.)</t>
  </si>
  <si>
    <t>22.1.</t>
  </si>
  <si>
    <t>22.2.</t>
  </si>
  <si>
    <t>22.3.</t>
  </si>
  <si>
    <t>23.</t>
  </si>
  <si>
    <t>KÖLTSÉGVETÉSI KIADÁSOK ÖSSZESEN (18+19+20)</t>
  </si>
  <si>
    <t>Belföldi értékpapírok kiadásai (23.1. + … + 23.4.)</t>
  </si>
  <si>
    <t>23.1.</t>
  </si>
  <si>
    <t>23.2.</t>
  </si>
  <si>
    <t>23.3.</t>
  </si>
  <si>
    <t>23.4.</t>
  </si>
  <si>
    <t>24.</t>
  </si>
  <si>
    <t>24.1.</t>
  </si>
  <si>
    <t>24.2.</t>
  </si>
  <si>
    <t>24.3.</t>
  </si>
  <si>
    <t>24.4.</t>
  </si>
  <si>
    <t>25.</t>
  </si>
  <si>
    <t>Külföldi finanszírozás kiadásai (25.1. + … + 25.4.)</t>
  </si>
  <si>
    <t>25.1.</t>
  </si>
  <si>
    <t>25.2.</t>
  </si>
  <si>
    <t>25.3.</t>
  </si>
  <si>
    <t>25.4.</t>
  </si>
  <si>
    <t>26.</t>
  </si>
  <si>
    <t>27.</t>
  </si>
  <si>
    <t>KÖLTSÉGVETÉSI ÉS FINANSZÍROZÁSI KIADÁSOK ÖSSZESEN: (21+26)</t>
  </si>
  <si>
    <t>FINANSZÍROZÁSI KIADÁSOK ÖSSZESEN: (22.+…+25.)</t>
  </si>
  <si>
    <t>Belföldi finanszírozás kiadásai (24.1. + … + 24.5.)</t>
  </si>
  <si>
    <t>Irányító szervi támogatás folyósítása</t>
  </si>
  <si>
    <t>24.5.</t>
  </si>
  <si>
    <t>Más szerv. r. végz. üzemeltetési szolg. (Építményüz.)</t>
  </si>
  <si>
    <t>Támogatási c. finanszírozási műveletek</t>
  </si>
  <si>
    <t>Bűnmegelőzés</t>
  </si>
  <si>
    <t>Tűz- és katasztrófavédelmi tevékenység</t>
  </si>
  <si>
    <t>Rövid időtartamú közfoglalkoztatás</t>
  </si>
  <si>
    <t>Nem veszélyes hulladék vegyes (ömlesztett) begyűjtése, szállítása, átrakása</t>
  </si>
  <si>
    <t>Szennyvízcsatorna építése, fenntartása, üzemeltetése</t>
  </si>
  <si>
    <t>Víztermelés, - kezelés, - ellátás</t>
  </si>
  <si>
    <t>Könyvtári állomány gyarapítása</t>
  </si>
  <si>
    <t>Múzeumi gyűjteményi tevékenység</t>
  </si>
  <si>
    <t>Óvodai nevelés, ellátás működtetés feladatai</t>
  </si>
  <si>
    <t>Gyermekvédelmi pénzbeli és természetbeni ellátások</t>
  </si>
  <si>
    <t>Hajléktalanok átmeneti ellátása</t>
  </si>
  <si>
    <t>Hajléktalanok nappali ellátása</t>
  </si>
  <si>
    <t>ÁROP projekt</t>
  </si>
  <si>
    <t>Gépek, berendezések és felszerelések, járművek</t>
  </si>
  <si>
    <t>Tenyészállatok</t>
  </si>
  <si>
    <t>Tárgyi eszközök értékhelyesbítése</t>
  </si>
  <si>
    <t>Tartós részesedések</t>
  </si>
  <si>
    <t>A/I. Immateriális javak összesen</t>
  </si>
  <si>
    <t>A/II. Tárgyi eszközök összesen</t>
  </si>
  <si>
    <t>A/III. Befektetett pénzügyi eszközök összesen</t>
  </si>
  <si>
    <t>A/IV. Koncesszióba, vagyonkezelésbe adott eszközök</t>
  </si>
  <si>
    <t>B/I. Készletek</t>
  </si>
  <si>
    <t xml:space="preserve">A) Nemzeti vagyonba tartozó befektetett eszközök </t>
  </si>
  <si>
    <t xml:space="preserve">B) Nemzeti vagyonba tartozó forgóeszközök </t>
  </si>
  <si>
    <t>C) Pénzeszközök</t>
  </si>
  <si>
    <t>D/I. Költségvetési évben esedékes követelések</t>
  </si>
  <si>
    <t>D/II. Költségvetési évet követően esedékes követelések</t>
  </si>
  <si>
    <t>D/III. Követelés jellegű sajátos elszámolások</t>
  </si>
  <si>
    <t>D) Követelések</t>
  </si>
  <si>
    <t>E) Egyéb sajátos eszközoldali elszámolások</t>
  </si>
  <si>
    <t>F/1 Eredményszemléletű bevételek aktív időbeli elhatárolása</t>
  </si>
  <si>
    <t>F/2 Költségek, ráfordítások aktív időbeli elhatárolása</t>
  </si>
  <si>
    <t>F/3 Halasztott ráfordítások</t>
  </si>
  <si>
    <t>F) Aktív időbeli elhatárolások</t>
  </si>
  <si>
    <t>G/I. Nemzeti vagyon induláskori értéke</t>
  </si>
  <si>
    <t>G/II. Nemzeti vagyon változásai</t>
  </si>
  <si>
    <t>G/III. Egyéb eszközök induláskori értéke és változásai</t>
  </si>
  <si>
    <t>G/IV. Felhalmozott eredmény</t>
  </si>
  <si>
    <t>G/V. Eszközök értékhelyesbítésének forrása</t>
  </si>
  <si>
    <t>G/VI. Mérleg szerinti eredmény</t>
  </si>
  <si>
    <t>G) Saját tőke</t>
  </si>
  <si>
    <t>H/I. Költségvetési évben esedékes kötelezettségek</t>
  </si>
  <si>
    <t>H/II. Költségvetési évet követően esedékes kötelezettségek</t>
  </si>
  <si>
    <t>H) Kötelezettségek</t>
  </si>
  <si>
    <t>H/III. Kötelezettség jellegű sajátos elszámolások</t>
  </si>
  <si>
    <t>KUNSÁG-HALAS Hulladékgazdálkodási Nonprofit Kft.</t>
  </si>
  <si>
    <t>Maradványból képzett tartalék képzése</t>
  </si>
  <si>
    <t>Céltartalék (felhalmozási)</t>
  </si>
  <si>
    <t>Irányító szervi (önkormányzati) támogatás</t>
  </si>
  <si>
    <t>Viziközmű fejlesztés - Batthyány u. 15. sz. előtti tűzcsap korszerűsítés</t>
  </si>
  <si>
    <t>Radnóti utcai óvoda épület -kazánház kialakítás,fűtésrendszer átalakítás</t>
  </si>
  <si>
    <t>Le: Intézmény finanszírozás</t>
  </si>
  <si>
    <t>KÖLTSÉGVETÉSI ÉS FINANSZÍROZÁSI KIADÁSOK ÖSSZESEN - Intézményfinanszírozás nélkül: (21+26)</t>
  </si>
  <si>
    <t>KÖLTSÉGVETÉSI ÉS FINANSZÍROZÁSI BEVÉTELEK ÖSSZESEN - Intézményfinanszírozás nélkül: (21+26)</t>
  </si>
  <si>
    <t>17/A.</t>
  </si>
  <si>
    <t>17/B.</t>
  </si>
  <si>
    <t>27/A.</t>
  </si>
  <si>
    <t>27/B.</t>
  </si>
  <si>
    <t>A központi költségvetésből támogatásként rendelkezésre bocsátott összeg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</si>
  <si>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</si>
  <si>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</si>
  <si>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Eltérés (C+D)-B</t>
  </si>
  <si>
    <t xml:space="preserve"> Ft-ban</t>
  </si>
  <si>
    <t>Települési önkormányzatok nyilvános könyvtári és közművelődési feladatainak támogatása</t>
  </si>
  <si>
    <t>Költségvetési törvény alapján feladatátvétellel/feladatátadással korrigált támogatás</t>
  </si>
  <si>
    <t>Tényleges támogatás</t>
  </si>
  <si>
    <t>Évvégi eltérés (+,-) mutatószám szerinti támogatás (E-(B+C+D))</t>
  </si>
  <si>
    <t>Az önkormányzat által az adott célra dec. 31-ig ténylegesen felhasznált összeg</t>
  </si>
  <si>
    <t>Eltérés (támogatásban és felhasználás szerint) (F-(E-G))</t>
  </si>
  <si>
    <t>III.3. Egyes szociális és gyermekjóléti feladatok támogatása</t>
  </si>
  <si>
    <t>III.5. Gyermekétkeztetés támogatása</t>
  </si>
  <si>
    <t>Forint</t>
  </si>
  <si>
    <t>01  Alaptevékenység költségvetési bevételei</t>
  </si>
  <si>
    <t>02  Alaptevékenység költségvetési kiadásai</t>
  </si>
  <si>
    <t>I.  Alaptevékenység költségvetési egyenlege (=01-02)</t>
  </si>
  <si>
    <t>03  Alaptevékenység finanszírozási bevételei</t>
  </si>
  <si>
    <t>04  Alaptevékenység finanszírozási kiadásai</t>
  </si>
  <si>
    <t>II.  Alaptevékenység finanszírozási egyenlege (=03-04)</t>
  </si>
  <si>
    <t>A)  Alaptevékenység maradványa(=+- I +- II )</t>
  </si>
  <si>
    <t>05  Vállalkozási tevékenység költségvetési bevételei</t>
  </si>
  <si>
    <t>06  Vállalkozási tevékenység költségvetési kiadásai</t>
  </si>
  <si>
    <t>III.  Vállalkozási tevékenység költségvetési egyenlege (=05-06)</t>
  </si>
  <si>
    <t>07  Vállalkozási tevékenység finanszírozási bevételei</t>
  </si>
  <si>
    <t>08  Vállalkozási tevékenység finanszírozási kiadásai</t>
  </si>
  <si>
    <t>IV.  Vállalkozási tevékenység finanszírozási egyenlege (=07-08)</t>
  </si>
  <si>
    <t>B)  Vállalkozási tevékenység maradványa(=+- III +- IV )</t>
  </si>
  <si>
    <t>C)  Összes maradvány(=A+B)</t>
  </si>
  <si>
    <t>D)  Alaptevékenység kötelezettségvállalással terhelt maradványa</t>
  </si>
  <si>
    <t>E)  Alaptevékenység szabad maradványa (=A-D)</t>
  </si>
  <si>
    <t>F)  Vállalkozási tevékenységet terhelő befizetési kötelezettség  (=B*0,1)</t>
  </si>
  <si>
    <t>G)  Vállalkozási tevékenység felhasználható maradványa (=B-F)</t>
  </si>
  <si>
    <t>Jánoshalma Város Önkormányzat 2015. évi költségvetésének teljesítése</t>
  </si>
  <si>
    <t>Telep. önk-ok szociális és gyerm.jóléti, gyerm.étk. feladatainak tám.</t>
  </si>
  <si>
    <t>Működési célú költségvet. támogatások és kiegészítő tám.</t>
  </si>
  <si>
    <t>Elszámolásból származó bevételek</t>
  </si>
  <si>
    <t>utak használata ellenében beszedett haszn. díj, pótd. elektr. útdíj</t>
  </si>
  <si>
    <t xml:space="preserve">Kamatbevételek 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</si>
  <si>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</si>
  <si>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</si>
  <si>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</si>
  <si>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</si>
  <si>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Műk. c. visszatérítendő támogatások, kölcsönök vtérülése EU-tól</t>
  </si>
  <si>
    <t>Műk. c. visszatérítendő támogatások, kölcsönök vtérülése kormányoktól és más nemz. szervezetektől</t>
  </si>
  <si>
    <t>B64</t>
  </si>
  <si>
    <t>külföldi szervezetek, személyek</t>
  </si>
  <si>
    <t>B65</t>
  </si>
  <si>
    <t>Felhalm. c. v.térítendő támogatások, kölcsönök vtérülése EU-tól</t>
  </si>
  <si>
    <t>Felhalm. c. v.térítendő támogatások, kölcsönök vtérülése kormányoktól</t>
  </si>
  <si>
    <t>B74</t>
  </si>
  <si>
    <t>B75</t>
  </si>
  <si>
    <t>Hosszú lejáratú hitelek, kölcsönök felvétele pü-i vállalkozástól</t>
  </si>
  <si>
    <t>Rövid lejáratú hitelek, kölcsönök felvétele pü-i vállalkozástól</t>
  </si>
  <si>
    <t>Lekötött bankbetétek megszüntetése</t>
  </si>
  <si>
    <t>B819</t>
  </si>
  <si>
    <t>Tulajdonosi kölcsönök bevételei</t>
  </si>
  <si>
    <t>B84</t>
  </si>
  <si>
    <t>Váltóbevételek</t>
  </si>
  <si>
    <t>rendszeres szociális segély</t>
  </si>
  <si>
    <t>közgyógyellátás</t>
  </si>
  <si>
    <t>települési támogatás</t>
  </si>
  <si>
    <t>köztemetés</t>
  </si>
  <si>
    <t>K513</t>
  </si>
  <si>
    <t>Létszámleép. kapcs. fiz. kötelezettségek tartaléka</t>
  </si>
  <si>
    <t>Fejlesztési c. tartalék- Eü-i Közp. kölcsön visszafiz.</t>
  </si>
  <si>
    <t>Műk. célú garancia- és kezességvállalásból szárm. kif. Államháztartáson belülre</t>
  </si>
  <si>
    <t>Egyéb műk. c. támogatások az EU-nak</t>
  </si>
  <si>
    <t>Felhalmozási c. támogatások az EU-nak</t>
  </si>
  <si>
    <t>K89</t>
  </si>
  <si>
    <t>KIADÁSOK</t>
  </si>
  <si>
    <t>3.1. Készletértékesítés ellenértéke</t>
  </si>
  <si>
    <t>3.8. Kamatbevételek</t>
  </si>
  <si>
    <t>3.9. Egyéb pénzügyi műveletek bevételei</t>
  </si>
  <si>
    <t>3.10. Biztosító által fizetett kártérítés</t>
  </si>
  <si>
    <t>3.11. Egyéb működési bevételek</t>
  </si>
  <si>
    <t>1.2. Felh. c. visszatérítendő tám. kölcs. vtérülése ÁH-on belülről</t>
  </si>
  <si>
    <t>III. Előző évek maradványának (költségvetési) igénybevétele</t>
  </si>
  <si>
    <t xml:space="preserve">Jánoshalma Város Önkormányzat 2015. évi költségvetésének teljesítése </t>
  </si>
  <si>
    <t>Jánoshalma Város Önkormányzat 2015. évi költségvetésének</t>
  </si>
  <si>
    <t>2015. évi</t>
  </si>
  <si>
    <t>Köztemető-fenntartás és működtetés</t>
  </si>
  <si>
    <t>Start-munkaprogram - Téli közfogl. 2014. évről áthúzódó</t>
  </si>
  <si>
    <t>Start-munkaprogram - Téli közfogl. 2015. évben induló</t>
  </si>
  <si>
    <t>Parkoló, garázs üzemeltetése, fenntartása</t>
  </si>
  <si>
    <t>Művészeti tevékenységek (IPA )</t>
  </si>
  <si>
    <t>Időskorúak, demens betegek  tartós bentlakásos ellátása</t>
  </si>
  <si>
    <t>Idősek, demens betegek nappali ellátása</t>
  </si>
  <si>
    <t>Egyéb szociális pénzbeli ellátások, támogatások</t>
  </si>
  <si>
    <t>Fejezeti és általános tartalékok elszámolása</t>
  </si>
  <si>
    <t>Vállalkozási tevékenység- növénytermesztés és kapcs. szolg.</t>
  </si>
  <si>
    <t>2015. évi intézményfinanszírozás előirányzata és teljesítése intézményenként</t>
  </si>
  <si>
    <t>2015. évi felhalmozási kiadásai feladatonként, felújítási kiadásai célonként</t>
  </si>
  <si>
    <t>Dózsa Gy. utcai parkoló kialakítása</t>
  </si>
  <si>
    <t>Tárgyi eszköz beszerzések (oxigénpalack) - Háziorvosi ügyeleti ellátás részére</t>
  </si>
  <si>
    <t>2015. évben induló START  munkaprogramok tárgyi eszköz beszerzései és járdaépítés</t>
  </si>
  <si>
    <t>Főtérre 3 db új kamera beállítása, a rendszer sávszélesség növelése</t>
  </si>
  <si>
    <t>Ingatlan vásárlás</t>
  </si>
  <si>
    <t xml:space="preserve"> Közfoglalkoztatási Nonprofit Kft. alapítása - 3 millió Ft törzstőke jegyzése</t>
  </si>
  <si>
    <t>Jánoshalma, Arany J. u. 13. sz. alatti ingatlanrész felújítása - bérleti díj beszámítást meghaladó kiadás</t>
  </si>
  <si>
    <t>Téglagyár u-i zárt csapadékvíz rendszer felújítása</t>
  </si>
  <si>
    <t>Kölcsey u. 12. sz. helyiség felújítás 2015-ben induló START munkaprogram keretében</t>
  </si>
  <si>
    <t>KEOP-4.10.0/C/12-2013-0048 "Napenergia hasznosítása villamos energia előállítására a Jánoshalmi ipari területen" c. projekt beruházási kiadásai</t>
  </si>
  <si>
    <t>Informatikai és egyéb tárgyi eszköz beszerzések (légzésfigyelő, csecsemőmérlegek, vérnyomásmérők, notebook, windows 7, HDD, Notebook RAM, adapter) - Család- és nővédelmi eü. gondozás részére</t>
  </si>
  <si>
    <t>KEOP-4.10.0/A/12-2013-0726 "Imre Zoltán Művelődési Központ villamosenergia megtakarítását eredményező napelemes fejlesztés" c. projekt beruházási kiadásai</t>
  </si>
  <si>
    <t>2015. évi közművelődési érdekeltségnövelő támogatás - eszközbeszerzés</t>
  </si>
  <si>
    <t>Álló csikkgyűjtő beszerzése</t>
  </si>
  <si>
    <t>Család- és Gyermekjóléti Központ kialakítása</t>
  </si>
  <si>
    <t>Pénzügyi osztály Kölcsey u. 12. sz. alatti elhelyezésének kialakítása</t>
  </si>
  <si>
    <t>Ivókutak beszerzése, kiépítése, szúnyoghálós ajtó, gázbojler csere</t>
  </si>
  <si>
    <t>Biztos Kezdet Nyitnikék Gyerekház - kisértékű tárgyi eszközök beszerzése</t>
  </si>
  <si>
    <t>Jánoshalma Vízmű gépház csapadékvíz elvezetésének felújítása</t>
  </si>
  <si>
    <t>Kémények felújítása - Petőfi utcai óvoda</t>
  </si>
  <si>
    <t>Egyéb  felhalmozási célú kiadások</t>
  </si>
  <si>
    <t>IPA Határon Átnyúló Projekt FAB (Magyarország - Szerbia) -Hazai támogatási előleg elszámolása miatti visszafizetési kötelezettség</t>
  </si>
  <si>
    <t>Céltartalék- viziközművek 2015. évi bérleti díj bevételéből és az előző évek bérleti díj maradványából (szerződés szerint viziközművek fejlesztésére fordítandó a szolgáltatóval történő egyeztetés alapján)</t>
  </si>
  <si>
    <t>Tárgyi eszköz beszerzések Diákélelmezési Konyha részére (1 db szeletelő)</t>
  </si>
  <si>
    <t>Polgármesteri Hivatal elhelyezésének tervezési munkái (103/2015.(V.28.) Kt)</t>
  </si>
  <si>
    <t>Zászlók készíttetése (181/2015.(X.22) Kt.)</t>
  </si>
  <si>
    <t>Sportcsarnok napkollektoros rendszeréhez hőmennyiségmérő beszerzése (72/2015.(IV.29) Kt.)</t>
  </si>
  <si>
    <t>Sportcsarnok küzdőtér parketta felújítás (101/2015. (V.28) Kt. )</t>
  </si>
  <si>
    <t>Mentőállomás kerítés építés (148/2015. (VII.02.) Kt.)</t>
  </si>
  <si>
    <t>Műfüves pálya kialakítása (talajmechanikai szakvélemény) - (168/2015. (X.08.) Kt. )</t>
  </si>
  <si>
    <t>Ivóvízminőség-javító beruházás átmeneti finanszírozásához felhalmozási c. kölcsön nyújtása Jánoshalma- Mélykút Ivóvízminőségjavító Önkormányzati Társulás részére (185/2015. (X.22.) Kt.)</t>
  </si>
  <si>
    <t>Bernáth Z. u. 44. sz. alatti ingatlanban ingatlanrész megvásárlása (109,110,111/2015. (V.28.) Kt. )</t>
  </si>
  <si>
    <t>Tárgyi eszköz beszerzések (monitor, 3 db új habbal oltó) - Tűzoltóság</t>
  </si>
  <si>
    <t>Biztos Kezdet Nyitnikék Gyerekház pályázati támogatás - eszközbeszerzés (utazóágy, villanytűzhely, konyha elem, notebook)</t>
  </si>
  <si>
    <t>Tárgyi eszköz beszerzések (sarokcsiszoló, sövényvágó, CO jelző, takarítógép, gyermekbútor)</t>
  </si>
  <si>
    <t>Helyi adók és adójellegű bevételek, gépjárműadó önk.-ot megillető része, egyéb közhatalmi bevételek</t>
  </si>
  <si>
    <t>Ingatlanvagyon-összesítő 2015. év</t>
  </si>
  <si>
    <t>Üzemeltetésre, vagyonkezelésbe adott ingatlanok</t>
  </si>
  <si>
    <t>2015. évi Maradványkimutatás költségvetési szervenként</t>
  </si>
  <si>
    <t xml:space="preserve">Átmeneti ivóvízellátás biztosításával kapcsolatos költségek finanszírozásának támogatása </t>
  </si>
  <si>
    <t>Az önkormányzat által az adott célra ténylegesen felhasznált összeg (2015-ben)</t>
  </si>
  <si>
    <t>Az önkormányzat által fel nem használt, de a következő (2016) évben jogszerűen felhasználható összeg</t>
  </si>
  <si>
    <t>Óvodai, iskolai és utánpótlás sport infrastruktúra-fejlesztés felújítás</t>
  </si>
  <si>
    <t>Közművelődési érdekeltségnövelő támogatás</t>
  </si>
  <si>
    <t>Helyi önkormányzatok kiegészítő támogatásai összesen (1+…+6)</t>
  </si>
  <si>
    <t>A 2014. évről áthúzódó bérkompenzáció támogatása</t>
  </si>
  <si>
    <t>A köznevelési intézmények működtetéséhez kapcsolódó támogatás</t>
  </si>
  <si>
    <t>Pénzbeli szociális ellátások kiegészítése</t>
  </si>
  <si>
    <t>A települési önkormányzatok szociális feladatainak egyéb támogatása</t>
  </si>
  <si>
    <t>A települési önkormányzatok könyvtári célú érdekeltségnövelő támogatása</t>
  </si>
  <si>
    <t>A költségvetési szerveknél foglalkoztatottak 2015. évi kompenzációja (1059/2015. (III.18) Korm. hat.)</t>
  </si>
  <si>
    <t>A család- és gyermekjóléti központok egyszeri támogatása (1838/2015. (XI.24.) Korm. hat.)</t>
  </si>
  <si>
    <t xml:space="preserve">2015. évi kiegészítő támogatásainak és egyéb kötött felhasználású támogatásainak elszámolása </t>
  </si>
  <si>
    <t>Általános, köznevelési és szociális feladataihoz kapcsolódó támogatások elszámolása</t>
  </si>
  <si>
    <t>2015. év</t>
  </si>
  <si>
    <t>Május 15.</t>
  </si>
  <si>
    <t>Október 1.</t>
  </si>
  <si>
    <t>I.1. A települési önkormányzatok működésének támogatása</t>
  </si>
  <si>
    <t>II. A települési önkormányzatok egyes köznevelési feladatainak támogatása, a II.4.  és II.5. jogcímek kivételével</t>
  </si>
  <si>
    <t>II.5. Kiegészítő támogatás az óvodapedagógusok minősítéséből adódó többletfeladatokhoz</t>
  </si>
  <si>
    <t>Felhalmozási célú kölcsönök visszatérülése államháztartáson belülről</t>
  </si>
  <si>
    <t>2014. évi beszámolóban szereplő nyilvántartási érték</t>
  </si>
  <si>
    <t>2015. december 31-én elszámolt értékvesztés</t>
  </si>
  <si>
    <t>2015. évben visszaírt értékvesztés</t>
  </si>
  <si>
    <t>Jánoshalmi Közfoglalkoztatási Non-profit Kft Jánoshalma</t>
  </si>
  <si>
    <t>Jánoshalma város eljárási illeték bankszámla záró egyenlege</t>
  </si>
  <si>
    <t>Jánoshalma város idegen bevételek elsz. bankszámla záró egyenlege</t>
  </si>
  <si>
    <t>Államháztartáson belüli megelőlegezés összege</t>
  </si>
  <si>
    <t>Szállítói kötelezettségek (24 db számla)</t>
  </si>
  <si>
    <t>Kötelezettség ellátottak pénzbeli juttatásaira (köztemetési költségek megtérítése Kiskunhalas Városi Önkormányzat részére)</t>
  </si>
  <si>
    <t>Rehabilitációs hozzájárulás fizetési kötelezettség (2015. IV. n. év)</t>
  </si>
  <si>
    <t>Védőnők OEP finanszírozás maradványa - működési c. céltartalék</t>
  </si>
  <si>
    <t>Védőnők 2015. évi OEP finanszírozás maradványa (terv és tényadatok alapján)</t>
  </si>
  <si>
    <t>2015. évi Közművelődési érdekeltségnövelő támogatás (önerővel)</t>
  </si>
  <si>
    <t xml:space="preserve">A család- és gyermekjóléti központok kialakításának egyszeri támogatása </t>
  </si>
  <si>
    <t>Polgármesteri Hivatal átalakítása, hozzáépítés- Sándorfi Tervezőiroda kiviteli terv</t>
  </si>
  <si>
    <t>Telep. önkormányzatok szociális feladatainak egyéb támogatása -2015. évi tám. elszámolása miatti v.fizetendő összeg</t>
  </si>
  <si>
    <t>Pénzbeli szociális ellátások kiegészítése - 2015. évi tám. elszámolása miatti v.fizetendő összeg</t>
  </si>
  <si>
    <t>Alaptevékenység kötelezettségvállalással terhelt maradványa mindösszesen:</t>
  </si>
  <si>
    <t>Kimutatás az alaptevékenység  2015. évi maradványát terhelő kötelezettségekről</t>
  </si>
  <si>
    <t>ÁFA befizetési kötelezettség (2015. év)</t>
  </si>
  <si>
    <t>73/2015. (IV.29) Kt. hat. Suzuki Vitara Allgrip Pr. 1,6 típusú terepjáró beszerz. - pály. önrész</t>
  </si>
  <si>
    <t>Védőnők 2015. évi OEP-finanszírozásának maradványa</t>
  </si>
  <si>
    <t>Védőnők 2014. évi OEP-finanszírozás maradványa</t>
  </si>
  <si>
    <t>Védőnők  OEP-finanszírozásának maradványa előző évekről</t>
  </si>
  <si>
    <t>Védőnők irodahelyiségének, tanácsadó helyiségének áramfogyasztása</t>
  </si>
  <si>
    <t>Védőnők 2015. évi eszközbeszerzése</t>
  </si>
  <si>
    <t>Környezetvédelmi alap képzése a 2015. évre tervezett talajterhelési díj bevételből</t>
  </si>
  <si>
    <t>Létszámleépítésekhez kapcsolódó fizetési kötelezettségek tartalék képzése</t>
  </si>
  <si>
    <t>Köztemetés kiadásai</t>
  </si>
  <si>
    <t>EPER program rendszerkövetési szolgáltatás díja</t>
  </si>
  <si>
    <t>179/2015.(X.22.) Kt. hat. Naperőmű felügyeleti és karbantartási díja és a felügyelethez szükséges eszköz beszerzése</t>
  </si>
  <si>
    <t>180/2015.(X.22.) Kt. hat. Naperőmű elektronikus védelme</t>
  </si>
  <si>
    <t>Bernáth Z. u. 44.sz. alatti ingatlanban ingatlanrész megvásárlása</t>
  </si>
  <si>
    <t>Műfüves pálya kialakítása</t>
  </si>
  <si>
    <t>Szociális étkeztetés szolgáltatás kiadásai</t>
  </si>
  <si>
    <t>46/2015.(II.26.) Kt. hat. 2015. évi hosszabb időtartamú közf. - önerő</t>
  </si>
  <si>
    <t>47/2015.(II.26.) Kt. hat. Százszorszépföld Egyesülethez való csatlakozás - tagdíj</t>
  </si>
  <si>
    <t>Ellátottak juttatásai - kiegészítő támogatások (FHT, RSZS) rendezése</t>
  </si>
  <si>
    <t xml:space="preserve">Topolyai Kodály Z. MMK Cirkalom Néptáncegyüttesének utiköltsége (márc. 15-i rendezvény) </t>
  </si>
  <si>
    <t>2015-ben induló START - munkaprogram önerő visszavezetés</t>
  </si>
  <si>
    <t>61/2015. (III.26) Kt. hat. Bács-Szakma Zrt. Önkormányzati tulajdonrész értékesítése</t>
  </si>
  <si>
    <t>72/2015. (IV.29) Kt. hat.Sportcsarnok napkollektoros rendszerhez hőmennyiségmérő beszerz.</t>
  </si>
  <si>
    <t>100/2015. (V.28) Kt. hat. Belterületi utak, járdák felújítása - pályázati önerő</t>
  </si>
  <si>
    <t>101/2015. (V.28) Kt. hat Sportcsarnok küzdőtér parketta felújítás - pályázati önerő</t>
  </si>
  <si>
    <t>104/2015. (V.28) Kt. hat. Jánoshalmi Napok költségkeret</t>
  </si>
  <si>
    <t>Önkormányzati intézmények elvont 2014. évi szabad költségvetési maradványának tartalékba helyezése</t>
  </si>
  <si>
    <t>Gyermeklánc Óvoda és Egységes Óvoda-Bölcsőde fejlesztési igénye</t>
  </si>
  <si>
    <t>Folyószámla hitel járulékos költségei</t>
  </si>
  <si>
    <t>Európa Bajnokságon való részvétel támogatása</t>
  </si>
  <si>
    <t>Nyári diákmunka program - foglalkozás egészségügyi vizsgálat</t>
  </si>
  <si>
    <t>Hatályos településrendezési terv módosítása</t>
  </si>
  <si>
    <t>Mentőállomás kerítés építés</t>
  </si>
  <si>
    <t>184/2015. (X.22) Kt. hat. Pelikán Kft. ellátási szerződésének módosítása</t>
  </si>
  <si>
    <t>186/2015. (X.22) Kt. hat. Ivóvízminőség-javító beruházás finanszírozása</t>
  </si>
  <si>
    <t>Közmunkaprogramok 2014. év végi előlegének elszámolása</t>
  </si>
  <si>
    <t>Közmunkaprogramok előirányzat rendezése</t>
  </si>
  <si>
    <t>Jánoshalma Város közbiztonsága javítása érdekében kamerarendszer kiépítése - LEADER projekt támogatása</t>
  </si>
  <si>
    <t>Gyermekétkeztetés feltételeit javító fejlesztések pályázati önerőből tartalék képzés (a pályázat nem nyert támogatást)</t>
  </si>
  <si>
    <t>Belterületi utak, járdák, hidak felújítása pályázati önerőből tartalék képzés  (a pályázat nem nyert támogatást)</t>
  </si>
  <si>
    <t>Suzuki Vitara személygépjármű beszerzés pályázati önerőből tartalék képzés (a pályázat nem nyert támogatást)</t>
  </si>
  <si>
    <t>Óvodapedagógusok bértámogatásához kapcs. mutatószám csökkenés miatti állami támogatás csökkenés</t>
  </si>
  <si>
    <t>IPA Határon Átnyúló Együttműködési Program - 2015. évi fennmaradó rész</t>
  </si>
  <si>
    <t>218/2015.(XII.10) Kt. hat. Városi kamerarendszer meghibásodott elemeinek cseréje</t>
  </si>
  <si>
    <t>Álló csikkgyűjtő beszerzés</t>
  </si>
  <si>
    <t>103/2015. (V.28) Kt. hat. Polgármesteri Hivatal elhelyezése</t>
  </si>
  <si>
    <t>2014. évi állami támogatások elszámolása alapján visszafizetendő különbözet</t>
  </si>
  <si>
    <t>2014. évi állami támogatások elszámolásának kamat terhe</t>
  </si>
  <si>
    <t>2013. évi állami támogatások elszámolásának felülvizsgálatakor megállapított visszafizetési kötelezettség</t>
  </si>
  <si>
    <t xml:space="preserve">Maradványt terhelő kötelezettségek </t>
  </si>
  <si>
    <t>Imre Z. Műv. Közp. - napelemes fejlesztés tervezés, kivitelezés</t>
  </si>
  <si>
    <t>Ingatlan értékesítés miatti befizetendő Áfa</t>
  </si>
  <si>
    <t>2014. december havi Áfa befizetési kötelezettség</t>
  </si>
  <si>
    <t xml:space="preserve">Céltartalék - viziközművek 2015. évi bérleti díj bevételéből (szerződés szerint viziközművek fejlesztésére fordítandó a szolgáltatóval történő egyeztetés alapján) </t>
  </si>
  <si>
    <t>Jánoshalma Városi Önkormányzat</t>
  </si>
  <si>
    <t>2015. évi tartalékok felhasználása</t>
  </si>
  <si>
    <t>2016-ban esedékes törlesztés</t>
  </si>
  <si>
    <t>a 2015. december 31-i állapot szerint</t>
  </si>
  <si>
    <t>Jánoshalma Város Önkormányzat visszatérítendő támogatás, kölcsönállománya lejárat szerinti bontásban</t>
  </si>
  <si>
    <t>Visszatérítendő támogatás (Jánoshalmi Kistérségi Társulás)</t>
  </si>
  <si>
    <t>J) Passzív időbeli elhatárolások</t>
  </si>
  <si>
    <t>J/1. Eredményszemléletű bevételek passzív időbeli elhatárolása</t>
  </si>
  <si>
    <t>J/2. Költségek, ráfordítások passzív időbeli elhatárolása</t>
  </si>
  <si>
    <t>J/3. Halasztott eredményszemléletű bevételek</t>
  </si>
  <si>
    <t>Jánoshalma Város Önkormányzat 2015. évi teljesített bevételei és kiadásai működési és felhalmozási célú bontásban</t>
  </si>
  <si>
    <t>3.10 Biztosító által fizetett kártérítés</t>
  </si>
  <si>
    <t>Polgármesteri Hivatal  2015. évi zárszámadásának pénzügyi és létszám mérlege</t>
  </si>
  <si>
    <t>Önkormányzatok szociális és gyermekjóléti, gyermekétkeztetési  feladatainak támogatása</t>
  </si>
  <si>
    <t>Működési célú költségvetési tám. és kieg. támogatások</t>
  </si>
  <si>
    <t>Műk. célú visszatérítendő támogatások, kölcsönök igénybev. ÁH-n belülről</t>
  </si>
  <si>
    <t>Egyéb működési célú támogatások bevételei ÁH-on belülről</t>
  </si>
  <si>
    <t>Egyéb felhalmozási célú támogatások bevételei ÁH-on belülről</t>
  </si>
  <si>
    <t>Vagyoni típusú adók</t>
  </si>
  <si>
    <t>Egyéb áruhasználati és szolgáltatási adók (talajterhelési díj)</t>
  </si>
  <si>
    <t>5.11.</t>
  </si>
  <si>
    <t>Elszámolásból származó bevételel</t>
  </si>
  <si>
    <t xml:space="preserve">  </t>
  </si>
  <si>
    <t>2015. évi zárszámadási rendelet számszaki táblázatai</t>
  </si>
  <si>
    <t>Jh. város Önkorm. 2015. évi ktgv.-nek teljesítése BEVÉTELEK</t>
  </si>
  <si>
    <t>Jh. város Önkorm. 2015. évi ktgv.-nek teljesítése KIADÁSOK</t>
  </si>
  <si>
    <t>Jh. város Önkorm. 2015. évi ktgv.-nek teljesítése (mérlegszerű ---&gt; előirányzati és teljesítési adatokkal)</t>
  </si>
  <si>
    <t>Jh. város Önkorm. 2015. évi ktgv.-nek teljesítése intézményenként</t>
  </si>
  <si>
    <t>Jh. város Önkorm. 2015. évi ktgv.-nek teljesítése intézményenként BEVÉTELEK</t>
  </si>
  <si>
    <t>Jh. város Önkorm. 2015. évi ktgv.-nek teljesítése intézményenként KIADÁSOK</t>
  </si>
  <si>
    <t>Jh. város Önkorm. mindösszesen - 2015. évi zárszámadás pénzügyi mérlege</t>
  </si>
  <si>
    <t>7/a</t>
  </si>
  <si>
    <t>Jh. helyi önkormányzat - 2015. évi zárszámadás pénzügyi mérlege</t>
  </si>
  <si>
    <t xml:space="preserve">7/b </t>
  </si>
  <si>
    <t>7/c</t>
  </si>
  <si>
    <t>Jh. Polgármesteri Hivatal - 2015. évi zárszámadás pénzügyi mérlege</t>
  </si>
  <si>
    <t>Jh. város Önkorm. 2015. évi intézményfinanszírozás előirányzata és telj. Intézményenként</t>
  </si>
  <si>
    <t>Jh. város Önkorm. 2015. évi felhalmozási kiadásai feladatonként, felújítási kiadásai célonként</t>
  </si>
  <si>
    <t>Jh. város Önkorm. 2015. évi teljesített bevételei és kiadásai működési és felhalmozási célú bontásban (mérlegszerű ----&gt; csak teljesítési adatokkal)</t>
  </si>
  <si>
    <t>Kimutatás Jh. város Önkorm. 2015. évi vagyonáról (mérleg)</t>
  </si>
  <si>
    <t>Jh. város Önkorm. 2015. évi maradvány kimutatás költségvetési szervenként</t>
  </si>
  <si>
    <t>15/a</t>
  </si>
  <si>
    <t>Jh. város Önkorm. kimutatás a 2015. évi maradványt terhelő kötelezettségekről</t>
  </si>
  <si>
    <t>A 2015. évi költségvetésben tervezett, EU-forrásból finanszírozott támogatással megvalósuló projektek kiadásai, a helyi önkormányzat ilyen projektekhez történő hozzájárulásai</t>
  </si>
  <si>
    <t>Jh. város Önkorm. kölcsönállománya lejárat szerinti bontásban a 2015. december 31-i állapot szerint</t>
  </si>
  <si>
    <t>Jh. város Önkorm. tartalékok felhasználása 2015. év</t>
  </si>
  <si>
    <t>Jh. város Önkorm. - A 2015. évi általános, köznevelési és szociális feladataihoz kapcsolódó támogatások elszámolása</t>
  </si>
  <si>
    <t>Jh. város Önkorm. - 2015. évi kiegészítő támogatásainak és egyéb kötött felhasználású támogatásainak elszámolása</t>
  </si>
  <si>
    <t>2015. költségvetésben tervezett, EU-forrásból finanszírozott  támogatással megvalósuló projektek kiadásai, a helyi önkormányzat ilyen projektekhez történő hozzájárulásai</t>
  </si>
  <si>
    <t xml:space="preserve">Támogatási szerződés szerinti bevételek, kiadások  (eFt)     </t>
  </si>
  <si>
    <t xml:space="preserve">2015. évi költségvetésben tervezett bevételi előirányzatok (eFt)    </t>
  </si>
  <si>
    <t xml:space="preserve">2015. évi költségvetésben tervezett kiadási előirányzatok (eFt)    </t>
  </si>
  <si>
    <t>Összesen</t>
  </si>
  <si>
    <t>évenkénti üteme</t>
  </si>
  <si>
    <t>2011. év</t>
  </si>
  <si>
    <t>2012. év</t>
  </si>
  <si>
    <t>2013. év</t>
  </si>
  <si>
    <t>2014. év</t>
  </si>
  <si>
    <t>Jánoshalma Város Polgármesteri Hivatalának szervezetfejlesztése II. (ÁROP-1.A.5-2013-2013-0111)</t>
  </si>
  <si>
    <t>Saját erő</t>
  </si>
  <si>
    <t>EU-s forrás</t>
  </si>
  <si>
    <t>Források összesen</t>
  </si>
  <si>
    <t>Beruházási kiadások (elszámolható)</t>
  </si>
  <si>
    <t>Beruházási kiadások (nem elszámolható)</t>
  </si>
  <si>
    <t>Bér + járulék kiadások (elszámolható)</t>
  </si>
  <si>
    <t>Dologi kiadások (elszámolható)</t>
  </si>
  <si>
    <t>Dologi kiadások (nem elszámolható)</t>
  </si>
  <si>
    <t>Kiadások összesen</t>
  </si>
  <si>
    <t>Szennyvíz-csatornázási és szennyvíztisztítási beruházás (KEOP-1.2.0/2F/09-2010-0029)</t>
  </si>
  <si>
    <t>Saját erő -  elszámolható</t>
  </si>
  <si>
    <t>Saját erő  - nem elszámolható</t>
  </si>
  <si>
    <t>EU-s forrás és hazai együtt</t>
  </si>
  <si>
    <t>Egyéb forrás (ÁFA visszatérülés)</t>
  </si>
  <si>
    <t>Fizetendő ÁFA</t>
  </si>
  <si>
    <t>Napenergia hasznosítása villamos energia előállítására a Jh-i ipari területen (KEOP-4.10.0/C/12-2013-0048)</t>
  </si>
  <si>
    <t xml:space="preserve">Saját erő </t>
  </si>
  <si>
    <t>Imre Zoltán Műv. Kp. villamosenergia megtakarítását eredményező napelemes fejlesztés (KEOP-4.10.0/A/12-2013-0726)</t>
  </si>
  <si>
    <t xml:space="preserve">  IPA Határon Átnyúló Projekt FAB (Magyarország-Szerbia) - Jánoshalma Város Önkormányzat </t>
  </si>
  <si>
    <t>EUR</t>
  </si>
  <si>
    <t>eFt</t>
  </si>
  <si>
    <t>Hazai társfinanszírozás</t>
  </si>
  <si>
    <t>EU-s forrás  (IPA)</t>
  </si>
  <si>
    <t>Felújítási kiadások (elszámolható)</t>
  </si>
  <si>
    <t>Felújítási kiadások (nem elszámolható)</t>
  </si>
  <si>
    <t>Beruházási kiadások (eszközbeszerzés)</t>
  </si>
  <si>
    <t>Bér+járulék kiadások (elszámolható)</t>
  </si>
  <si>
    <t>Hazai tám. előleg elsz. miatti visszafizetési kötelezettség</t>
  </si>
  <si>
    <t>Jánoshalma Város középületeinek energetikai felújítása (KEOP-5.7.0/15-2015-0335)</t>
  </si>
  <si>
    <t xml:space="preserve">2015. évi teljesített bevételek (eFt)    </t>
  </si>
  <si>
    <t xml:space="preserve">2015. évi teljesített kiadások (eFt)    </t>
  </si>
  <si>
    <t xml:space="preserve">Jh. város Önkorm. feladatonkénti teljesítése 2015. év </t>
  </si>
  <si>
    <t>Gyermeklánc Óvoda és Egységes Óvoda-Bölcsőde, Család- és Gyermekjóléti Központ - 2015. évi zárszámadás pénzügyi mérlege</t>
  </si>
  <si>
    <r>
      <t>* a Helyi önkormányzat bevételi eredeti előirányzata 381 587</t>
    </r>
    <r>
      <rPr>
        <sz val="11"/>
        <color indexed="10"/>
        <rFont val="Times New Roman CE"/>
        <family val="0"/>
      </rPr>
      <t xml:space="preserve"> </t>
    </r>
    <r>
      <rPr>
        <sz val="11"/>
        <rFont val="Times New Roman CE"/>
        <family val="0"/>
      </rPr>
      <t xml:space="preserve">ezer Ft-tal, </t>
    </r>
    <r>
      <rPr>
        <sz val="11"/>
        <rFont val="Times New Roman CE"/>
        <family val="1"/>
      </rPr>
      <t>a módosított előirányzata 350 683</t>
    </r>
    <r>
      <rPr>
        <sz val="11"/>
        <rFont val="Times New Roman CE"/>
        <family val="0"/>
      </rPr>
      <t xml:space="preserve"> ezer Ft-tal </t>
    </r>
    <r>
      <rPr>
        <sz val="11"/>
        <rFont val="Times New Roman CE"/>
        <family val="1"/>
      </rPr>
      <t>tér el a kiadási előirányzattól. Az eltérés az önkormányzati intézmények költségvetési támogatása, melyet az önkormányzati szintű összesítésnél a halmozódás elkerülése érdekében a Helyi önkormányzat adatából levonásba kell helyezni.</t>
    </r>
  </si>
  <si>
    <t>Jánoshalma Városi Önkormányzat és intézményei összesen - 2015. évi zárszámadásának pénzügyi mérlege</t>
  </si>
  <si>
    <t>Jánoshalma Városi Önkormányzat 2015. évi zárszámadásának pénzügyi mérlege</t>
  </si>
  <si>
    <t>Gyermeklánc Óvoda és Egységes Óvoda-Bölcsőde 2015. évi zárszámadásának pénzügyi és létszám mérlege</t>
  </si>
  <si>
    <t>Jánoshalma Városi Önkormányzat feladatonkénti teljesítése 2015. év</t>
  </si>
  <si>
    <t>Közművelődés - hagyományos közösségi kulturális értékek gondozása</t>
  </si>
  <si>
    <t>Likviditási célú hitelek, kölcsönök felvétele, törlesztése pénzügyi vállalkozásnak</t>
  </si>
  <si>
    <t>KEOP-1.2.0/2F/09-2010-0029 "Jánoshalma város szennyvíz-csatornázása és szennyvíztisztítása" projekt beruházási kiadásai</t>
  </si>
  <si>
    <t>Naperőmű távfelügyelet ellátásához szükséges internet kapcsolat biztosításához eszközök beszerzése (179/2015. (X.22.) Kt.)</t>
  </si>
  <si>
    <t>Jánoshalmi Művésztelep működéséhez eszközök beszerzése (40 db képkeret, 1 db vízforraló, 1 db rezsó) (175/2015. (X.22.) Kt.)</t>
  </si>
  <si>
    <t xml:space="preserve">Tárgyi eszközök beszerzése (1 db notebook windows7 szoftverrel, 2 db mobiltelefon, 1 db SHARP számológép, 1 db GPS </t>
  </si>
  <si>
    <t>KEOP-5.7.0. /15-2015-0335 Önkormányzati tulajdonban lévő középületek energetikai felújítása - Városháza épülete, Molnár J. u. 3. sz. alatti ingatlan (149/2015. VIII.31. Kt.)</t>
  </si>
  <si>
    <t>IPA Határon Átnyúló Projekt FAB (Magyarország - Szerbia) -Szerbiai pályázati partnereknek továbbutalt felhalmozási célú támogatás</t>
  </si>
  <si>
    <t xml:space="preserve">Közművelődési érdekeltségnövelő támogatás - önkormányzati önerő átadása Lajtha L. Non-profit Kft.-nek </t>
  </si>
  <si>
    <t>2015. évi mérlegben szerepeltetett nyilvántartási érték</t>
  </si>
  <si>
    <t>Telep. önkormányzatok köznevelési és szociális feadatokhoz kapcsolódó támogatása  - 2015. évi támogatás elszámolása miatti visszafizetendő összeg (köznevelési feladatok +756 166 Ft, gyermekétkeztetés tám. -3 442 406 Ft)</t>
  </si>
  <si>
    <t>Víziközművek bérleti díj bevétel maradványa előző évekről - felhalmozási c. céltartalék</t>
  </si>
  <si>
    <t>24</t>
  </si>
  <si>
    <t>Céltartalék összesen:</t>
  </si>
  <si>
    <t>Vízi- és szennyvízközművel kapcsolatos 2012. évi fejlesztési c. pénzeszköz elszámolásából Városgazda Kft. által visszautalt összeg tartalékba helyezése</t>
  </si>
  <si>
    <t>Villamos energia díj túlfizetésének visszatérítéséből származó bevétel tartalékba helyezése</t>
  </si>
  <si>
    <t>Bontott anyag értékesítés nettó bevételi összegének tartalékba helyezése</t>
  </si>
  <si>
    <t>EPER könyvelő program rendszerkövetési szolgáltatás díja</t>
  </si>
  <si>
    <t xml:space="preserve">Céltartalék képzése a Jánoshalmi Kistérségi Egészségügyi Központ Kft tagi kölcsön visszafizetéséből </t>
  </si>
  <si>
    <t>Céltartalék - viziközművek előző évekből származó bérleti díj maradványából</t>
  </si>
  <si>
    <t>Céltartalék - Vízmű gépház csapadékvíz elvezetésének felújítására</t>
  </si>
  <si>
    <t>85/2015. (IV.29) Kt. hat. Gyermekétkeztetés feltételeit javító fejlesztésekhez pályázati önerő</t>
  </si>
  <si>
    <t>Lengyel nyelvi tolmácsolás megbízási díja</t>
  </si>
  <si>
    <t>Kóbor ebek befogásának többletkiadásai</t>
  </si>
  <si>
    <t>Háziorvosi ügyeleti ellátás - helyettesítés többletkiadásai</t>
  </si>
  <si>
    <t>Szociális étkeztetés többletkiadásai</t>
  </si>
  <si>
    <t>Imre Zoltán Művelődési Központ napelemes fejlesztés EU önerő alap támogatása</t>
  </si>
  <si>
    <t>Állati hullák ártalmatlanítása, kóbor ebek befogása többletkiadásaira</t>
  </si>
  <si>
    <t>Jánoshalma Városi Önkormányzat és intézményei 2015. évi vagyonáról</t>
  </si>
  <si>
    <t>2015.12.31*</t>
  </si>
  <si>
    <t>*Megjegyzés: a Képviselő-testület 58/2016.(III.24.) Kt. számú határozatával a visszafizetésre új határidőt szabott (2018. december 31.)</t>
  </si>
  <si>
    <t>Tagi kölcsön (Jánoshalmi Kistérségi Egészségügyi Központ Kft)</t>
  </si>
  <si>
    <t>N</t>
  </si>
  <si>
    <t>Fejlesztési c. céltartalék- Jh. Kistérségi Egészségügyi Központ Kft tagi kölcsön visszafizetéséből</t>
  </si>
  <si>
    <t>1. melléklet a 8/2016.(IV.25.) önkormányzati rendelethez</t>
  </si>
  <si>
    <t>2. melléklet a 8/2016.(IV.25.) önkormányzati rendelethez</t>
  </si>
  <si>
    <t>3. melléklet a 8/2016.(IV.25.) önkormányzati rendelethez</t>
  </si>
  <si>
    <t>4. melléklet a 8/2016. (IV.25.) önkormányzati rendelethez</t>
  </si>
  <si>
    <t>5. melléklet a 8/2016. (IV.25.) önkormányzati rendelethez</t>
  </si>
  <si>
    <t>6. melléklet a 8/2016. (IV.25.) önkormányzati rendelethez</t>
  </si>
  <si>
    <t>7. melléklet a 8/2016. (IV.25.) önkormányzati rendelethez</t>
  </si>
  <si>
    <t>7/a. melléklet a 8/2016. (IV.25.) önkormányzati rendelethez</t>
  </si>
  <si>
    <t>7/b. melléklet a 8/2016. (IV.25.) önkormányzati rendelethez</t>
  </si>
  <si>
    <t>7/c. melléklet a 8/2016. (IV.25.) önkormányzati rendelethez</t>
  </si>
  <si>
    <t>8. melléklet a 8/2016. (IV.25.) önkormányzati rendelethez</t>
  </si>
  <si>
    <t>9. melléklet a 8/2016. (IV.25.) önkormányzati rendelethez</t>
  </si>
  <si>
    <t>10. melléklet a 8/2016. (IV.25.) önkormányzati rendelethez</t>
  </si>
  <si>
    <t>11. melléklet a 8/2016. (IV.25.) önkormányzati rendelethez</t>
  </si>
  <si>
    <t>12. melléklet a   8/2016. (IV.25.) önkormányzati rendelethez</t>
  </si>
  <si>
    <t>13. melléklet a 8/2016. (IV.25.) önkormányzati rendelethez</t>
  </si>
  <si>
    <t>14. melléklet a 8/2016. (IV.25.) önkormányzati rendelethez</t>
  </si>
  <si>
    <t>15. melléklet a 8/2016. (IV.25.) önkormányzati rendelethez</t>
  </si>
  <si>
    <t>15./a melléklet a 8/2016. (IV.25.) önkormányzati rendelethez</t>
  </si>
  <si>
    <t>16. melléklet a 8/2016. (IV.25.) önkormányzati rendelethez</t>
  </si>
  <si>
    <t>17. melléklet a 8/2016. (IV.25.) önkormányzati rendelethez</t>
  </si>
  <si>
    <t>18. melléklet a 8/2016.(IV.25.) önkormányzati rendelethez</t>
  </si>
  <si>
    <t>19. melléklet a 8/2016. (IV.25.) önkormányzati rendelethez</t>
  </si>
  <si>
    <t>20. melléklet a 8/2016. (IV.25.)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</si>
</sst>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  <numFmt numFmtId="166" formatCode="#,##0_ ;\-#,##0\ "/>
    <numFmt numFmtId="167" formatCode="#,###"/>
    <numFmt numFmtId="168" formatCode="#,###,##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</numFmts>
  <fonts count="11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13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5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56"/>
      <name val="Times New Roman"/>
      <family val="1"/>
    </font>
    <font>
      <b/>
      <i/>
      <sz val="11"/>
      <color indexed="60"/>
      <name val="Times New Roman"/>
      <family val="1"/>
    </font>
    <font>
      <i/>
      <sz val="10"/>
      <color indexed="56"/>
      <name val="Times New Roman"/>
      <family val="1"/>
    </font>
    <font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sz val="11"/>
      <color indexed="10"/>
      <name val="Times New Roman CE"/>
      <family val="0"/>
    </font>
    <font>
      <i/>
      <sz val="11"/>
      <name val="Times New Roman CE"/>
      <family val="1"/>
    </font>
    <font>
      <i/>
      <sz val="12"/>
      <name val="Times New Roman CE"/>
      <family val="0"/>
    </font>
    <font>
      <b/>
      <i/>
      <sz val="11"/>
      <name val="Times New Roman CE"/>
      <family val="0"/>
    </font>
    <font>
      <b/>
      <sz val="10"/>
      <name val="Arial"/>
      <family val="2"/>
    </font>
    <font>
      <sz val="9"/>
      <name val="Arial CE"/>
      <family val="0"/>
    </font>
    <font>
      <b/>
      <sz val="14"/>
      <name val="Times New Roman"/>
      <family val="1"/>
    </font>
    <font>
      <sz val="11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Arial CE"/>
      <family val="0"/>
    </font>
    <font>
      <b/>
      <i/>
      <sz val="8"/>
      <name val="Times New Roman"/>
      <family val="1"/>
    </font>
    <font>
      <b/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13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56"/>
      <name val="Times New Roman"/>
      <family val="1"/>
    </font>
    <font>
      <sz val="8"/>
      <color indexed="3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13"/>
      <color indexed="60"/>
      <name val="Times New Roman"/>
      <family val="1"/>
    </font>
    <font>
      <b/>
      <sz val="10"/>
      <color indexed="12"/>
      <name val="Times New Roman"/>
      <family val="1"/>
    </font>
    <font>
      <i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Times New Roman"/>
      <family val="1"/>
    </font>
    <font>
      <b/>
      <sz val="13"/>
      <color indexed="36"/>
      <name val="Times New Roman"/>
      <family val="1"/>
    </font>
    <font>
      <b/>
      <sz val="11"/>
      <color indexed="36"/>
      <name val="Times New Roman"/>
      <family val="1"/>
    </font>
    <font>
      <b/>
      <sz val="13"/>
      <color indexed="17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imes New Roman"/>
      <family val="1"/>
    </font>
    <font>
      <b/>
      <sz val="13"/>
      <color rgb="FF7030A0"/>
      <name val="Times New Roman"/>
      <family val="1"/>
    </font>
    <font>
      <b/>
      <sz val="11"/>
      <color rgb="FF7030A0"/>
      <name val="Times New Roman"/>
      <family val="1"/>
    </font>
    <font>
      <b/>
      <sz val="13"/>
      <color theme="6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medium"/>
    </border>
    <border>
      <left/>
      <right style="thick"/>
      <top style="medium"/>
      <bottom style="medium"/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/>
    </border>
    <border>
      <left/>
      <right style="thick"/>
      <top style="thin"/>
      <bottom/>
    </border>
    <border>
      <left style="thick"/>
      <right style="thin"/>
      <top style="medium"/>
      <bottom/>
    </border>
    <border>
      <left/>
      <right style="thick"/>
      <top style="medium"/>
      <bottom/>
    </border>
    <border>
      <left style="thick"/>
      <right style="thin"/>
      <top style="medium"/>
      <bottom style="thin"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thick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/>
      <top style="medium"/>
      <bottom/>
    </border>
    <border>
      <left style="thick"/>
      <right/>
      <top/>
      <bottom style="medium"/>
    </border>
    <border>
      <left/>
      <right style="thick"/>
      <top/>
      <bottom style="medium"/>
    </border>
    <border>
      <left style="thin"/>
      <right style="thick"/>
      <top style="medium"/>
      <bottom/>
    </border>
    <border>
      <left style="thin"/>
      <right style="medium"/>
      <top style="medium"/>
      <bottom/>
    </border>
    <border>
      <left style="thick"/>
      <right/>
      <top style="medium"/>
      <bottom style="thin"/>
    </border>
    <border>
      <left style="thick"/>
      <right/>
      <top style="thin"/>
      <bottom style="thin"/>
    </border>
    <border>
      <left style="thick"/>
      <right/>
      <top style="thin"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/>
      <right style="thick"/>
      <top style="thick"/>
      <bottom style="thick"/>
    </border>
    <border>
      <left/>
      <right style="thick"/>
      <top/>
      <bottom/>
    </border>
    <border>
      <left/>
      <right style="thick"/>
      <top style="thick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thick"/>
      <top style="medium"/>
      <bottom style="thin"/>
    </border>
    <border>
      <left style="medium"/>
      <right style="thick"/>
      <top/>
      <bottom style="thin"/>
    </border>
    <border>
      <left style="medium"/>
      <right style="thick"/>
      <top/>
      <bottom/>
    </border>
    <border>
      <left style="medium"/>
      <right style="thick"/>
      <top style="thin"/>
      <bottom style="thin"/>
    </border>
    <border>
      <left style="medium"/>
      <right style="thick"/>
      <top style="thin"/>
      <bottom/>
    </border>
    <border>
      <left style="medium"/>
      <right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/>
      <right/>
      <top style="thick"/>
      <bottom/>
    </border>
    <border>
      <left/>
      <right/>
      <top style="thick"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thick"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thick"/>
      <top>
        <color indexed="63"/>
      </top>
      <bottom style="medium"/>
    </border>
    <border>
      <left/>
      <right style="medium"/>
      <top style="medium"/>
      <bottom/>
    </border>
    <border>
      <left style="medium"/>
      <right/>
      <top style="thick"/>
      <bottom style="medium"/>
    </border>
    <border>
      <left style="medium"/>
      <right style="medium"/>
      <top style="medium"/>
      <bottom/>
    </border>
    <border>
      <left style="medium"/>
      <right style="thick"/>
      <top style="medium"/>
      <bottom>
        <color indexed="63"/>
      </bottom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medium"/>
      <right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90" fillId="26" borderId="1" applyNumberFormat="0" applyAlignment="0" applyProtection="0"/>
    <xf numFmtId="0" fontId="91" fillId="0" borderId="0" applyNumberFormat="0" applyFill="0" applyBorder="0" applyAlignment="0" applyProtection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0" fillId="28" borderId="7" applyNumberFormat="0" applyFont="0" applyAlignment="0" applyProtection="0"/>
    <xf numFmtId="0" fontId="99" fillId="29" borderId="0" applyNumberFormat="0" applyBorder="0" applyAlignment="0" applyProtection="0"/>
    <xf numFmtId="0" fontId="100" fillId="30" borderId="8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1" borderId="0" applyNumberFormat="0" applyBorder="0" applyAlignment="0" applyProtection="0"/>
    <xf numFmtId="0" fontId="105" fillId="32" borderId="0" applyNumberFormat="0" applyBorder="0" applyAlignment="0" applyProtection="0"/>
    <xf numFmtId="0" fontId="106" fillId="30" borderId="1" applyNumberFormat="0" applyAlignment="0" applyProtection="0"/>
    <xf numFmtId="9" fontId="0" fillId="0" borderId="0" applyFont="0" applyFill="0" applyBorder="0" applyAlignment="0" applyProtection="0"/>
  </cellStyleXfs>
  <cellXfs count="13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horizontal="right" vertical="center"/>
      <protection/>
    </xf>
    <xf numFmtId="0" fontId="7" fillId="0" borderId="13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9" fillId="0" borderId="0" xfId="58" applyFont="1" applyAlignment="1">
      <alignment vertical="center"/>
      <protection/>
    </xf>
    <xf numFmtId="0" fontId="2" fillId="0" borderId="0" xfId="58" applyFont="1" applyAlignment="1">
      <alignment vertical="center"/>
      <protection/>
    </xf>
    <xf numFmtId="164" fontId="9" fillId="0" borderId="0" xfId="58" applyNumberFormat="1" applyFont="1" applyBorder="1" applyAlignment="1">
      <alignment vertical="center"/>
      <protection/>
    </xf>
    <xf numFmtId="0" fontId="4" fillId="0" borderId="0" xfId="58" applyFont="1" applyAlignment="1">
      <alignment vertical="center"/>
      <protection/>
    </xf>
    <xf numFmtId="165" fontId="4" fillId="0" borderId="0" xfId="58" applyNumberFormat="1" applyFont="1" applyAlignment="1">
      <alignment vertical="center"/>
      <protection/>
    </xf>
    <xf numFmtId="0" fontId="4" fillId="0" borderId="0" xfId="58" applyFont="1" applyAlignment="1">
      <alignment vertical="center"/>
      <protection/>
    </xf>
    <xf numFmtId="165" fontId="4" fillId="0" borderId="0" xfId="58" applyNumberFormat="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Alignment="1">
      <alignment horizontal="right" vertical="center"/>
      <protection/>
    </xf>
    <xf numFmtId="0" fontId="15" fillId="0" borderId="0" xfId="61" applyFont="1" applyAlignment="1">
      <alignment vertical="center"/>
      <protection/>
    </xf>
    <xf numFmtId="0" fontId="17" fillId="0" borderId="0" xfId="61" applyFont="1" applyAlignment="1">
      <alignment vertical="center"/>
      <protection/>
    </xf>
    <xf numFmtId="0" fontId="17" fillId="0" borderId="0" xfId="61" applyFont="1" applyAlignment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5" fillId="0" borderId="0" xfId="58" applyFont="1" applyAlignment="1">
      <alignment vertical="center" wrapText="1"/>
      <protection/>
    </xf>
    <xf numFmtId="3" fontId="6" fillId="0" borderId="0" xfId="58" applyNumberFormat="1" applyFont="1" applyAlignment="1">
      <alignment vertical="center"/>
      <protection/>
    </xf>
    <xf numFmtId="166" fontId="9" fillId="0" borderId="10" xfId="58" applyNumberFormat="1" applyFont="1" applyBorder="1" applyAlignment="1">
      <alignment horizontal="right" vertical="center"/>
      <protection/>
    </xf>
    <xf numFmtId="166" fontId="9" fillId="0" borderId="15" xfId="58" applyNumberFormat="1" applyFont="1" applyBorder="1" applyAlignment="1">
      <alignment horizontal="right" vertical="center"/>
      <protection/>
    </xf>
    <xf numFmtId="166" fontId="4" fillId="0" borderId="10" xfId="58" applyNumberFormat="1" applyFont="1" applyBorder="1" applyAlignment="1">
      <alignment horizontal="right" vertical="center"/>
      <protection/>
    </xf>
    <xf numFmtId="166" fontId="4" fillId="0" borderId="15" xfId="58" applyNumberFormat="1" applyFont="1" applyBorder="1" applyAlignment="1">
      <alignment horizontal="right" vertical="center"/>
      <protection/>
    </xf>
    <xf numFmtId="166" fontId="9" fillId="0" borderId="10" xfId="58" applyNumberFormat="1" applyFont="1" applyBorder="1" applyAlignment="1">
      <alignment horizontal="right" vertical="center"/>
      <protection/>
    </xf>
    <xf numFmtId="166" fontId="9" fillId="0" borderId="15" xfId="58" applyNumberFormat="1" applyFont="1" applyBorder="1" applyAlignment="1">
      <alignment horizontal="right" vertical="center"/>
      <protection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13" fillId="0" borderId="0" xfId="0" applyNumberFormat="1" applyFont="1" applyFill="1" applyAlignment="1">
      <alignment vertical="center"/>
    </xf>
    <xf numFmtId="0" fontId="21" fillId="0" borderId="17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right" vertical="center"/>
    </xf>
    <xf numFmtId="2" fontId="19" fillId="0" borderId="15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9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1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58" applyFont="1" applyAlignment="1">
      <alignment horizontal="right" vertical="center"/>
      <protection/>
    </xf>
    <xf numFmtId="0" fontId="20" fillId="0" borderId="0" xfId="58" applyFont="1" applyAlignment="1">
      <alignment horizontal="center" vertical="center"/>
      <protection/>
    </xf>
    <xf numFmtId="0" fontId="15" fillId="0" borderId="0" xfId="58" applyFont="1" applyAlignment="1">
      <alignment vertical="center"/>
      <protection/>
    </xf>
    <xf numFmtId="0" fontId="15" fillId="0" borderId="0" xfId="58" applyFont="1" applyAlignment="1">
      <alignment horizontal="right" vertical="center"/>
      <protection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15" fillId="0" borderId="0" xfId="58" applyFont="1" applyAlignment="1">
      <alignment vertical="center" wrapText="1"/>
      <protection/>
    </xf>
    <xf numFmtId="0" fontId="15" fillId="0" borderId="0" xfId="0" applyFont="1" applyAlignment="1">
      <alignment wrapText="1"/>
    </xf>
    <xf numFmtId="3" fontId="15" fillId="0" borderId="0" xfId="58" applyNumberFormat="1" applyFont="1" applyAlignment="1">
      <alignment vertical="center"/>
      <protection/>
    </xf>
    <xf numFmtId="3" fontId="15" fillId="0" borderId="0" xfId="0" applyNumberFormat="1" applyFont="1" applyAlignment="1">
      <alignment/>
    </xf>
    <xf numFmtId="3" fontId="25" fillId="0" borderId="19" xfId="0" applyNumberFormat="1" applyFont="1" applyBorder="1" applyAlignment="1">
      <alignment/>
    </xf>
    <xf numFmtId="0" fontId="20" fillId="0" borderId="0" xfId="58" applyFont="1" applyAlignment="1">
      <alignment vertical="center"/>
      <protection/>
    </xf>
    <xf numFmtId="0" fontId="15" fillId="0" borderId="0" xfId="57" applyFont="1">
      <alignment/>
      <protection/>
    </xf>
    <xf numFmtId="0" fontId="14" fillId="0" borderId="0" xfId="57" applyFont="1" applyAlignment="1">
      <alignment vertical="center"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8" fillId="0" borderId="0" xfId="57" applyFont="1" applyAlignment="1">
      <alignment horizontal="center" vertical="center" wrapText="1"/>
      <protection/>
    </xf>
    <xf numFmtId="0" fontId="26" fillId="0" borderId="10" xfId="57" applyFont="1" applyBorder="1" applyAlignment="1">
      <alignment horizontal="left" vertical="center" wrapText="1"/>
      <protection/>
    </xf>
    <xf numFmtId="3" fontId="27" fillId="0" borderId="10" xfId="57" applyNumberFormat="1" applyFont="1" applyBorder="1" applyAlignment="1">
      <alignment horizontal="right" vertical="center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10" xfId="57" applyFont="1" applyBorder="1" applyAlignment="1">
      <alignment vertical="center"/>
      <protection/>
    </xf>
    <xf numFmtId="3" fontId="28" fillId="0" borderId="10" xfId="48" applyNumberFormat="1" applyFont="1" applyBorder="1" applyAlignment="1">
      <alignment horizontal="right"/>
    </xf>
    <xf numFmtId="0" fontId="28" fillId="0" borderId="10" xfId="57" applyFont="1" applyBorder="1">
      <alignment/>
      <protection/>
    </xf>
    <xf numFmtId="0" fontId="28" fillId="0" borderId="0" xfId="57" applyFont="1">
      <alignment/>
      <protection/>
    </xf>
    <xf numFmtId="0" fontId="18" fillId="0" borderId="10" xfId="57" applyFont="1" applyBorder="1" applyAlignment="1">
      <alignment horizontal="left" vertical="center" indent="1"/>
      <protection/>
    </xf>
    <xf numFmtId="3" fontId="18" fillId="0" borderId="10" xfId="48" applyNumberFormat="1" applyFont="1" applyBorder="1" applyAlignment="1">
      <alignment horizontal="right"/>
    </xf>
    <xf numFmtId="0" fontId="18" fillId="0" borderId="10" xfId="57" applyFont="1" applyBorder="1" applyAlignment="1">
      <alignment horizontal="left" indent="1"/>
      <protection/>
    </xf>
    <xf numFmtId="0" fontId="17" fillId="0" borderId="0" xfId="57" applyFont="1">
      <alignment/>
      <protection/>
    </xf>
    <xf numFmtId="0" fontId="29" fillId="0" borderId="10" xfId="57" applyFont="1" applyBorder="1" applyAlignment="1">
      <alignment horizontal="left" vertical="center" indent="2"/>
      <protection/>
    </xf>
    <xf numFmtId="3" fontId="29" fillId="0" borderId="10" xfId="48" applyNumberFormat="1" applyFont="1" applyBorder="1" applyAlignment="1">
      <alignment horizontal="right"/>
    </xf>
    <xf numFmtId="0" fontId="29" fillId="0" borderId="0" xfId="57" applyFont="1">
      <alignment/>
      <protection/>
    </xf>
    <xf numFmtId="16" fontId="29" fillId="0" borderId="10" xfId="57" applyNumberFormat="1" applyFont="1" applyBorder="1" applyAlignment="1">
      <alignment horizontal="left" vertical="center" indent="2"/>
      <protection/>
    </xf>
    <xf numFmtId="0" fontId="29" fillId="0" borderId="10" xfId="57" applyFont="1" applyBorder="1" applyAlignment="1">
      <alignment horizontal="left" indent="2"/>
      <protection/>
    </xf>
    <xf numFmtId="0" fontId="18" fillId="0" borderId="10" xfId="57" applyFont="1" applyBorder="1" applyAlignment="1">
      <alignment horizontal="left" vertical="top" indent="1"/>
      <protection/>
    </xf>
    <xf numFmtId="0" fontId="17" fillId="0" borderId="10" xfId="57" applyFont="1" applyBorder="1">
      <alignment/>
      <protection/>
    </xf>
    <xf numFmtId="3" fontId="17" fillId="0" borderId="10" xfId="48" applyNumberFormat="1" applyFont="1" applyBorder="1" applyAlignment="1">
      <alignment horizontal="right"/>
    </xf>
    <xf numFmtId="0" fontId="18" fillId="0" borderId="0" xfId="57" applyFont="1">
      <alignment/>
      <protection/>
    </xf>
    <xf numFmtId="0" fontId="30" fillId="0" borderId="0" xfId="57" applyFont="1">
      <alignment/>
      <protection/>
    </xf>
    <xf numFmtId="0" fontId="28" fillId="0" borderId="10" xfId="57" applyFont="1" applyBorder="1" applyAlignment="1">
      <alignment vertical="center" wrapText="1"/>
      <protection/>
    </xf>
    <xf numFmtId="0" fontId="28" fillId="0" borderId="10" xfId="57" applyFont="1" applyBorder="1" applyAlignment="1">
      <alignment horizontal="left" vertical="center"/>
      <protection/>
    </xf>
    <xf numFmtId="0" fontId="31" fillId="0" borderId="0" xfId="57" applyFont="1">
      <alignment/>
      <protection/>
    </xf>
    <xf numFmtId="0" fontId="25" fillId="0" borderId="0" xfId="57" applyFont="1">
      <alignment/>
      <protection/>
    </xf>
    <xf numFmtId="3" fontId="26" fillId="0" borderId="10" xfId="48" applyNumberFormat="1" applyFont="1" applyBorder="1" applyAlignment="1">
      <alignment horizontal="right"/>
    </xf>
    <xf numFmtId="0" fontId="26" fillId="0" borderId="10" xfId="57" applyFont="1" applyBorder="1">
      <alignment/>
      <protection/>
    </xf>
    <xf numFmtId="0" fontId="32" fillId="0" borderId="0" xfId="57" applyFont="1">
      <alignment/>
      <protection/>
    </xf>
    <xf numFmtId="0" fontId="28" fillId="0" borderId="10" xfId="57" applyFont="1" applyBorder="1" applyAlignment="1">
      <alignment horizontal="left" vertical="center" wrapText="1"/>
      <protection/>
    </xf>
    <xf numFmtId="0" fontId="26" fillId="0" borderId="10" xfId="57" applyFont="1" applyBorder="1" applyAlignment="1">
      <alignment vertical="top"/>
      <protection/>
    </xf>
    <xf numFmtId="0" fontId="33" fillId="0" borderId="0" xfId="57" applyFont="1">
      <alignment/>
      <protection/>
    </xf>
    <xf numFmtId="0" fontId="34" fillId="0" borderId="0" xfId="57" applyFont="1">
      <alignment/>
      <protection/>
    </xf>
    <xf numFmtId="0" fontId="17" fillId="0" borderId="0" xfId="57" applyFont="1" applyBorder="1">
      <alignment/>
      <protection/>
    </xf>
    <xf numFmtId="3" fontId="16" fillId="0" borderId="10" xfId="57" applyNumberFormat="1" applyFont="1" applyBorder="1" applyAlignment="1">
      <alignment vertical="center"/>
      <protection/>
    </xf>
    <xf numFmtId="0" fontId="15" fillId="0" borderId="0" xfId="61" applyFont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16" fillId="0" borderId="0" xfId="57" applyFont="1">
      <alignment/>
      <protection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2" fontId="3" fillId="0" borderId="15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3" fontId="2" fillId="0" borderId="21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" fontId="21" fillId="0" borderId="17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/>
    </xf>
    <xf numFmtId="3" fontId="17" fillId="0" borderId="15" xfId="0" applyNumberFormat="1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3" fontId="29" fillId="0" borderId="15" xfId="0" applyNumberFormat="1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35" fillId="0" borderId="10" xfId="57" applyFont="1" applyBorder="1" applyAlignment="1">
      <alignment horizontal="right"/>
      <protection/>
    </xf>
    <xf numFmtId="3" fontId="27" fillId="0" borderId="10" xfId="48" applyNumberFormat="1" applyFont="1" applyBorder="1" applyAlignment="1">
      <alignment horizontal="right"/>
    </xf>
    <xf numFmtId="0" fontId="17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58" applyNumberFormat="1" applyFont="1" applyAlignment="1">
      <alignment horizontal="center" vertical="center"/>
      <protection/>
    </xf>
    <xf numFmtId="0" fontId="15" fillId="0" borderId="10" xfId="0" applyFont="1" applyBorder="1" applyAlignment="1">
      <alignment wrapText="1"/>
    </xf>
    <xf numFmtId="49" fontId="21" fillId="0" borderId="17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wrapText="1"/>
    </xf>
    <xf numFmtId="3" fontId="16" fillId="0" borderId="14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right" wrapText="1"/>
    </xf>
    <xf numFmtId="0" fontId="24" fillId="0" borderId="21" xfId="0" applyFont="1" applyBorder="1" applyAlignment="1">
      <alignment horizontal="right" wrapText="1"/>
    </xf>
    <xf numFmtId="3" fontId="15" fillId="0" borderId="15" xfId="0" applyNumberFormat="1" applyFont="1" applyBorder="1" applyAlignment="1">
      <alignment horizontal="right" vertical="center"/>
    </xf>
    <xf numFmtId="3" fontId="25" fillId="0" borderId="25" xfId="0" applyNumberFormat="1" applyFont="1" applyBorder="1" applyAlignment="1">
      <alignment horizontal="right" vertical="center"/>
    </xf>
    <xf numFmtId="0" fontId="9" fillId="0" borderId="0" xfId="58" applyFont="1" applyAlignment="1">
      <alignment vertical="center"/>
      <protection/>
    </xf>
    <xf numFmtId="165" fontId="9" fillId="0" borderId="0" xfId="58" applyNumberFormat="1" applyFont="1" applyAlignment="1">
      <alignment vertical="center"/>
      <protection/>
    </xf>
    <xf numFmtId="0" fontId="7" fillId="0" borderId="0" xfId="58" applyFont="1" applyAlignment="1">
      <alignment horizontal="center" vertical="center" wrapText="1"/>
      <protection/>
    </xf>
    <xf numFmtId="0" fontId="7" fillId="0" borderId="0" xfId="58" applyFont="1" applyAlignment="1">
      <alignment horizontal="center" vertical="center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0" fontId="6" fillId="0" borderId="10" xfId="58" applyFont="1" applyBorder="1" applyAlignment="1">
      <alignment vertical="center" wrapText="1"/>
      <protection/>
    </xf>
    <xf numFmtId="0" fontId="7" fillId="0" borderId="15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7" fillId="0" borderId="17" xfId="58" applyFont="1" applyBorder="1" applyAlignment="1">
      <alignment horizontal="center" vertical="center"/>
      <protection/>
    </xf>
    <xf numFmtId="0" fontId="7" fillId="0" borderId="20" xfId="58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0" fontId="5" fillId="0" borderId="0" xfId="62" applyFont="1" applyAlignment="1">
      <alignment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37" fillId="0" borderId="0" xfId="62" applyFont="1" applyAlignment="1">
      <alignment vertical="center"/>
      <protection/>
    </xf>
    <xf numFmtId="0" fontId="36" fillId="0" borderId="0" xfId="62" applyFont="1" applyAlignment="1">
      <alignment horizontal="center" vertical="center" wrapText="1"/>
      <protection/>
    </xf>
    <xf numFmtId="0" fontId="5" fillId="0" borderId="10" xfId="62" applyFont="1" applyBorder="1" applyAlignment="1">
      <alignment vertical="center" wrapText="1"/>
      <protection/>
    </xf>
    <xf numFmtId="164" fontId="6" fillId="0" borderId="21" xfId="62" applyNumberFormat="1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164" fontId="7" fillId="0" borderId="10" xfId="62" applyNumberFormat="1" applyFont="1" applyBorder="1" applyAlignment="1">
      <alignment horizontal="center" vertical="center"/>
      <protection/>
    </xf>
    <xf numFmtId="0" fontId="7" fillId="0" borderId="0" xfId="62" applyFont="1" applyAlignment="1">
      <alignment horizontal="center" vertical="center" wrapText="1"/>
      <protection/>
    </xf>
    <xf numFmtId="0" fontId="7" fillId="0" borderId="0" xfId="62" applyFont="1" applyAlignme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 wrapText="1"/>
      <protection/>
    </xf>
    <xf numFmtId="164" fontId="7" fillId="0" borderId="15" xfId="62" applyNumberFormat="1" applyFont="1" applyBorder="1" applyAlignment="1">
      <alignment horizontal="center" vertical="center"/>
      <protection/>
    </xf>
    <xf numFmtId="0" fontId="7" fillId="0" borderId="21" xfId="62" applyFont="1" applyBorder="1" applyAlignment="1">
      <alignment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3" fontId="17" fillId="33" borderId="10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7" fillId="0" borderId="26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vertical="center" wrapText="1"/>
      <protection/>
    </xf>
    <xf numFmtId="3" fontId="18" fillId="0" borderId="27" xfId="0" applyNumberFormat="1" applyFont="1" applyBorder="1" applyAlignment="1">
      <alignment/>
    </xf>
    <xf numFmtId="0" fontId="18" fillId="0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left" vertical="center" indent="2"/>
    </xf>
    <xf numFmtId="164" fontId="40" fillId="0" borderId="15" xfId="0" applyNumberFormat="1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164" fontId="2" fillId="0" borderId="21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164" fontId="40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164" fontId="2" fillId="0" borderId="1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3" fontId="18" fillId="0" borderId="12" xfId="0" applyNumberFormat="1" applyFont="1" applyBorder="1" applyAlignment="1">
      <alignment horizontal="right" vertical="center"/>
    </xf>
    <xf numFmtId="3" fontId="18" fillId="0" borderId="25" xfId="0" applyNumberFormat="1" applyFont="1" applyBorder="1" applyAlignment="1">
      <alignment horizontal="right" vertical="center"/>
    </xf>
    <xf numFmtId="3" fontId="25" fillId="0" borderId="19" xfId="0" applyNumberFormat="1" applyFont="1" applyBorder="1" applyAlignment="1">
      <alignment horizontal="right" vertical="center"/>
    </xf>
    <xf numFmtId="0" fontId="14" fillId="0" borderId="32" xfId="0" applyFont="1" applyBorder="1" applyAlignment="1">
      <alignment wrapText="1"/>
    </xf>
    <xf numFmtId="3" fontId="14" fillId="0" borderId="33" xfId="0" applyNumberFormat="1" applyFont="1" applyBorder="1" applyAlignment="1">
      <alignment/>
    </xf>
    <xf numFmtId="0" fontId="24" fillId="0" borderId="21" xfId="0" applyFont="1" applyBorder="1" applyAlignment="1">
      <alignment horizontal="right"/>
    </xf>
    <xf numFmtId="0" fontId="5" fillId="0" borderId="10" xfId="62" applyFont="1" applyFill="1" applyBorder="1" applyAlignment="1">
      <alignment vertical="center"/>
      <protection/>
    </xf>
    <xf numFmtId="164" fontId="5" fillId="0" borderId="10" xfId="62" applyNumberFormat="1" applyFont="1" applyFill="1" applyBorder="1" applyAlignment="1">
      <alignment vertical="center"/>
      <protection/>
    </xf>
    <xf numFmtId="164" fontId="5" fillId="0" borderId="15" xfId="62" applyNumberFormat="1" applyFont="1" applyFill="1" applyBorder="1" applyAlignment="1">
      <alignment vertical="center"/>
      <protection/>
    </xf>
    <xf numFmtId="1" fontId="5" fillId="0" borderId="10" xfId="62" applyNumberFormat="1" applyFont="1" applyFill="1" applyBorder="1" applyAlignment="1">
      <alignment horizontal="right" vertical="center"/>
      <protection/>
    </xf>
    <xf numFmtId="0" fontId="5" fillId="0" borderId="10" xfId="62" applyFont="1" applyFill="1" applyBorder="1" applyAlignment="1">
      <alignment horizontal="right" vertical="center"/>
      <protection/>
    </xf>
    <xf numFmtId="0" fontId="5" fillId="0" borderId="12" xfId="62" applyFont="1" applyFill="1" applyBorder="1" applyAlignment="1">
      <alignment vertical="center"/>
      <protection/>
    </xf>
    <xf numFmtId="164" fontId="5" fillId="0" borderId="12" xfId="62" applyNumberFormat="1" applyFont="1" applyFill="1" applyBorder="1" applyAlignment="1">
      <alignment vertical="center"/>
      <protection/>
    </xf>
    <xf numFmtId="164" fontId="5" fillId="0" borderId="25" xfId="62" applyNumberFormat="1" applyFont="1" applyFill="1" applyBorder="1" applyAlignment="1">
      <alignment vertical="center"/>
      <protection/>
    </xf>
    <xf numFmtId="0" fontId="16" fillId="0" borderId="31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30" xfId="0" applyFont="1" applyBorder="1" applyAlignment="1">
      <alignment vertical="center"/>
    </xf>
    <xf numFmtId="0" fontId="18" fillId="0" borderId="0" xfId="0" applyFont="1" applyBorder="1" applyAlignment="1">
      <alignment/>
    </xf>
    <xf numFmtId="3" fontId="21" fillId="0" borderId="10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3" fontId="15" fillId="0" borderId="15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21" fillId="34" borderId="0" xfId="57" applyFont="1" applyFill="1" applyAlignment="1">
      <alignment horizontal="center"/>
      <protection/>
    </xf>
    <xf numFmtId="0" fontId="29" fillId="0" borderId="10" xfId="57" applyFont="1" applyBorder="1">
      <alignment/>
      <protection/>
    </xf>
    <xf numFmtId="3" fontId="18" fillId="34" borderId="10" xfId="48" applyNumberFormat="1" applyFont="1" applyFill="1" applyBorder="1" applyAlignment="1">
      <alignment horizontal="right"/>
    </xf>
    <xf numFmtId="0" fontId="7" fillId="0" borderId="21" xfId="60" applyFont="1" applyFill="1" applyBorder="1" applyAlignment="1" applyProtection="1">
      <alignment horizontal="center" vertical="center" wrapText="1"/>
      <protection/>
    </xf>
    <xf numFmtId="0" fontId="46" fillId="0" borderId="18" xfId="60" applyFont="1" applyFill="1" applyBorder="1" applyAlignment="1" applyProtection="1">
      <alignment horizontal="center" vertical="center" wrapText="1"/>
      <protection/>
    </xf>
    <xf numFmtId="0" fontId="46" fillId="0" borderId="27" xfId="60" applyFont="1" applyFill="1" applyBorder="1" applyAlignment="1" applyProtection="1">
      <alignment horizontal="center" vertical="center" wrapText="1"/>
      <protection/>
    </xf>
    <xf numFmtId="0" fontId="46" fillId="0" borderId="18" xfId="60" applyFont="1" applyFill="1" applyBorder="1" applyAlignment="1" applyProtection="1">
      <alignment horizontal="left" vertical="center" wrapText="1" indent="1"/>
      <protection/>
    </xf>
    <xf numFmtId="0" fontId="46" fillId="0" borderId="27" xfId="60" applyFont="1" applyFill="1" applyBorder="1" applyAlignment="1" applyProtection="1">
      <alignment horizontal="left" vertical="center" wrapText="1" indent="1"/>
      <protection/>
    </xf>
    <xf numFmtId="167" fontId="46" fillId="0" borderId="27" xfId="60" applyNumberFormat="1" applyFont="1" applyFill="1" applyBorder="1" applyAlignment="1" applyProtection="1">
      <alignment horizontal="right" vertical="center" wrapText="1" indent="1"/>
      <protection/>
    </xf>
    <xf numFmtId="49" fontId="47" fillId="0" borderId="29" xfId="60" applyNumberFormat="1" applyFont="1" applyFill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167" fontId="4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7" xfId="60" applyNumberFormat="1" applyFont="1" applyFill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wrapText="1" indent="1"/>
      <protection/>
    </xf>
    <xf numFmtId="167" fontId="47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26" xfId="60" applyNumberFormat="1" applyFont="1" applyFill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wrapText="1" indent="1"/>
      <protection/>
    </xf>
    <xf numFmtId="167" fontId="4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7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167" fontId="46" fillId="0" borderId="27" xfId="60" applyNumberFormat="1" applyFont="1" applyFill="1" applyBorder="1" applyAlignment="1" applyProtection="1">
      <alignment horizontal="right" vertical="center" wrapText="1" indent="1"/>
      <protection/>
    </xf>
    <xf numFmtId="167" fontId="47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8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vertical="center" wrapText="1"/>
      <protection/>
    </xf>
    <xf numFmtId="0" fontId="19" fillId="0" borderId="29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26" xfId="0" applyFont="1" applyBorder="1" applyAlignment="1" applyProtection="1">
      <alignment vertical="center" wrapText="1"/>
      <protection/>
    </xf>
    <xf numFmtId="167" fontId="46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7" xfId="0" applyFont="1" applyBorder="1" applyAlignment="1" applyProtection="1">
      <alignment vertical="center" wrapText="1"/>
      <protection/>
    </xf>
    <xf numFmtId="0" fontId="23" fillId="0" borderId="34" xfId="0" applyFont="1" applyBorder="1" applyAlignment="1" applyProtection="1">
      <alignment vertical="center" wrapText="1"/>
      <protection/>
    </xf>
    <xf numFmtId="0" fontId="23" fillId="0" borderId="32" xfId="0" applyFont="1" applyBorder="1" applyAlignment="1" applyProtection="1">
      <alignment vertical="center" wrapText="1"/>
      <protection/>
    </xf>
    <xf numFmtId="0" fontId="7" fillId="0" borderId="35" xfId="60" applyFont="1" applyFill="1" applyBorder="1" applyAlignment="1" applyProtection="1">
      <alignment horizontal="center" vertical="center" wrapText="1"/>
      <protection/>
    </xf>
    <xf numFmtId="0" fontId="46" fillId="0" borderId="36" xfId="60" applyFont="1" applyFill="1" applyBorder="1" applyAlignment="1" applyProtection="1">
      <alignment horizontal="center" vertical="center" wrapText="1"/>
      <protection/>
    </xf>
    <xf numFmtId="167" fontId="46" fillId="0" borderId="36" xfId="60" applyNumberFormat="1" applyFont="1" applyFill="1" applyBorder="1" applyAlignment="1" applyProtection="1">
      <alignment horizontal="right" vertical="center" wrapText="1" indent="1"/>
      <protection/>
    </xf>
    <xf numFmtId="167" fontId="47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7" fontId="46" fillId="0" borderId="39" xfId="60" applyNumberFormat="1" applyFont="1" applyFill="1" applyBorder="1" applyAlignment="1" applyProtection="1">
      <alignment horizontal="right" vertical="center" wrapText="1" indent="1"/>
      <protection/>
    </xf>
    <xf numFmtId="49" fontId="47" fillId="0" borderId="20" xfId="60" applyNumberFormat="1" applyFont="1" applyFill="1" applyBorder="1" applyAlignment="1" applyProtection="1">
      <alignment horizontal="left" vertical="center" wrapText="1" indent="1"/>
      <protection/>
    </xf>
    <xf numFmtId="0" fontId="10" fillId="0" borderId="40" xfId="60" applyFont="1" applyFill="1" applyBorder="1" applyAlignment="1" applyProtection="1">
      <alignment horizontal="left" vertical="center" wrapText="1"/>
      <protection/>
    </xf>
    <xf numFmtId="0" fontId="10" fillId="0" borderId="41" xfId="60" applyFont="1" applyFill="1" applyBorder="1" applyAlignment="1" applyProtection="1">
      <alignment horizontal="left" vertical="center" wrapText="1"/>
      <protection/>
    </xf>
    <xf numFmtId="0" fontId="10" fillId="0" borderId="42" xfId="60" applyFont="1" applyFill="1" applyBorder="1" applyAlignment="1" applyProtection="1">
      <alignment horizontal="left" vertical="center" wrapText="1"/>
      <protection/>
    </xf>
    <xf numFmtId="0" fontId="23" fillId="0" borderId="28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>
      <alignment horizontal="left" vertical="center"/>
    </xf>
    <xf numFmtId="0" fontId="46" fillId="0" borderId="28" xfId="60" applyFont="1" applyFill="1" applyBorder="1" applyAlignment="1" applyProtection="1">
      <alignment horizontal="left" vertical="center" wrapText="1" indent="1"/>
      <protection/>
    </xf>
    <xf numFmtId="0" fontId="46" fillId="0" borderId="17" xfId="60" applyFont="1" applyFill="1" applyBorder="1" applyAlignment="1" applyProtection="1">
      <alignment horizontal="left" vertical="center" wrapText="1" indent="1"/>
      <protection/>
    </xf>
    <xf numFmtId="0" fontId="46" fillId="0" borderId="10" xfId="60" applyFont="1" applyFill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167" fontId="46" fillId="0" borderId="10" xfId="60" applyNumberFormat="1" applyFont="1" applyFill="1" applyBorder="1" applyAlignment="1" applyProtection="1">
      <alignment horizontal="right" vertical="center" wrapText="1" indent="1"/>
      <protection/>
    </xf>
    <xf numFmtId="167" fontId="47" fillId="0" borderId="10" xfId="60" applyNumberFormat="1" applyFont="1" applyFill="1" applyBorder="1" applyAlignment="1" applyProtection="1">
      <alignment horizontal="right" vertical="center" wrapText="1" indent="1"/>
      <protection/>
    </xf>
    <xf numFmtId="0" fontId="19" fillId="0" borderId="10" xfId="0" applyFont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0" borderId="21" xfId="0" applyFont="1" applyBorder="1" applyAlignment="1" applyProtection="1">
      <alignment vertical="center" wrapText="1"/>
      <protection/>
    </xf>
    <xf numFmtId="167" fontId="46" fillId="0" borderId="21" xfId="60" applyNumberFormat="1" applyFont="1" applyFill="1" applyBorder="1" applyAlignment="1" applyProtection="1">
      <alignment horizontal="right" vertical="center" wrapText="1" indent="1"/>
      <protection/>
    </xf>
    <xf numFmtId="0" fontId="46" fillId="0" borderId="28" xfId="60" applyFont="1" applyFill="1" applyBorder="1" applyAlignment="1" applyProtection="1">
      <alignment horizontal="center" vertical="center" wrapText="1"/>
      <protection/>
    </xf>
    <xf numFmtId="49" fontId="47" fillId="0" borderId="17" xfId="60" applyNumberFormat="1" applyFont="1" applyFill="1" applyBorder="1" applyAlignment="1" applyProtection="1">
      <alignment horizontal="center" vertical="center" wrapText="1"/>
      <protection/>
    </xf>
    <xf numFmtId="0" fontId="46" fillId="0" borderId="17" xfId="60" applyFont="1" applyFill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47" fillId="0" borderId="13" xfId="60" applyFont="1" applyFill="1" applyBorder="1" applyAlignment="1" applyProtection="1">
      <alignment horizontal="left" vertical="center" wrapText="1" indent="1"/>
      <protection/>
    </xf>
    <xf numFmtId="167" fontId="47" fillId="0" borderId="13" xfId="60" applyNumberFormat="1" applyFont="1" applyFill="1" applyBorder="1" applyAlignment="1" applyProtection="1">
      <alignment horizontal="right" vertical="center" wrapText="1" indent="1"/>
      <protection/>
    </xf>
    <xf numFmtId="0" fontId="47" fillId="0" borderId="10" xfId="60" applyFont="1" applyFill="1" applyBorder="1" applyAlignment="1" applyProtection="1">
      <alignment horizontal="left" vertical="center" wrapText="1" indent="1"/>
      <protection/>
    </xf>
    <xf numFmtId="167" fontId="47" fillId="0" borderId="10" xfId="60" applyNumberFormat="1" applyFont="1" applyFill="1" applyBorder="1" applyAlignment="1" applyProtection="1">
      <alignment horizontal="right" vertical="center" wrapText="1" indent="1"/>
      <protection/>
    </xf>
    <xf numFmtId="0" fontId="19" fillId="0" borderId="13" xfId="0" applyFont="1" applyBorder="1" applyAlignment="1" applyProtection="1">
      <alignment horizontal="left" vertical="center" wrapText="1" indent="1"/>
      <protection/>
    </xf>
    <xf numFmtId="0" fontId="2" fillId="0" borderId="18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10" fontId="47" fillId="0" borderId="14" xfId="60" applyNumberFormat="1" applyFont="1" applyFill="1" applyBorder="1" applyAlignment="1" applyProtection="1">
      <alignment horizontal="right" vertical="center" wrapText="1" indent="1"/>
      <protection/>
    </xf>
    <xf numFmtId="10" fontId="47" fillId="0" borderId="15" xfId="60" applyNumberFormat="1" applyFont="1" applyFill="1" applyBorder="1" applyAlignment="1" applyProtection="1">
      <alignment horizontal="right" vertical="center" wrapText="1" indent="1"/>
      <protection/>
    </xf>
    <xf numFmtId="10" fontId="47" fillId="0" borderId="19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20" xfId="60" applyFont="1" applyFill="1" applyBorder="1" applyAlignment="1" applyProtection="1">
      <alignment horizontal="center" vertical="center" wrapText="1"/>
      <protection/>
    </xf>
    <xf numFmtId="167" fontId="5" fillId="0" borderId="13" xfId="0" applyNumberFormat="1" applyFont="1" applyBorder="1" applyAlignment="1">
      <alignment vertical="center"/>
    </xf>
    <xf numFmtId="3" fontId="47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9" fillId="0" borderId="10" xfId="0" applyFont="1" applyBorder="1" applyAlignment="1" applyProtection="1">
      <alignment horizontal="left" vertical="center" wrapText="1" indent="1"/>
      <protection/>
    </xf>
    <xf numFmtId="167" fontId="50" fillId="0" borderId="10" xfId="60" applyNumberFormat="1" applyFont="1" applyFill="1" applyBorder="1" applyAlignment="1" applyProtection="1">
      <alignment horizontal="right" vertical="center" wrapText="1" indent="1"/>
      <protection/>
    </xf>
    <xf numFmtId="10" fontId="50" fillId="0" borderId="15" xfId="60" applyNumberFormat="1" applyFont="1" applyFill="1" applyBorder="1" applyAlignment="1" applyProtection="1">
      <alignment horizontal="right" vertical="center" wrapText="1" indent="1"/>
      <protection/>
    </xf>
    <xf numFmtId="10" fontId="46" fillId="0" borderId="19" xfId="60" applyNumberFormat="1" applyFont="1" applyFill="1" applyBorder="1" applyAlignment="1" applyProtection="1">
      <alignment horizontal="right" vertical="center" wrapText="1" indent="1"/>
      <protection/>
    </xf>
    <xf numFmtId="167" fontId="5" fillId="0" borderId="12" xfId="0" applyNumberFormat="1" applyFont="1" applyBorder="1" applyAlignment="1">
      <alignment horizontal="right" vertical="center"/>
    </xf>
    <xf numFmtId="167" fontId="2" fillId="0" borderId="27" xfId="0" applyNumberFormat="1" applyFont="1" applyBorder="1" applyAlignment="1">
      <alignment vertical="center"/>
    </xf>
    <xf numFmtId="0" fontId="46" fillId="0" borderId="26" xfId="60" applyFont="1" applyFill="1" applyBorder="1" applyAlignment="1" applyProtection="1">
      <alignment horizontal="left" vertical="center" wrapText="1" indent="1"/>
      <protection/>
    </xf>
    <xf numFmtId="10" fontId="47" fillId="0" borderId="25" xfId="60" applyNumberFormat="1" applyFont="1" applyFill="1" applyBorder="1" applyAlignment="1" applyProtection="1">
      <alignment horizontal="right" vertical="center" wrapText="1" indent="1"/>
      <protection/>
    </xf>
    <xf numFmtId="10" fontId="2" fillId="0" borderId="33" xfId="60" applyNumberFormat="1" applyFont="1" applyFill="1" applyBorder="1" applyAlignment="1" applyProtection="1">
      <alignment horizontal="right" vertical="center" wrapText="1" indent="1"/>
      <protection/>
    </xf>
    <xf numFmtId="49" fontId="46" fillId="0" borderId="17" xfId="60" applyNumberFormat="1" applyFont="1" applyFill="1" applyBorder="1" applyAlignment="1" applyProtection="1">
      <alignment horizontal="center" vertical="center" wrapText="1"/>
      <protection/>
    </xf>
    <xf numFmtId="0" fontId="46" fillId="0" borderId="43" xfId="60" applyFont="1" applyFill="1" applyBorder="1" applyAlignment="1" applyProtection="1">
      <alignment horizontal="left" vertical="center" wrapText="1" indent="1"/>
      <protection/>
    </xf>
    <xf numFmtId="0" fontId="46" fillId="0" borderId="44" xfId="60" applyFont="1" applyFill="1" applyBorder="1" applyAlignment="1" applyProtection="1">
      <alignment vertical="center" wrapText="1"/>
      <protection/>
    </xf>
    <xf numFmtId="167" fontId="46" fillId="0" borderId="44" xfId="60" applyNumberFormat="1" applyFont="1" applyFill="1" applyBorder="1" applyAlignment="1" applyProtection="1">
      <alignment horizontal="right" vertical="center" wrapText="1" indent="1"/>
      <protection/>
    </xf>
    <xf numFmtId="49" fontId="47" fillId="0" borderId="28" xfId="60" applyNumberFormat="1" applyFont="1" applyFill="1" applyBorder="1" applyAlignment="1" applyProtection="1">
      <alignment horizontal="left" vertical="center" wrapText="1" indent="1"/>
      <protection/>
    </xf>
    <xf numFmtId="167" fontId="47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6" xfId="60" applyFont="1" applyFill="1" applyBorder="1" applyAlignment="1" applyProtection="1">
      <alignment horizontal="left" vertical="center" wrapText="1" indent="1"/>
      <protection/>
    </xf>
    <xf numFmtId="0" fontId="47" fillId="0" borderId="0" xfId="60" applyFont="1" applyFill="1" applyBorder="1" applyAlignment="1" applyProtection="1">
      <alignment horizontal="left" vertical="center" wrapText="1" indent="1"/>
      <protection/>
    </xf>
    <xf numFmtId="0" fontId="47" fillId="0" borderId="10" xfId="60" applyFont="1" applyFill="1" applyBorder="1" applyAlignment="1" applyProtection="1">
      <alignment horizontal="left" indent="6"/>
      <protection/>
    </xf>
    <xf numFmtId="0" fontId="47" fillId="0" borderId="10" xfId="60" applyFont="1" applyFill="1" applyBorder="1" applyAlignment="1" applyProtection="1">
      <alignment horizontal="left" vertical="center" wrapText="1" indent="6"/>
      <protection/>
    </xf>
    <xf numFmtId="49" fontId="47" fillId="0" borderId="48" xfId="60" applyNumberFormat="1" applyFont="1" applyFill="1" applyBorder="1" applyAlignment="1" applyProtection="1">
      <alignment horizontal="left" vertical="center" wrapText="1" indent="1"/>
      <protection/>
    </xf>
    <xf numFmtId="0" fontId="47" fillId="0" borderId="12" xfId="60" applyFont="1" applyFill="1" applyBorder="1" applyAlignment="1" applyProtection="1">
      <alignment horizontal="left" vertical="center" wrapText="1" indent="6"/>
      <protection/>
    </xf>
    <xf numFmtId="0" fontId="47" fillId="0" borderId="21" xfId="60" applyFont="1" applyFill="1" applyBorder="1" applyAlignment="1" applyProtection="1">
      <alignment horizontal="left" vertical="center" wrapText="1" indent="6"/>
      <protection/>
    </xf>
    <xf numFmtId="167" fontId="47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27" xfId="60" applyFont="1" applyFill="1" applyBorder="1" applyAlignment="1" applyProtection="1">
      <alignment vertical="center" wrapText="1"/>
      <protection/>
    </xf>
    <xf numFmtId="167" fontId="46" fillId="0" borderId="50" xfId="60" applyNumberFormat="1" applyFont="1" applyFill="1" applyBorder="1" applyAlignment="1" applyProtection="1">
      <alignment horizontal="right" vertical="center" wrapText="1" indent="1"/>
      <protection/>
    </xf>
    <xf numFmtId="167" fontId="47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2" xfId="60" applyFont="1" applyFill="1" applyBorder="1" applyAlignment="1" applyProtection="1">
      <alignment horizontal="left" vertical="center" wrapText="1" indent="1"/>
      <protection/>
    </xf>
    <xf numFmtId="0" fontId="47" fillId="0" borderId="11" xfId="60" applyFont="1" applyFill="1" applyBorder="1" applyAlignment="1" applyProtection="1">
      <alignment horizontal="left" vertical="center" wrapText="1" indent="6"/>
      <protection/>
    </xf>
    <xf numFmtId="0" fontId="46" fillId="0" borderId="27" xfId="60" applyFont="1" applyFill="1" applyBorder="1" applyAlignment="1" applyProtection="1">
      <alignment horizontal="left" vertical="center" wrapText="1" indent="1"/>
      <protection/>
    </xf>
    <xf numFmtId="0" fontId="47" fillId="0" borderId="11" xfId="60" applyFont="1" applyFill="1" applyBorder="1" applyAlignment="1" applyProtection="1">
      <alignment horizontal="left" vertical="center" wrapText="1" indent="1"/>
      <protection/>
    </xf>
    <xf numFmtId="0" fontId="47" fillId="0" borderId="52" xfId="60" applyFont="1" applyFill="1" applyBorder="1" applyAlignment="1" applyProtection="1">
      <alignment horizontal="left" vertical="center" wrapText="1" indent="1"/>
      <protection/>
    </xf>
    <xf numFmtId="167" fontId="23" fillId="0" borderId="27" xfId="0" applyNumberFormat="1" applyFont="1" applyBorder="1" applyAlignment="1" applyProtection="1">
      <alignment horizontal="right" vertical="center" wrapText="1" indent="1"/>
      <protection/>
    </xf>
    <xf numFmtId="167" fontId="21" fillId="0" borderId="27" xfId="0" applyNumberFormat="1" applyFont="1" applyBorder="1" applyAlignment="1" applyProtection="1" quotePrefix="1">
      <alignment horizontal="right" vertical="center" wrapText="1" indent="1"/>
      <protection/>
    </xf>
    <xf numFmtId="167" fontId="21" fillId="0" borderId="50" xfId="0" applyNumberFormat="1" applyFont="1" applyBorder="1" applyAlignment="1" applyProtection="1" quotePrefix="1">
      <alignment horizontal="right" vertical="center" wrapText="1" indent="1"/>
      <protection/>
    </xf>
    <xf numFmtId="0" fontId="23" fillId="0" borderId="34" xfId="0" applyFont="1" applyBorder="1" applyAlignment="1" applyProtection="1">
      <alignment horizontal="left" vertical="center" wrapText="1" indent="1"/>
      <protection/>
    </xf>
    <xf numFmtId="10" fontId="47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46" fillId="0" borderId="43" xfId="60" applyFont="1" applyFill="1" applyBorder="1" applyAlignment="1" applyProtection="1">
      <alignment vertical="center" wrapText="1"/>
      <protection/>
    </xf>
    <xf numFmtId="0" fontId="47" fillId="0" borderId="28" xfId="60" applyFont="1" applyFill="1" applyBorder="1" applyAlignment="1" applyProtection="1">
      <alignment horizontal="left" vertical="center" wrapText="1" indent="1"/>
      <protection/>
    </xf>
    <xf numFmtId="0" fontId="47" fillId="0" borderId="17" xfId="60" applyFont="1" applyFill="1" applyBorder="1" applyAlignment="1" applyProtection="1">
      <alignment horizontal="left" vertical="center" wrapText="1" indent="1"/>
      <protection/>
    </xf>
    <xf numFmtId="0" fontId="47" fillId="0" borderId="53" xfId="60" applyFont="1" applyFill="1" applyBorder="1" applyAlignment="1" applyProtection="1">
      <alignment horizontal="left" vertical="center" wrapText="1" indent="1"/>
      <protection/>
    </xf>
    <xf numFmtId="0" fontId="46" fillId="0" borderId="18" xfId="60" applyFont="1" applyFill="1" applyBorder="1" applyAlignment="1" applyProtection="1">
      <alignment vertical="center" wrapText="1"/>
      <protection/>
    </xf>
    <xf numFmtId="0" fontId="47" fillId="0" borderId="26" xfId="60" applyFont="1" applyFill="1" applyBorder="1" applyAlignment="1" applyProtection="1">
      <alignment horizontal="left" vertical="center" wrapText="1" indent="1"/>
      <protection/>
    </xf>
    <xf numFmtId="0" fontId="19" fillId="0" borderId="26" xfId="0" applyFont="1" applyBorder="1" applyAlignment="1" applyProtection="1">
      <alignment horizontal="left" vertical="center" wrapText="1" indent="1"/>
      <protection/>
    </xf>
    <xf numFmtId="0" fontId="46" fillId="0" borderId="18" xfId="60" applyFont="1" applyFill="1" applyBorder="1" applyAlignment="1" applyProtection="1">
      <alignment horizontal="left" vertical="center" wrapText="1" indent="1"/>
      <protection/>
    </xf>
    <xf numFmtId="0" fontId="23" fillId="0" borderId="20" xfId="0" applyFont="1" applyBorder="1" applyAlignment="1" applyProtection="1">
      <alignment vertical="center" wrapText="1"/>
      <protection/>
    </xf>
    <xf numFmtId="167" fontId="47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3" xfId="60" applyNumberFormat="1" applyFont="1" applyFill="1" applyBorder="1" applyAlignment="1" applyProtection="1">
      <alignment horizontal="right" vertical="center" wrapText="1" indent="1"/>
      <protection/>
    </xf>
    <xf numFmtId="167" fontId="47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46" fillId="0" borderId="54" xfId="60" applyFont="1" applyFill="1" applyBorder="1" applyAlignment="1" applyProtection="1">
      <alignment vertical="center" wrapText="1"/>
      <protection/>
    </xf>
    <xf numFmtId="0" fontId="47" fillId="0" borderId="55" xfId="60" applyFont="1" applyFill="1" applyBorder="1" applyAlignment="1" applyProtection="1">
      <alignment horizontal="left" vertical="center" wrapText="1" indent="1"/>
      <protection/>
    </xf>
    <xf numFmtId="0" fontId="46" fillId="0" borderId="23" xfId="60" applyFont="1" applyFill="1" applyBorder="1" applyAlignment="1" applyProtection="1">
      <alignment vertical="center" wrapText="1"/>
      <protection/>
    </xf>
    <xf numFmtId="0" fontId="47" fillId="0" borderId="22" xfId="6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left" vertical="center" wrapText="1" indent="1"/>
      <protection/>
    </xf>
    <xf numFmtId="0" fontId="46" fillId="0" borderId="23" xfId="60" applyFont="1" applyFill="1" applyBorder="1" applyAlignment="1" applyProtection="1">
      <alignment horizontal="left" vertical="center" wrapText="1" indent="1"/>
      <protection/>
    </xf>
    <xf numFmtId="0" fontId="47" fillId="0" borderId="24" xfId="60" applyFont="1" applyFill="1" applyBorder="1" applyAlignment="1" applyProtection="1">
      <alignment horizontal="left" vertical="center" wrapText="1" indent="1"/>
      <protection/>
    </xf>
    <xf numFmtId="0" fontId="23" fillId="0" borderId="56" xfId="0" applyFont="1" applyBorder="1" applyAlignment="1" applyProtection="1">
      <alignment vertical="center" wrapText="1"/>
      <protection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6" fillId="0" borderId="54" xfId="60" applyFont="1" applyFill="1" applyBorder="1" applyAlignment="1" applyProtection="1">
      <alignment horizontal="left" vertical="center" wrapText="1" indent="1"/>
      <protection/>
    </xf>
    <xf numFmtId="0" fontId="46" fillId="0" borderId="60" xfId="60" applyFont="1" applyFill="1" applyBorder="1" applyAlignment="1" applyProtection="1">
      <alignment horizontal="left" vertical="center" wrapText="1" indent="1"/>
      <protection/>
    </xf>
    <xf numFmtId="167" fontId="46" fillId="0" borderId="32" xfId="60" applyNumberFormat="1" applyFont="1" applyFill="1" applyBorder="1" applyAlignment="1" applyProtection="1">
      <alignment horizontal="right" vertical="center" wrapText="1" indent="1"/>
      <protection/>
    </xf>
    <xf numFmtId="10" fontId="47" fillId="0" borderId="61" xfId="60" applyNumberFormat="1" applyFont="1" applyFill="1" applyBorder="1" applyAlignment="1" applyProtection="1">
      <alignment horizontal="right" vertical="center" wrapText="1" indent="1"/>
      <protection/>
    </xf>
    <xf numFmtId="0" fontId="47" fillId="0" borderId="28" xfId="60" applyFont="1" applyFill="1" applyBorder="1" applyAlignment="1" applyProtection="1">
      <alignment horizontal="left" vertical="center" wrapText="1" indent="1"/>
      <protection/>
    </xf>
    <xf numFmtId="167" fontId="47" fillId="0" borderId="13" xfId="60" applyNumberFormat="1" applyFont="1" applyFill="1" applyBorder="1" applyAlignment="1" applyProtection="1">
      <alignment horizontal="right" vertical="center" wrapText="1" indent="1"/>
      <protection/>
    </xf>
    <xf numFmtId="0" fontId="47" fillId="0" borderId="17" xfId="60" applyFont="1" applyFill="1" applyBorder="1" applyAlignment="1" applyProtection="1">
      <alignment horizontal="left" vertical="center" wrapText="1" indent="1"/>
      <protection/>
    </xf>
    <xf numFmtId="0" fontId="19" fillId="0" borderId="20" xfId="0" applyFont="1" applyBorder="1" applyAlignment="1" applyProtection="1">
      <alignment horizontal="left" wrapText="1" indent="1"/>
      <protection/>
    </xf>
    <xf numFmtId="167" fontId="47" fillId="0" borderId="21" xfId="60" applyNumberFormat="1" applyFont="1" applyFill="1" applyBorder="1" applyAlignment="1" applyProtection="1">
      <alignment horizontal="right" vertical="center" wrapText="1" indent="1"/>
      <protection/>
    </xf>
    <xf numFmtId="3" fontId="4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35" borderId="19" xfId="6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62" xfId="60" applyNumberFormat="1" applyFont="1" applyFill="1" applyBorder="1" applyAlignment="1" applyProtection="1">
      <alignment horizontal="right" vertical="center" wrapText="1" indent="1"/>
      <protection/>
    </xf>
    <xf numFmtId="167" fontId="47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64" xfId="60" applyNumberFormat="1" applyFont="1" applyFill="1" applyBorder="1" applyAlignment="1" applyProtection="1">
      <alignment horizontal="right" vertical="center" wrapText="1" indent="1"/>
      <protection/>
    </xf>
    <xf numFmtId="167" fontId="46" fillId="35" borderId="64" xfId="60" applyNumberFormat="1" applyFont="1" applyFill="1" applyBorder="1" applyAlignment="1" applyProtection="1">
      <alignment horizontal="right" vertical="center" wrapText="1" indent="1"/>
      <protection/>
    </xf>
    <xf numFmtId="167" fontId="47" fillId="35" borderId="37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35" borderId="38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5" xfId="60" applyNumberFormat="1" applyFont="1" applyFill="1" applyBorder="1" applyAlignment="1" applyProtection="1">
      <alignment horizontal="right" vertical="center" wrapText="1" indent="1"/>
      <protection/>
    </xf>
    <xf numFmtId="167" fontId="47" fillId="0" borderId="35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66" xfId="60" applyNumberFormat="1" applyFont="1" applyFill="1" applyBorder="1" applyAlignment="1" applyProtection="1">
      <alignment horizontal="right" vertical="center" wrapText="1" indent="1"/>
      <protection/>
    </xf>
    <xf numFmtId="167" fontId="21" fillId="0" borderId="64" xfId="0" applyNumberFormat="1" applyFont="1" applyBorder="1" applyAlignment="1" applyProtection="1" quotePrefix="1">
      <alignment horizontal="right" vertical="center" wrapText="1" indent="1"/>
      <protection/>
    </xf>
    <xf numFmtId="167" fontId="46" fillId="0" borderId="35" xfId="60" applyNumberFormat="1" applyFont="1" applyFill="1" applyBorder="1" applyAlignment="1" applyProtection="1">
      <alignment horizontal="right" vertical="center" wrapText="1" indent="1"/>
      <protection/>
    </xf>
    <xf numFmtId="167" fontId="5" fillId="0" borderId="65" xfId="0" applyNumberFormat="1" applyFont="1" applyBorder="1" applyAlignment="1">
      <alignment vertical="center"/>
    </xf>
    <xf numFmtId="167" fontId="5" fillId="0" borderId="67" xfId="0" applyNumberFormat="1" applyFont="1" applyBorder="1" applyAlignment="1">
      <alignment horizontal="right" vertical="center"/>
    </xf>
    <xf numFmtId="167" fontId="2" fillId="0" borderId="64" xfId="0" applyNumberFormat="1" applyFont="1" applyBorder="1" applyAlignment="1">
      <alignment vertical="center"/>
    </xf>
    <xf numFmtId="10" fontId="50" fillId="0" borderId="61" xfId="60" applyNumberFormat="1" applyFont="1" applyFill="1" applyBorder="1" applyAlignment="1" applyProtection="1">
      <alignment horizontal="right" vertical="center" wrapText="1" indent="1"/>
      <protection/>
    </xf>
    <xf numFmtId="10" fontId="50" fillId="0" borderId="39" xfId="60" applyNumberFormat="1" applyFont="1" applyFill="1" applyBorder="1" applyAlignment="1" applyProtection="1">
      <alignment horizontal="right" vertical="center" wrapText="1" indent="1"/>
      <protection/>
    </xf>
    <xf numFmtId="3" fontId="47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64" xfId="60" applyNumberFormat="1" applyFont="1" applyFill="1" applyBorder="1" applyAlignment="1" applyProtection="1">
      <alignment horizontal="right" vertical="center" wrapText="1" indent="1"/>
      <protection/>
    </xf>
    <xf numFmtId="10" fontId="46" fillId="0" borderId="39" xfId="60" applyNumberFormat="1" applyFont="1" applyFill="1" applyBorder="1" applyAlignment="1" applyProtection="1">
      <alignment horizontal="right" vertical="center" wrapText="1" indent="1"/>
      <protection/>
    </xf>
    <xf numFmtId="10" fontId="50" fillId="0" borderId="19" xfId="60" applyNumberFormat="1" applyFont="1" applyFill="1" applyBorder="1" applyAlignment="1" applyProtection="1">
      <alignment horizontal="right" vertical="center" wrapText="1" indent="1"/>
      <protection/>
    </xf>
    <xf numFmtId="10" fontId="46" fillId="0" borderId="14" xfId="60" applyNumberFormat="1" applyFont="1" applyFill="1" applyBorder="1" applyAlignment="1" applyProtection="1">
      <alignment horizontal="right" vertical="center" wrapText="1" indent="1"/>
      <protection/>
    </xf>
    <xf numFmtId="10" fontId="46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0" fillId="0" borderId="50" xfId="60" applyFont="1" applyFill="1" applyBorder="1" applyAlignment="1" applyProtection="1">
      <alignment horizontal="left" vertical="center" wrapText="1"/>
      <protection/>
    </xf>
    <xf numFmtId="167" fontId="47" fillId="35" borderId="25" xfId="60" applyNumberFormat="1" applyFont="1" applyFill="1" applyBorder="1" applyAlignment="1" applyProtection="1">
      <alignment horizontal="right" vertical="center" wrapText="1" indent="1"/>
      <protection locked="0"/>
    </xf>
    <xf numFmtId="10" fontId="2" fillId="0" borderId="39" xfId="60" applyNumberFormat="1" applyFont="1" applyFill="1" applyBorder="1" applyAlignment="1" applyProtection="1">
      <alignment horizontal="right" vertical="center" wrapText="1" indent="1"/>
      <protection/>
    </xf>
    <xf numFmtId="3" fontId="46" fillId="0" borderId="27" xfId="60" applyNumberFormat="1" applyFont="1" applyFill="1" applyBorder="1" applyAlignment="1" applyProtection="1">
      <alignment horizontal="right" vertical="center" wrapText="1" indent="1"/>
      <protection/>
    </xf>
    <xf numFmtId="0" fontId="47" fillId="0" borderId="20" xfId="60" applyFont="1" applyFill="1" applyBorder="1" applyAlignment="1" applyProtection="1">
      <alignment horizontal="left" vertical="center" wrapText="1" indent="1"/>
      <protection/>
    </xf>
    <xf numFmtId="0" fontId="52" fillId="0" borderId="41" xfId="0" applyFont="1" applyFill="1" applyBorder="1" applyAlignment="1" applyProtection="1">
      <alignment horizontal="right" vertical="center"/>
      <protection/>
    </xf>
    <xf numFmtId="167" fontId="47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41" xfId="60" applyNumberFormat="1" applyFont="1" applyFill="1" applyBorder="1" applyAlignment="1" applyProtection="1">
      <alignment/>
      <protection/>
    </xf>
    <xf numFmtId="0" fontId="52" fillId="0" borderId="41" xfId="0" applyFont="1" applyFill="1" applyBorder="1" applyAlignment="1" applyProtection="1">
      <alignment horizontal="right"/>
      <protection/>
    </xf>
    <xf numFmtId="0" fontId="7" fillId="0" borderId="19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Protection="1">
      <alignment/>
      <protection/>
    </xf>
    <xf numFmtId="0" fontId="3" fillId="0" borderId="0" xfId="60" applyFont="1" applyFill="1" applyAlignment="1" applyProtection="1">
      <alignment horizontal="right" vertical="center" indent="1"/>
      <protection/>
    </xf>
    <xf numFmtId="167" fontId="51" fillId="0" borderId="41" xfId="60" applyNumberFormat="1" applyFont="1" applyFill="1" applyBorder="1" applyAlignment="1" applyProtection="1">
      <alignment horizontal="left" vertical="center"/>
      <protection/>
    </xf>
    <xf numFmtId="0" fontId="3" fillId="0" borderId="0" xfId="60" applyFill="1" applyProtection="1">
      <alignment/>
      <protection/>
    </xf>
    <xf numFmtId="0" fontId="23" fillId="0" borderId="0" xfId="0" applyFont="1" applyBorder="1" applyAlignment="1" applyProtection="1">
      <alignment vertical="center" wrapText="1"/>
      <protection/>
    </xf>
    <xf numFmtId="167" fontId="46" fillId="0" borderId="0" xfId="60" applyNumberFormat="1" applyFont="1" applyFill="1" applyBorder="1" applyAlignment="1" applyProtection="1">
      <alignment horizontal="right" vertical="center" wrapText="1" indent="1"/>
      <protection/>
    </xf>
    <xf numFmtId="167" fontId="47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36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56" xfId="60" applyFont="1" applyFill="1" applyBorder="1" applyAlignment="1" applyProtection="1">
      <alignment horizontal="center" vertical="center" wrapText="1"/>
      <protection/>
    </xf>
    <xf numFmtId="0" fontId="46" fillId="0" borderId="23" xfId="60" applyFont="1" applyFill="1" applyBorder="1" applyAlignment="1" applyProtection="1">
      <alignment horizontal="center" vertical="center" wrapText="1"/>
      <protection/>
    </xf>
    <xf numFmtId="167" fontId="47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50" xfId="60" applyFont="1" applyFill="1" applyBorder="1" applyAlignment="1" applyProtection="1">
      <alignment horizontal="center" vertical="center" wrapText="1"/>
      <protection/>
    </xf>
    <xf numFmtId="167" fontId="46" fillId="0" borderId="18" xfId="60" applyNumberFormat="1" applyFont="1" applyFill="1" applyBorder="1" applyAlignment="1" applyProtection="1">
      <alignment horizontal="right" vertical="center" wrapText="1" indent="1"/>
      <protection/>
    </xf>
    <xf numFmtId="167" fontId="4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18" xfId="60" applyNumberFormat="1" applyFont="1" applyFill="1" applyBorder="1" applyAlignment="1" applyProtection="1">
      <alignment horizontal="right" vertical="center" wrapText="1" indent="1"/>
      <protection/>
    </xf>
    <xf numFmtId="167" fontId="47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71" xfId="60" applyFont="1" applyFill="1" applyBorder="1" applyAlignment="1" applyProtection="1">
      <alignment horizontal="center" vertical="center" wrapText="1"/>
      <protection/>
    </xf>
    <xf numFmtId="0" fontId="7" fillId="0" borderId="72" xfId="60" applyFont="1" applyFill="1" applyBorder="1" applyAlignment="1" applyProtection="1">
      <alignment horizontal="center" vertical="center" wrapText="1"/>
      <protection/>
    </xf>
    <xf numFmtId="0" fontId="46" fillId="0" borderId="73" xfId="60" applyFont="1" applyFill="1" applyBorder="1" applyAlignment="1" applyProtection="1">
      <alignment horizontal="center" vertical="center" wrapText="1"/>
      <protection/>
    </xf>
    <xf numFmtId="0" fontId="46" fillId="0" borderId="74" xfId="60" applyFont="1" applyFill="1" applyBorder="1" applyAlignment="1" applyProtection="1">
      <alignment horizontal="center" vertical="center" wrapText="1"/>
      <protection/>
    </xf>
    <xf numFmtId="167" fontId="46" fillId="0" borderId="73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74" xfId="60" applyNumberFormat="1" applyFont="1" applyFill="1" applyBorder="1" applyAlignment="1" applyProtection="1">
      <alignment horizontal="right" vertical="center" wrapText="1" indent="1"/>
      <protection/>
    </xf>
    <xf numFmtId="167" fontId="47" fillId="0" borderId="75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6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7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8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9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0" xfId="6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73" xfId="60" applyNumberFormat="1" applyFont="1" applyFill="1" applyBorder="1" applyAlignment="1" applyProtection="1">
      <alignment horizontal="right" vertical="center" wrapText="1" indent="1"/>
      <protection/>
    </xf>
    <xf numFmtId="167" fontId="47" fillId="0" borderId="77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8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9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0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5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6" xfId="6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73" xfId="6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74" xfId="6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81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82" xfId="60" applyNumberFormat="1" applyFont="1" applyFill="1" applyBorder="1" applyAlignment="1" applyProtection="1">
      <alignment horizontal="right" vertical="center" wrapText="1" indent="1"/>
      <protection/>
    </xf>
    <xf numFmtId="167" fontId="47" fillId="0" borderId="83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4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5" xfId="60" applyNumberFormat="1" applyFont="1" applyFill="1" applyBorder="1" applyAlignment="1" applyProtection="1">
      <alignment horizontal="right" vertical="center" wrapText="1" indent="1"/>
      <protection locked="0"/>
    </xf>
    <xf numFmtId="167" fontId="23" fillId="0" borderId="73" xfId="0" applyNumberFormat="1" applyFont="1" applyBorder="1" applyAlignment="1" applyProtection="1">
      <alignment horizontal="right" vertical="center" wrapText="1" indent="1"/>
      <protection/>
    </xf>
    <xf numFmtId="167" fontId="21" fillId="0" borderId="73" xfId="0" applyNumberFormat="1" applyFont="1" applyBorder="1" applyAlignment="1" applyProtection="1" quotePrefix="1">
      <alignment horizontal="right" vertical="center" wrapText="1" indent="1"/>
      <protection/>
    </xf>
    <xf numFmtId="167" fontId="46" fillId="0" borderId="86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87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88" xfId="60" applyNumberFormat="1" applyFont="1" applyFill="1" applyBorder="1" applyAlignment="1" applyProtection="1">
      <alignment horizontal="right" vertical="center" wrapText="1" inden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23" fillId="0" borderId="34" xfId="0" applyFont="1" applyBorder="1" applyAlignment="1" applyProtection="1">
      <alignment horizontal="center" vertical="center" wrapText="1"/>
      <protection/>
    </xf>
    <xf numFmtId="167" fontId="46" fillId="0" borderId="10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83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13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89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77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90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71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21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72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91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92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32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93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94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54" xfId="60" applyNumberFormat="1" applyFont="1" applyFill="1" applyBorder="1" applyAlignment="1" applyProtection="1">
      <alignment horizontal="right" vertical="center" wrapText="1" indent="1"/>
      <protection/>
    </xf>
    <xf numFmtId="167" fontId="47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23" xfId="0" applyNumberFormat="1" applyFont="1" applyBorder="1" applyAlignment="1" applyProtection="1" quotePrefix="1">
      <alignment horizontal="right" vertical="center" wrapText="1" indent="1"/>
      <protection/>
    </xf>
    <xf numFmtId="167" fontId="46" fillId="0" borderId="43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95" xfId="60" applyNumberFormat="1" applyFont="1" applyFill="1" applyBorder="1" applyAlignment="1" applyProtection="1">
      <alignment horizontal="right" vertical="center" wrapText="1" indent="1"/>
      <protection/>
    </xf>
    <xf numFmtId="167" fontId="47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7" fontId="21" fillId="0" borderId="18" xfId="0" applyNumberFormat="1" applyFont="1" applyBorder="1" applyAlignment="1" applyProtection="1" quotePrefix="1">
      <alignment horizontal="right" vertical="center" wrapText="1" indent="1"/>
      <protection/>
    </xf>
    <xf numFmtId="167" fontId="46" fillId="0" borderId="96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97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98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84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78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85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39" xfId="60" applyNumberFormat="1" applyFont="1" applyFill="1" applyBorder="1" applyAlignment="1" applyProtection="1">
      <alignment horizontal="right" vertical="center" wrapText="1" indent="1"/>
      <protection/>
    </xf>
    <xf numFmtId="167" fontId="46" fillId="0" borderId="88" xfId="60" applyNumberFormat="1" applyFont="1" applyFill="1" applyBorder="1" applyAlignment="1" applyProtection="1">
      <alignment horizontal="right" vertical="center" wrapText="1" indent="1"/>
      <protection/>
    </xf>
    <xf numFmtId="167" fontId="23" fillId="0" borderId="64" xfId="0" applyNumberFormat="1" applyFont="1" applyBorder="1" applyAlignment="1" applyProtection="1">
      <alignment horizontal="right" vertical="center" wrapText="1" indent="1"/>
      <protection/>
    </xf>
    <xf numFmtId="167" fontId="23" fillId="0" borderId="23" xfId="0" applyNumberFormat="1" applyFont="1" applyBorder="1" applyAlignment="1" applyProtection="1">
      <alignment horizontal="right" vertical="center" wrapText="1" indent="1"/>
      <protection/>
    </xf>
    <xf numFmtId="167" fontId="23" fillId="0" borderId="18" xfId="0" applyNumberFormat="1" applyFont="1" applyBorder="1" applyAlignment="1" applyProtection="1">
      <alignment horizontal="right" vertical="center" wrapText="1" indent="1"/>
      <protection/>
    </xf>
    <xf numFmtId="167" fontId="23" fillId="0" borderId="39" xfId="0" applyNumberFormat="1" applyFont="1" applyBorder="1" applyAlignment="1" applyProtection="1">
      <alignment horizontal="right" vertical="center" wrapText="1" indent="1"/>
      <protection/>
    </xf>
    <xf numFmtId="167" fontId="21" fillId="0" borderId="39" xfId="0" applyNumberFormat="1" applyFont="1" applyBorder="1" applyAlignment="1" applyProtection="1" quotePrefix="1">
      <alignment horizontal="right" vertical="center" wrapText="1" indent="1"/>
      <protection/>
    </xf>
    <xf numFmtId="167" fontId="23" fillId="0" borderId="88" xfId="0" applyNumberFormat="1" applyFont="1" applyBorder="1" applyAlignment="1" applyProtection="1">
      <alignment horizontal="right" vertical="center" wrapText="1" indent="1"/>
      <protection/>
    </xf>
    <xf numFmtId="167" fontId="21" fillId="0" borderId="88" xfId="0" applyNumberFormat="1" applyFont="1" applyBorder="1" applyAlignment="1" applyProtection="1" quotePrefix="1">
      <alignment horizontal="right" vertical="center" wrapText="1" indent="1"/>
      <protection/>
    </xf>
    <xf numFmtId="167" fontId="4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9" xfId="0" applyFont="1" applyBorder="1" applyAlignment="1">
      <alignment horizontal="center" vertical="center"/>
    </xf>
    <xf numFmtId="0" fontId="19" fillId="0" borderId="67" xfId="0" applyFont="1" applyBorder="1" applyAlignment="1" applyProtection="1">
      <alignment horizontal="left" vertical="center" wrapText="1" indent="1"/>
      <protection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3" fontId="13" fillId="0" borderId="16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34" borderId="1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17" xfId="62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" fontId="21" fillId="0" borderId="26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3" fontId="14" fillId="0" borderId="15" xfId="0" applyNumberFormat="1" applyFont="1" applyBorder="1" applyAlignment="1">
      <alignment vertical="center"/>
    </xf>
    <xf numFmtId="164" fontId="5" fillId="0" borderId="22" xfId="62" applyNumberFormat="1" applyFont="1" applyFill="1" applyBorder="1" applyAlignment="1">
      <alignment vertical="center"/>
      <protection/>
    </xf>
    <xf numFmtId="164" fontId="6" fillId="0" borderId="19" xfId="62" applyNumberFormat="1" applyFont="1" applyBorder="1" applyAlignment="1">
      <alignment vertical="center"/>
      <protection/>
    </xf>
    <xf numFmtId="0" fontId="16" fillId="0" borderId="16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vertical="center"/>
    </xf>
    <xf numFmtId="0" fontId="39" fillId="0" borderId="67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" fontId="9" fillId="0" borderId="47" xfId="0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67" xfId="0" applyFont="1" applyFill="1" applyBorder="1" applyAlignment="1">
      <alignment vertical="center" wrapText="1"/>
    </xf>
    <xf numFmtId="3" fontId="39" fillId="0" borderId="28" xfId="0" applyNumberFormat="1" applyFont="1" applyFill="1" applyBorder="1" applyAlignment="1">
      <alignment vertical="center"/>
    </xf>
    <xf numFmtId="3" fontId="39" fillId="0" borderId="17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39" fillId="0" borderId="30" xfId="0" applyFont="1" applyFill="1" applyBorder="1" applyAlignment="1">
      <alignment horizontal="right" vertical="center"/>
    </xf>
    <xf numFmtId="0" fontId="39" fillId="0" borderId="37" xfId="0" applyFont="1" applyFill="1" applyBorder="1" applyAlignment="1">
      <alignment horizontal="right" vertical="center"/>
    </xf>
    <xf numFmtId="3" fontId="39" fillId="0" borderId="17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21" fillId="0" borderId="67" xfId="0" applyFont="1" applyBorder="1" applyAlignment="1">
      <alignment horizontal="center" vertical="center" wrapText="1"/>
    </xf>
    <xf numFmtId="0" fontId="15" fillId="0" borderId="65" xfId="0" applyFont="1" applyFill="1" applyBorder="1" applyAlignment="1">
      <alignment vertical="center"/>
    </xf>
    <xf numFmtId="0" fontId="21" fillId="0" borderId="31" xfId="0" applyFont="1" applyBorder="1" applyAlignment="1">
      <alignment horizontal="center" vertical="center" wrapText="1"/>
    </xf>
    <xf numFmtId="10" fontId="17" fillId="0" borderId="31" xfId="0" applyNumberFormat="1" applyFont="1" applyBorder="1" applyAlignment="1">
      <alignment vertical="center"/>
    </xf>
    <xf numFmtId="0" fontId="9" fillId="0" borderId="31" xfId="0" applyFont="1" applyFill="1" applyBorder="1" applyAlignment="1">
      <alignment horizontal="right" vertical="center"/>
    </xf>
    <xf numFmtId="10" fontId="17" fillId="0" borderId="68" xfId="0" applyNumberFormat="1" applyFont="1" applyBorder="1" applyAlignment="1">
      <alignment vertical="center"/>
    </xf>
    <xf numFmtId="10" fontId="39" fillId="0" borderId="31" xfId="0" applyNumberFormat="1" applyFont="1" applyFill="1" applyBorder="1" applyAlignment="1">
      <alignment vertical="center"/>
    </xf>
    <xf numFmtId="10" fontId="16" fillId="0" borderId="31" xfId="0" applyNumberFormat="1" applyFont="1" applyBorder="1" applyAlignment="1">
      <alignment vertical="center"/>
    </xf>
    <xf numFmtId="4" fontId="15" fillId="0" borderId="68" xfId="0" applyNumberFormat="1" applyFont="1" applyFill="1" applyBorder="1" applyAlignment="1">
      <alignment vertical="center"/>
    </xf>
    <xf numFmtId="4" fontId="24" fillId="0" borderId="31" xfId="0" applyNumberFormat="1" applyFont="1" applyFill="1" applyBorder="1" applyAlignment="1">
      <alignment vertical="center"/>
    </xf>
    <xf numFmtId="4" fontId="16" fillId="0" borderId="67" xfId="0" applyNumberFormat="1" applyFont="1" applyFill="1" applyBorder="1" applyAlignment="1">
      <alignment vertical="center"/>
    </xf>
    <xf numFmtId="0" fontId="9" fillId="0" borderId="35" xfId="0" applyFont="1" applyFill="1" applyBorder="1" applyAlignment="1">
      <alignment horizontal="right" vertical="center"/>
    </xf>
    <xf numFmtId="4" fontId="16" fillId="0" borderId="64" xfId="0" applyNumberFormat="1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21" fillId="0" borderId="53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vertical="center"/>
    </xf>
    <xf numFmtId="0" fontId="24" fillId="0" borderId="53" xfId="0" applyFont="1" applyFill="1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168" fontId="18" fillId="0" borderId="0" xfId="0" applyNumberFormat="1" applyFont="1" applyBorder="1" applyAlignment="1">
      <alignment horizontal="right" vertical="top" wrapText="1"/>
    </xf>
    <xf numFmtId="168" fontId="18" fillId="0" borderId="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41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/>
    </xf>
    <xf numFmtId="3" fontId="17" fillId="34" borderId="10" xfId="0" applyNumberFormat="1" applyFont="1" applyFill="1" applyBorder="1" applyAlignment="1">
      <alignment/>
    </xf>
    <xf numFmtId="0" fontId="17" fillId="0" borderId="0" xfId="0" applyFont="1" applyAlignment="1">
      <alignment horizontal="right"/>
    </xf>
    <xf numFmtId="0" fontId="6" fillId="0" borderId="21" xfId="58" applyFont="1" applyBorder="1" applyAlignment="1">
      <alignment vertical="center" wrapText="1"/>
      <protection/>
    </xf>
    <xf numFmtId="166" fontId="4" fillId="0" borderId="21" xfId="58" applyNumberFormat="1" applyFont="1" applyBorder="1" applyAlignment="1">
      <alignment horizontal="right" vertical="center"/>
      <protection/>
    </xf>
    <xf numFmtId="166" fontId="4" fillId="0" borderId="19" xfId="58" applyNumberFormat="1" applyFont="1" applyBorder="1" applyAlignment="1">
      <alignment horizontal="right" vertical="center"/>
      <protection/>
    </xf>
    <xf numFmtId="0" fontId="8" fillId="0" borderId="17" xfId="58" applyFont="1" applyBorder="1" applyAlignment="1">
      <alignment horizontal="center" vertical="center"/>
      <protection/>
    </xf>
    <xf numFmtId="0" fontId="21" fillId="0" borderId="16" xfId="0" applyFont="1" applyBorder="1" applyAlignment="1">
      <alignment horizontal="left" vertical="center"/>
    </xf>
    <xf numFmtId="3" fontId="13" fillId="0" borderId="16" xfId="0" applyNumberFormat="1" applyFont="1" applyFill="1" applyBorder="1" applyAlignment="1">
      <alignment horizontal="righ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/>
    </xf>
    <xf numFmtId="2" fontId="13" fillId="0" borderId="15" xfId="0" applyNumberFormat="1" applyFont="1" applyBorder="1" applyAlignment="1">
      <alignment horizontal="right" vertical="center"/>
    </xf>
    <xf numFmtId="2" fontId="13" fillId="0" borderId="15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24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46" xfId="0" applyNumberFormat="1" applyFont="1" applyBorder="1" applyAlignment="1">
      <alignment horizontal="right" vertical="center"/>
    </xf>
    <xf numFmtId="3" fontId="21" fillId="0" borderId="24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3" fontId="13" fillId="0" borderId="99" xfId="0" applyNumberFormat="1" applyFont="1" applyBorder="1" applyAlignment="1">
      <alignment vertical="center"/>
    </xf>
    <xf numFmtId="2" fontId="13" fillId="0" borderId="25" xfId="0" applyNumberFormat="1" applyFont="1" applyBorder="1" applyAlignment="1">
      <alignment vertical="center"/>
    </xf>
    <xf numFmtId="3" fontId="21" fillId="0" borderId="27" xfId="0" applyNumberFormat="1" applyFont="1" applyBorder="1" applyAlignment="1">
      <alignment vertical="center"/>
    </xf>
    <xf numFmtId="2" fontId="21" fillId="0" borderId="39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2" fontId="13" fillId="0" borderId="39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0" fontId="17" fillId="0" borderId="10" xfId="0" applyFont="1" applyFill="1" applyBorder="1" applyAlignment="1">
      <alignment wrapText="1"/>
    </xf>
    <xf numFmtId="0" fontId="47" fillId="0" borderId="26" xfId="60" applyFont="1" applyFill="1" applyBorder="1" applyAlignment="1" applyProtection="1">
      <alignment horizontal="left" vertical="center" wrapText="1" indent="1"/>
      <protection/>
    </xf>
    <xf numFmtId="167" fontId="47" fillId="0" borderId="12" xfId="60" applyNumberFormat="1" applyFont="1" applyFill="1" applyBorder="1" applyAlignment="1" applyProtection="1">
      <alignment horizontal="right" vertical="center" wrapText="1" indent="1"/>
      <protection/>
    </xf>
    <xf numFmtId="167" fontId="47" fillId="0" borderId="67" xfId="60" applyNumberFormat="1" applyFont="1" applyFill="1" applyBorder="1" applyAlignment="1" applyProtection="1">
      <alignment horizontal="right" vertical="center" wrapText="1" indent="1"/>
      <protection/>
    </xf>
    <xf numFmtId="10" fontId="47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/>
    </xf>
    <xf numFmtId="0" fontId="17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16" fillId="0" borderId="44" xfId="0" applyFont="1" applyFill="1" applyBorder="1" applyAlignment="1">
      <alignment horizontal="center" vertical="center" wrapText="1"/>
    </xf>
    <xf numFmtId="0" fontId="16" fillId="0" borderId="9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168" fontId="15" fillId="0" borderId="10" xfId="0" applyNumberFormat="1" applyFont="1" applyBorder="1" applyAlignment="1">
      <alignment horizontal="right" vertical="top" wrapText="1"/>
    </xf>
    <xf numFmtId="168" fontId="15" fillId="0" borderId="15" xfId="0" applyNumberFormat="1" applyFont="1" applyFill="1" applyBorder="1" applyAlignment="1">
      <alignment horizontal="right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168" fontId="16" fillId="0" borderId="10" xfId="0" applyNumberFormat="1" applyFont="1" applyBorder="1" applyAlignment="1">
      <alignment horizontal="right" vertical="top" wrapText="1"/>
    </xf>
    <xf numFmtId="168" fontId="16" fillId="0" borderId="15" xfId="0" applyNumberFormat="1" applyFont="1" applyFill="1" applyBorder="1" applyAlignment="1">
      <alignment horizontal="right" vertical="top" wrapText="1"/>
    </xf>
    <xf numFmtId="168" fontId="15" fillId="0" borderId="12" xfId="0" applyNumberFormat="1" applyFont="1" applyBorder="1" applyAlignment="1">
      <alignment horizontal="right" vertical="top" wrapText="1"/>
    </xf>
    <xf numFmtId="168" fontId="15" fillId="0" borderId="25" xfId="0" applyNumberFormat="1" applyFont="1" applyFill="1" applyBorder="1" applyAlignment="1">
      <alignment horizontal="right" vertical="top" wrapText="1"/>
    </xf>
    <xf numFmtId="0" fontId="15" fillId="0" borderId="10" xfId="0" applyFont="1" applyBorder="1" applyAlignment="1">
      <alignment/>
    </xf>
    <xf numFmtId="0" fontId="16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left" vertical="top" wrapText="1"/>
    </xf>
    <xf numFmtId="168" fontId="15" fillId="0" borderId="21" xfId="0" applyNumberFormat="1" applyFont="1" applyBorder="1" applyAlignment="1">
      <alignment horizontal="right" vertical="top" wrapText="1"/>
    </xf>
    <xf numFmtId="168" fontId="15" fillId="0" borderId="19" xfId="0" applyNumberFormat="1" applyFont="1" applyFill="1" applyBorder="1" applyAlignment="1">
      <alignment horizontal="right" vertical="top" wrapText="1"/>
    </xf>
    <xf numFmtId="0" fontId="15" fillId="0" borderId="12" xfId="0" applyFont="1" applyBorder="1" applyAlignment="1">
      <alignment wrapText="1"/>
    </xf>
    <xf numFmtId="3" fontId="15" fillId="0" borderId="25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3" fontId="107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3" fontId="25" fillId="34" borderId="1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4" fontId="40" fillId="34" borderId="10" xfId="0" applyNumberFormat="1" applyFont="1" applyFill="1" applyBorder="1" applyAlignment="1">
      <alignment horizontal="left" vertical="center" indent="2"/>
    </xf>
    <xf numFmtId="3" fontId="14" fillId="34" borderId="12" xfId="0" applyNumberFormat="1" applyFont="1" applyFill="1" applyBorder="1" applyAlignment="1">
      <alignment vertical="center"/>
    </xf>
    <xf numFmtId="167" fontId="47" fillId="34" borderId="10" xfId="60" applyNumberFormat="1" applyFont="1" applyFill="1" applyBorder="1" applyAlignment="1" applyProtection="1">
      <alignment horizontal="right" vertical="center" wrapText="1" indent="1"/>
      <protection locked="0"/>
    </xf>
    <xf numFmtId="167" fontId="47" fillId="34" borderId="30" xfId="60" applyNumberFormat="1" applyFont="1" applyFill="1" applyBorder="1" applyAlignment="1" applyProtection="1">
      <alignment horizontal="right" vertical="center" wrapText="1" indent="1"/>
      <protection locked="0"/>
    </xf>
    <xf numFmtId="167" fontId="46" fillId="34" borderId="39" xfId="60" applyNumberFormat="1" applyFont="1" applyFill="1" applyBorder="1" applyAlignment="1" applyProtection="1">
      <alignment horizontal="right" vertical="center" wrapText="1" indent="1"/>
      <protection/>
    </xf>
    <xf numFmtId="167" fontId="47" fillId="0" borderId="90" xfId="60" applyNumberFormat="1" applyFont="1" applyFill="1" applyBorder="1" applyAlignment="1" applyProtection="1">
      <alignment horizontal="right" vertical="center" wrapText="1" indent="1"/>
      <protection locked="0"/>
    </xf>
    <xf numFmtId="0" fontId="46" fillId="34" borderId="18" xfId="60" applyFont="1" applyFill="1" applyBorder="1" applyAlignment="1" applyProtection="1">
      <alignment horizontal="left" vertical="center" wrapText="1" indent="1"/>
      <protection/>
    </xf>
    <xf numFmtId="0" fontId="46" fillId="34" borderId="27" xfId="60" applyFont="1" applyFill="1" applyBorder="1" applyAlignment="1" applyProtection="1">
      <alignment vertical="center" wrapText="1"/>
      <protection/>
    </xf>
    <xf numFmtId="167" fontId="46" fillId="34" borderId="86" xfId="60" applyNumberFormat="1" applyFont="1" applyFill="1" applyBorder="1" applyAlignment="1" applyProtection="1">
      <alignment horizontal="right" vertical="center" wrapText="1" indent="1"/>
      <protection/>
    </xf>
    <xf numFmtId="167" fontId="46" fillId="34" borderId="27" xfId="60" applyNumberFormat="1" applyFont="1" applyFill="1" applyBorder="1" applyAlignment="1" applyProtection="1">
      <alignment horizontal="right" vertical="center" wrapText="1" indent="1"/>
      <protection/>
    </xf>
    <xf numFmtId="167" fontId="46" fillId="34" borderId="74" xfId="60" applyNumberFormat="1" applyFont="1" applyFill="1" applyBorder="1" applyAlignment="1" applyProtection="1">
      <alignment horizontal="right" vertical="center" wrapText="1" indent="1"/>
      <protection/>
    </xf>
    <xf numFmtId="0" fontId="0" fillId="34" borderId="0" xfId="0" applyFont="1" applyFill="1" applyAlignment="1">
      <alignment/>
    </xf>
    <xf numFmtId="167" fontId="13" fillId="0" borderId="77" xfId="0" applyNumberFormat="1" applyFont="1" applyBorder="1" applyAlignment="1" applyProtection="1" quotePrefix="1">
      <alignment horizontal="right" vertical="center" wrapText="1" indent="1"/>
      <protection/>
    </xf>
    <xf numFmtId="167" fontId="13" fillId="0" borderId="10" xfId="0" applyNumberFormat="1" applyFont="1" applyBorder="1" applyAlignment="1" applyProtection="1" quotePrefix="1">
      <alignment horizontal="right" vertical="center" wrapText="1" indent="1"/>
      <protection/>
    </xf>
    <xf numFmtId="167" fontId="13" fillId="0" borderId="90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1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" fontId="28" fillId="34" borderId="10" xfId="48" applyNumberFormat="1" applyFont="1" applyFill="1" applyBorder="1" applyAlignment="1">
      <alignment horizontal="right"/>
    </xf>
    <xf numFmtId="3" fontId="16" fillId="0" borderId="19" xfId="0" applyNumberFormat="1" applyFont="1" applyBorder="1" applyAlignment="1">
      <alignment vertical="center"/>
    </xf>
    <xf numFmtId="0" fontId="17" fillId="0" borderId="0" xfId="0" applyFont="1" applyAlignment="1">
      <alignment horizontal="center"/>
    </xf>
    <xf numFmtId="0" fontId="18" fillId="0" borderId="100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102" xfId="0" applyFont="1" applyBorder="1" applyAlignment="1">
      <alignment horizontal="center"/>
    </xf>
    <xf numFmtId="0" fontId="17" fillId="0" borderId="103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104" xfId="0" applyFont="1" applyBorder="1" applyAlignment="1">
      <alignment horizontal="center"/>
    </xf>
    <xf numFmtId="0" fontId="17" fillId="0" borderId="58" xfId="0" applyFont="1" applyBorder="1" applyAlignment="1">
      <alignment horizontal="center" vertical="center"/>
    </xf>
    <xf numFmtId="0" fontId="17" fillId="0" borderId="103" xfId="0" applyFont="1" applyBorder="1" applyAlignment="1">
      <alignment horizontal="center"/>
    </xf>
    <xf numFmtId="0" fontId="17" fillId="0" borderId="10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05" xfId="61" applyFont="1" applyBorder="1" applyAlignment="1">
      <alignment horizontal="center" vertical="center"/>
      <protection/>
    </xf>
    <xf numFmtId="0" fontId="12" fillId="0" borderId="106" xfId="61" applyFont="1" applyBorder="1" applyAlignment="1">
      <alignment vertical="center"/>
      <protection/>
    </xf>
    <xf numFmtId="0" fontId="12" fillId="0" borderId="107" xfId="61" applyFont="1" applyBorder="1" applyAlignment="1">
      <alignment vertical="center"/>
      <protection/>
    </xf>
    <xf numFmtId="0" fontId="12" fillId="0" borderId="76" xfId="61" applyFont="1" applyBorder="1" applyAlignment="1">
      <alignment vertical="center"/>
      <protection/>
    </xf>
    <xf numFmtId="3" fontId="17" fillId="34" borderId="10" xfId="0" applyNumberFormat="1" applyFont="1" applyFill="1" applyBorder="1" applyAlignment="1">
      <alignment vertical="center"/>
    </xf>
    <xf numFmtId="3" fontId="18" fillId="34" borderId="15" xfId="0" applyNumberFormat="1" applyFont="1" applyFill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7" fillId="0" borderId="108" xfId="0" applyFont="1" applyBorder="1" applyAlignment="1">
      <alignment/>
    </xf>
    <xf numFmtId="3" fontId="18" fillId="36" borderId="108" xfId="0" applyNumberFormat="1" applyFont="1" applyFill="1" applyBorder="1" applyAlignment="1">
      <alignment/>
    </xf>
    <xf numFmtId="3" fontId="17" fillId="0" borderId="13" xfId="0" applyNumberFormat="1" applyFont="1" applyBorder="1" applyAlignment="1">
      <alignment/>
    </xf>
    <xf numFmtId="3" fontId="17" fillId="36" borderId="57" xfId="0" applyNumberFormat="1" applyFont="1" applyFill="1" applyBorder="1" applyAlignment="1">
      <alignment/>
    </xf>
    <xf numFmtId="0" fontId="17" fillId="0" borderId="109" xfId="0" applyFont="1" applyBorder="1" applyAlignment="1">
      <alignment/>
    </xf>
    <xf numFmtId="3" fontId="18" fillId="36" borderId="110" xfId="0" applyNumberFormat="1" applyFont="1" applyFill="1" applyBorder="1" applyAlignment="1">
      <alignment/>
    </xf>
    <xf numFmtId="3" fontId="17" fillId="0" borderId="21" xfId="0" applyNumberFormat="1" applyFont="1" applyBorder="1" applyAlignment="1">
      <alignment/>
    </xf>
    <xf numFmtId="3" fontId="17" fillId="36" borderId="58" xfId="0" applyNumberFormat="1" applyFont="1" applyFill="1" applyBorder="1" applyAlignment="1">
      <alignment/>
    </xf>
    <xf numFmtId="0" fontId="18" fillId="0" borderId="111" xfId="0" applyFont="1" applyBorder="1" applyAlignment="1">
      <alignment/>
    </xf>
    <xf numFmtId="3" fontId="18" fillId="36" borderId="87" xfId="0" applyNumberFormat="1" applyFont="1" applyFill="1" applyBorder="1" applyAlignment="1">
      <alignment/>
    </xf>
    <xf numFmtId="3" fontId="18" fillId="37" borderId="27" xfId="0" applyNumberFormat="1" applyFont="1" applyFill="1" applyBorder="1" applyAlignment="1">
      <alignment/>
    </xf>
    <xf numFmtId="3" fontId="18" fillId="37" borderId="39" xfId="0" applyNumberFormat="1" applyFont="1" applyFill="1" applyBorder="1" applyAlignment="1">
      <alignment/>
    </xf>
    <xf numFmtId="3" fontId="18" fillId="36" borderId="18" xfId="0" applyNumberFormat="1" applyFont="1" applyFill="1" applyBorder="1" applyAlignment="1">
      <alignment/>
    </xf>
    <xf numFmtId="0" fontId="17" fillId="0" borderId="112" xfId="0" applyFont="1" applyBorder="1" applyAlignment="1">
      <alignment horizontal="center"/>
    </xf>
    <xf numFmtId="0" fontId="17" fillId="0" borderId="112" xfId="0" applyFont="1" applyBorder="1" applyAlignment="1">
      <alignment/>
    </xf>
    <xf numFmtId="0" fontId="17" fillId="0" borderId="29" xfId="0" applyFont="1" applyBorder="1" applyAlignment="1">
      <alignment horizontal="left"/>
    </xf>
    <xf numFmtId="3" fontId="17" fillId="36" borderId="28" xfId="0" applyNumberFormat="1" applyFont="1" applyFill="1" applyBorder="1" applyAlignment="1">
      <alignment/>
    </xf>
    <xf numFmtId="0" fontId="17" fillId="0" borderId="11" xfId="0" applyFont="1" applyBorder="1" applyAlignment="1">
      <alignment horizontal="center"/>
    </xf>
    <xf numFmtId="3" fontId="17" fillId="36" borderId="113" xfId="0" applyNumberFormat="1" applyFont="1" applyFill="1" applyBorder="1" applyAlignment="1">
      <alignment/>
    </xf>
    <xf numFmtId="3" fontId="17" fillId="36" borderId="17" xfId="0" applyNumberFormat="1" applyFont="1" applyFill="1" applyBorder="1" applyAlignment="1">
      <alignment/>
    </xf>
    <xf numFmtId="3" fontId="17" fillId="36" borderId="101" xfId="0" applyNumberFormat="1" applyFont="1" applyFill="1" applyBorder="1" applyAlignment="1">
      <alignment/>
    </xf>
    <xf numFmtId="3" fontId="17" fillId="36" borderId="114" xfId="0" applyNumberFormat="1" applyFont="1" applyFill="1" applyBorder="1" applyAlignment="1">
      <alignment/>
    </xf>
    <xf numFmtId="0" fontId="17" fillId="0" borderId="48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3" fontId="17" fillId="36" borderId="100" xfId="0" applyNumberFormat="1" applyFont="1" applyFill="1" applyBorder="1" applyAlignment="1">
      <alignment/>
    </xf>
    <xf numFmtId="3" fontId="17" fillId="36" borderId="115" xfId="0" applyNumberFormat="1" applyFont="1" applyFill="1" applyBorder="1" applyAlignment="1">
      <alignment/>
    </xf>
    <xf numFmtId="0" fontId="17" fillId="0" borderId="26" xfId="0" applyFont="1" applyBorder="1" applyAlignment="1">
      <alignment horizontal="left"/>
    </xf>
    <xf numFmtId="3" fontId="17" fillId="36" borderId="116" xfId="0" applyNumberFormat="1" applyFont="1" applyFill="1" applyBorder="1" applyAlignment="1">
      <alignment/>
    </xf>
    <xf numFmtId="3" fontId="17" fillId="36" borderId="20" xfId="0" applyNumberFormat="1" applyFont="1" applyFill="1" applyBorder="1" applyAlignment="1">
      <alignment/>
    </xf>
    <xf numFmtId="0" fontId="17" fillId="0" borderId="12" xfId="0" applyFont="1" applyBorder="1" applyAlignment="1">
      <alignment horizontal="center"/>
    </xf>
    <xf numFmtId="3" fontId="17" fillId="36" borderId="102" xfId="0" applyNumberFormat="1" applyFont="1" applyFill="1" applyBorder="1" applyAlignment="1">
      <alignment/>
    </xf>
    <xf numFmtId="3" fontId="17" fillId="36" borderId="117" xfId="0" applyNumberFormat="1" applyFont="1" applyFill="1" applyBorder="1" applyAlignment="1">
      <alignment/>
    </xf>
    <xf numFmtId="0" fontId="18" fillId="0" borderId="118" xfId="0" applyFont="1" applyBorder="1" applyAlignment="1">
      <alignment/>
    </xf>
    <xf numFmtId="3" fontId="18" fillId="36" borderId="118" xfId="0" applyNumberFormat="1" applyFont="1" applyFill="1" applyBorder="1" applyAlignment="1">
      <alignment/>
    </xf>
    <xf numFmtId="3" fontId="18" fillId="37" borderId="119" xfId="0" applyNumberFormat="1" applyFont="1" applyFill="1" applyBorder="1" applyAlignment="1">
      <alignment/>
    </xf>
    <xf numFmtId="3" fontId="18" fillId="36" borderId="120" xfId="0" applyNumberFormat="1" applyFont="1" applyFill="1" applyBorder="1" applyAlignment="1">
      <alignment/>
    </xf>
    <xf numFmtId="0" fontId="56" fillId="0" borderId="121" xfId="0" applyFont="1" applyBorder="1" applyAlignment="1">
      <alignment horizontal="left"/>
    </xf>
    <xf numFmtId="0" fontId="17" fillId="0" borderId="122" xfId="0" applyFont="1" applyBorder="1" applyAlignment="1">
      <alignment/>
    </xf>
    <xf numFmtId="0" fontId="56" fillId="0" borderId="107" xfId="0" applyFont="1" applyBorder="1" applyAlignment="1">
      <alignment horizontal="left"/>
    </xf>
    <xf numFmtId="3" fontId="17" fillId="36" borderId="28" xfId="0" applyNumberFormat="1" applyFont="1" applyFill="1" applyBorder="1" applyAlignment="1">
      <alignment horizontal="right"/>
    </xf>
    <xf numFmtId="3" fontId="17" fillId="36" borderId="29" xfId="0" applyNumberFormat="1" applyFont="1" applyFill="1" applyBorder="1" applyAlignment="1">
      <alignment horizontal="right"/>
    </xf>
    <xf numFmtId="3" fontId="17" fillId="36" borderId="26" xfId="0" applyNumberFormat="1" applyFont="1" applyFill="1" applyBorder="1" applyAlignment="1">
      <alignment/>
    </xf>
    <xf numFmtId="3" fontId="17" fillId="0" borderId="16" xfId="0" applyNumberFormat="1" applyFont="1" applyBorder="1" applyAlignment="1">
      <alignment/>
    </xf>
    <xf numFmtId="3" fontId="18" fillId="36" borderId="123" xfId="0" applyNumberFormat="1" applyFont="1" applyFill="1" applyBorder="1" applyAlignment="1">
      <alignment/>
    </xf>
    <xf numFmtId="3" fontId="17" fillId="0" borderId="22" xfId="0" applyNumberFormat="1" applyFont="1" applyBorder="1" applyAlignment="1">
      <alignment/>
    </xf>
    <xf numFmtId="3" fontId="17" fillId="36" borderId="123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06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59" xfId="0" applyFont="1" applyBorder="1" applyAlignment="1">
      <alignment horizontal="left"/>
    </xf>
    <xf numFmtId="3" fontId="17" fillId="36" borderId="53" xfId="0" applyNumberFormat="1" applyFont="1" applyFill="1" applyBorder="1" applyAlignment="1">
      <alignment/>
    </xf>
    <xf numFmtId="0" fontId="17" fillId="0" borderId="52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18" fillId="0" borderId="124" xfId="0" applyFont="1" applyBorder="1" applyAlignment="1">
      <alignment/>
    </xf>
    <xf numFmtId="3" fontId="17" fillId="0" borderId="55" xfId="0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125" xfId="0" applyFont="1" applyBorder="1" applyAlignment="1">
      <alignment/>
    </xf>
    <xf numFmtId="3" fontId="18" fillId="36" borderId="124" xfId="0" applyNumberFormat="1" applyFont="1" applyFill="1" applyBorder="1" applyAlignment="1">
      <alignment/>
    </xf>
    <xf numFmtId="0" fontId="18" fillId="0" borderId="53" xfId="0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37" borderId="0" xfId="0" applyNumberFormat="1" applyFont="1" applyFill="1" applyBorder="1" applyAlignment="1">
      <alignment/>
    </xf>
    <xf numFmtId="3" fontId="18" fillId="0" borderId="105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4" fontId="18" fillId="37" borderId="10" xfId="0" applyNumberFormat="1" applyFont="1" applyFill="1" applyBorder="1" applyAlignment="1">
      <alignment/>
    </xf>
    <xf numFmtId="4" fontId="17" fillId="37" borderId="10" xfId="0" applyNumberFormat="1" applyFont="1" applyFill="1" applyBorder="1" applyAlignment="1">
      <alignment/>
    </xf>
    <xf numFmtId="3" fontId="17" fillId="36" borderId="90" xfId="0" applyNumberFormat="1" applyFont="1" applyFill="1" applyBorder="1" applyAlignment="1">
      <alignment/>
    </xf>
    <xf numFmtId="3" fontId="18" fillId="36" borderId="46" xfId="0" applyNumberFormat="1" applyFont="1" applyFill="1" applyBorder="1" applyAlignment="1">
      <alignment/>
    </xf>
    <xf numFmtId="3" fontId="17" fillId="36" borderId="78" xfId="0" applyNumberFormat="1" applyFont="1" applyFill="1" applyBorder="1" applyAlignment="1">
      <alignment/>
    </xf>
    <xf numFmtId="4" fontId="18" fillId="37" borderId="12" xfId="0" applyNumberFormat="1" applyFont="1" applyFill="1" applyBorder="1" applyAlignment="1">
      <alignment/>
    </xf>
    <xf numFmtId="4" fontId="17" fillId="37" borderId="12" xfId="0" applyNumberFormat="1" applyFont="1" applyFill="1" applyBorder="1" applyAlignment="1">
      <alignment/>
    </xf>
    <xf numFmtId="3" fontId="18" fillId="36" borderId="47" xfId="0" applyNumberFormat="1" applyFont="1" applyFill="1" applyBorder="1" applyAlignment="1">
      <alignment/>
    </xf>
    <xf numFmtId="3" fontId="17" fillId="36" borderId="80" xfId="0" applyNumberFormat="1" applyFont="1" applyFill="1" applyBorder="1" applyAlignment="1">
      <alignment/>
    </xf>
    <xf numFmtId="4" fontId="18" fillId="37" borderId="27" xfId="0" applyNumberFormat="1" applyFont="1" applyFill="1" applyBorder="1" applyAlignment="1">
      <alignment/>
    </xf>
    <xf numFmtId="4" fontId="18" fillId="37" borderId="13" xfId="0" applyNumberFormat="1" applyFont="1" applyFill="1" applyBorder="1" applyAlignment="1">
      <alignment/>
    </xf>
    <xf numFmtId="4" fontId="17" fillId="37" borderId="13" xfId="0" applyNumberFormat="1" applyFont="1" applyFill="1" applyBorder="1" applyAlignment="1">
      <alignment/>
    </xf>
    <xf numFmtId="3" fontId="18" fillId="36" borderId="89" xfId="0" applyNumberFormat="1" applyFont="1" applyFill="1" applyBorder="1" applyAlignment="1">
      <alignment/>
    </xf>
    <xf numFmtId="3" fontId="18" fillId="36" borderId="90" xfId="0" applyNumberFormat="1" applyFont="1" applyFill="1" applyBorder="1" applyAlignment="1">
      <alignment/>
    </xf>
    <xf numFmtId="3" fontId="18" fillId="36" borderId="39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26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34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3" fontId="108" fillId="0" borderId="10" xfId="0" applyNumberFormat="1" applyFont="1" applyFill="1" applyBorder="1" applyAlignment="1">
      <alignment horizontal="right" vertical="center" wrapText="1"/>
    </xf>
    <xf numFmtId="10" fontId="108" fillId="0" borderId="10" xfId="0" applyNumberFormat="1" applyFont="1" applyFill="1" applyBorder="1" applyAlignment="1">
      <alignment horizontal="right" vertical="center" wrapText="1"/>
    </xf>
    <xf numFmtId="0" fontId="109" fillId="0" borderId="0" xfId="0" applyFont="1" applyFill="1" applyAlignment="1">
      <alignment vertical="center"/>
    </xf>
    <xf numFmtId="0" fontId="110" fillId="0" borderId="31" xfId="0" applyFont="1" applyFill="1" applyBorder="1" applyAlignment="1">
      <alignment horizontal="center" vertical="center" wrapText="1"/>
    </xf>
    <xf numFmtId="3" fontId="110" fillId="0" borderId="10" xfId="0" applyNumberFormat="1" applyFont="1" applyFill="1" applyBorder="1" applyAlignment="1">
      <alignment horizontal="right" vertical="center" wrapText="1"/>
    </xf>
    <xf numFmtId="10" fontId="110" fillId="0" borderId="10" xfId="0" applyNumberFormat="1" applyFont="1" applyFill="1" applyBorder="1" applyAlignment="1">
      <alignment horizontal="right" vertical="center" wrapText="1"/>
    </xf>
    <xf numFmtId="0" fontId="110" fillId="0" borderId="0" xfId="0" applyFont="1" applyFill="1" applyAlignment="1">
      <alignment vertical="center"/>
    </xf>
    <xf numFmtId="0" fontId="57" fillId="0" borderId="10" xfId="0" applyFont="1" applyBorder="1" applyAlignment="1">
      <alignment/>
    </xf>
    <xf numFmtId="3" fontId="57" fillId="0" borderId="10" xfId="0" applyNumberFormat="1" applyFont="1" applyBorder="1" applyAlignment="1">
      <alignment/>
    </xf>
    <xf numFmtId="3" fontId="57" fillId="34" borderId="10" xfId="0" applyNumberFormat="1" applyFont="1" applyFill="1" applyBorder="1" applyAlignment="1">
      <alignment/>
    </xf>
    <xf numFmtId="10" fontId="57" fillId="34" borderId="10" xfId="0" applyNumberFormat="1" applyFont="1" applyFill="1" applyBorder="1" applyAlignment="1">
      <alignment/>
    </xf>
    <xf numFmtId="0" fontId="58" fillId="0" borderId="0" xfId="0" applyFont="1" applyFill="1" applyAlignment="1">
      <alignment vertical="center"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10" fontId="13" fillId="34" borderId="10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34" borderId="10" xfId="0" applyNumberFormat="1" applyFont="1" applyFill="1" applyBorder="1" applyAlignment="1">
      <alignment/>
    </xf>
    <xf numFmtId="10" fontId="19" fillId="34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 vertical="center"/>
    </xf>
    <xf numFmtId="49" fontId="13" fillId="34" borderId="10" xfId="0" applyNumberFormat="1" applyFont="1" applyFill="1" applyBorder="1" applyAlignment="1">
      <alignment horizontal="right"/>
    </xf>
    <xf numFmtId="3" fontId="13" fillId="34" borderId="10" xfId="0" applyNumberFormat="1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left"/>
    </xf>
    <xf numFmtId="3" fontId="61" fillId="0" borderId="10" xfId="0" applyNumberFormat="1" applyFont="1" applyBorder="1" applyAlignment="1">
      <alignment/>
    </xf>
    <xf numFmtId="3" fontId="61" fillId="34" borderId="10" xfId="0" applyNumberFormat="1" applyFont="1" applyFill="1" applyBorder="1" applyAlignment="1">
      <alignment/>
    </xf>
    <xf numFmtId="10" fontId="61" fillId="34" borderId="10" xfId="0" applyNumberFormat="1" applyFont="1" applyFill="1" applyBorder="1" applyAlignment="1">
      <alignment/>
    </xf>
    <xf numFmtId="0" fontId="60" fillId="0" borderId="0" xfId="0" applyFont="1" applyBorder="1" applyAlignment="1">
      <alignment vertical="center"/>
    </xf>
    <xf numFmtId="0" fontId="61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left"/>
    </xf>
    <xf numFmtId="0" fontId="29" fillId="0" borderId="10" xfId="0" applyFont="1" applyBorder="1" applyAlignment="1">
      <alignment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top"/>
    </xf>
    <xf numFmtId="0" fontId="61" fillId="0" borderId="10" xfId="0" applyFont="1" applyBorder="1" applyAlignment="1">
      <alignment horizontal="left" wrapText="1"/>
    </xf>
    <xf numFmtId="3" fontId="108" fillId="0" borderId="10" xfId="0" applyNumberFormat="1" applyFont="1" applyBorder="1" applyAlignment="1">
      <alignment/>
    </xf>
    <xf numFmtId="10" fontId="108" fillId="34" borderId="10" xfId="0" applyNumberFormat="1" applyFont="1" applyFill="1" applyBorder="1" applyAlignment="1">
      <alignment/>
    </xf>
    <xf numFmtId="0" fontId="62" fillId="0" borderId="10" xfId="0" applyFont="1" applyBorder="1" applyAlignment="1">
      <alignment/>
    </xf>
    <xf numFmtId="3" fontId="62" fillId="0" borderId="10" xfId="0" applyNumberFormat="1" applyFont="1" applyBorder="1" applyAlignment="1">
      <alignment/>
    </xf>
    <xf numFmtId="3" fontId="62" fillId="34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3" fontId="44" fillId="0" borderId="10" xfId="0" applyNumberFormat="1" applyFont="1" applyBorder="1" applyAlignment="1">
      <alignment/>
    </xf>
    <xf numFmtId="3" fontId="44" fillId="34" borderId="10" xfId="0" applyNumberFormat="1" applyFont="1" applyFill="1" applyBorder="1" applyAlignment="1">
      <alignment/>
    </xf>
    <xf numFmtId="10" fontId="44" fillId="34" borderId="10" xfId="0" applyNumberFormat="1" applyFont="1" applyFill="1" applyBorder="1" applyAlignment="1">
      <alignment/>
    </xf>
    <xf numFmtId="0" fontId="44" fillId="0" borderId="0" xfId="0" applyFont="1" applyAlignment="1">
      <alignment vertical="center"/>
    </xf>
    <xf numFmtId="0" fontId="17" fillId="34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34" borderId="0" xfId="0" applyFont="1" applyFill="1" applyAlignment="1">
      <alignment vertical="center"/>
    </xf>
    <xf numFmtId="0" fontId="18" fillId="0" borderId="10" xfId="0" applyFont="1" applyBorder="1" applyAlignment="1">
      <alignment horizontal="center"/>
    </xf>
    <xf numFmtId="3" fontId="64" fillId="0" borderId="10" xfId="0" applyNumberFormat="1" applyFont="1" applyBorder="1" applyAlignment="1">
      <alignment/>
    </xf>
    <xf numFmtId="3" fontId="64" fillId="34" borderId="10" xfId="0" applyNumberFormat="1" applyFont="1" applyFill="1" applyBorder="1" applyAlignment="1">
      <alignment/>
    </xf>
    <xf numFmtId="10" fontId="64" fillId="34" borderId="10" xfId="0" applyNumberFormat="1" applyFont="1" applyFill="1" applyBorder="1" applyAlignment="1">
      <alignment/>
    </xf>
    <xf numFmtId="0" fontId="18" fillId="0" borderId="0" xfId="0" applyFont="1" applyFill="1" applyAlignment="1">
      <alignment horizontal="center" vertical="center" wrapText="1"/>
    </xf>
    <xf numFmtId="10" fontId="62" fillId="34" borderId="10" xfId="0" applyNumberFormat="1" applyFont="1" applyFill="1" applyBorder="1" applyAlignment="1">
      <alignment/>
    </xf>
    <xf numFmtId="0" fontId="29" fillId="0" borderId="0" xfId="0" applyFont="1" applyFill="1" applyAlignment="1">
      <alignment vertical="center"/>
    </xf>
    <xf numFmtId="0" fontId="65" fillId="0" borderId="10" xfId="0" applyFont="1" applyBorder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left"/>
    </xf>
    <xf numFmtId="3" fontId="65" fillId="0" borderId="10" xfId="0" applyNumberFormat="1" applyFont="1" applyBorder="1" applyAlignment="1">
      <alignment/>
    </xf>
    <xf numFmtId="3" fontId="65" fillId="34" borderId="10" xfId="0" applyNumberFormat="1" applyFont="1" applyFill="1" applyBorder="1" applyAlignment="1">
      <alignment/>
    </xf>
    <xf numFmtId="10" fontId="65" fillId="34" borderId="10" xfId="0" applyNumberFormat="1" applyFont="1" applyFill="1" applyBorder="1" applyAlignment="1">
      <alignment/>
    </xf>
    <xf numFmtId="0" fontId="35" fillId="0" borderId="0" xfId="0" applyFont="1" applyFill="1" applyAlignment="1">
      <alignment vertical="center"/>
    </xf>
    <xf numFmtId="0" fontId="19" fillId="0" borderId="31" xfId="0" applyFont="1" applyBorder="1" applyAlignment="1">
      <alignment/>
    </xf>
    <xf numFmtId="0" fontId="19" fillId="0" borderId="30" xfId="0" applyFont="1" applyBorder="1" applyAlignment="1">
      <alignment/>
    </xf>
    <xf numFmtId="0" fontId="61" fillId="0" borderId="31" xfId="0" applyFont="1" applyBorder="1" applyAlignment="1">
      <alignment horizontal="left"/>
    </xf>
    <xf numFmtId="0" fontId="61" fillId="0" borderId="16" xfId="0" applyFont="1" applyBorder="1" applyAlignment="1">
      <alignment horizontal="left"/>
    </xf>
    <xf numFmtId="0" fontId="61" fillId="0" borderId="30" xfId="0" applyFont="1" applyBorder="1" applyAlignment="1">
      <alignment horizontal="left"/>
    </xf>
    <xf numFmtId="10" fontId="108" fillId="34" borderId="69" xfId="0" applyNumberFormat="1" applyFont="1" applyFill="1" applyBorder="1" applyAlignment="1">
      <alignment/>
    </xf>
    <xf numFmtId="3" fontId="24" fillId="0" borderId="31" xfId="0" applyNumberFormat="1" applyFont="1" applyFill="1" applyBorder="1" applyAlignment="1">
      <alignment vertical="center"/>
    </xf>
    <xf numFmtId="3" fontId="4" fillId="0" borderId="110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1" fontId="21" fillId="0" borderId="20" xfId="0" applyNumberFormat="1" applyFont="1" applyBorder="1" applyAlignment="1">
      <alignment horizontal="center" vertical="center"/>
    </xf>
    <xf numFmtId="49" fontId="21" fillId="0" borderId="48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3" fontId="18" fillId="36" borderId="127" xfId="0" applyNumberFormat="1" applyFont="1" applyFill="1" applyBorder="1" applyAlignment="1">
      <alignment/>
    </xf>
    <xf numFmtId="0" fontId="17" fillId="0" borderId="115" xfId="0" applyFont="1" applyBorder="1" applyAlignment="1">
      <alignment horizontal="center"/>
    </xf>
    <xf numFmtId="3" fontId="18" fillId="36" borderId="128" xfId="0" applyNumberFormat="1" applyFont="1" applyFill="1" applyBorder="1" applyAlignment="1">
      <alignment/>
    </xf>
    <xf numFmtId="3" fontId="18" fillId="36" borderId="116" xfId="0" applyNumberFormat="1" applyFont="1" applyFill="1" applyBorder="1" applyAlignment="1">
      <alignment/>
    </xf>
    <xf numFmtId="0" fontId="17" fillId="0" borderId="127" xfId="0" applyFont="1" applyBorder="1" applyAlignment="1">
      <alignment horizontal="center"/>
    </xf>
    <xf numFmtId="3" fontId="17" fillId="36" borderId="129" xfId="0" applyNumberFormat="1" applyFont="1" applyFill="1" applyBorder="1" applyAlignment="1">
      <alignment vertical="center"/>
    </xf>
    <xf numFmtId="3" fontId="17" fillId="36" borderId="113" xfId="0" applyNumberFormat="1" applyFont="1" applyFill="1" applyBorder="1" applyAlignment="1">
      <alignment vertical="center"/>
    </xf>
    <xf numFmtId="0" fontId="18" fillId="0" borderId="58" xfId="0" applyFont="1" applyBorder="1" applyAlignment="1">
      <alignment horizontal="center" vertical="center" wrapText="1"/>
    </xf>
    <xf numFmtId="0" fontId="17" fillId="0" borderId="124" xfId="0" applyFont="1" applyBorder="1" applyAlignment="1">
      <alignment/>
    </xf>
    <xf numFmtId="0" fontId="17" fillId="0" borderId="121" xfId="0" applyFont="1" applyBorder="1" applyAlignment="1">
      <alignment horizontal="center"/>
    </xf>
    <xf numFmtId="0" fontId="12" fillId="0" borderId="121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93" xfId="61" applyFont="1" applyBorder="1" applyAlignment="1">
      <alignment vertical="center"/>
      <protection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56" fillId="0" borderId="38" xfId="0" applyFont="1" applyBorder="1" applyAlignment="1">
      <alignment horizontal="left"/>
    </xf>
    <xf numFmtId="0" fontId="17" fillId="0" borderId="38" xfId="0" applyFont="1" applyBorder="1" applyAlignment="1">
      <alignment/>
    </xf>
    <xf numFmtId="0" fontId="56" fillId="0" borderId="85" xfId="0" applyFont="1" applyBorder="1" applyAlignment="1">
      <alignment horizontal="left"/>
    </xf>
    <xf numFmtId="3" fontId="18" fillId="36" borderId="23" xfId="0" applyNumberFormat="1" applyFont="1" applyFill="1" applyBorder="1" applyAlignment="1">
      <alignment/>
    </xf>
    <xf numFmtId="3" fontId="17" fillId="36" borderId="59" xfId="0" applyNumberFormat="1" applyFont="1" applyFill="1" applyBorder="1" applyAlignment="1">
      <alignment/>
    </xf>
    <xf numFmtId="3" fontId="18" fillId="36" borderId="111" xfId="0" applyNumberFormat="1" applyFont="1" applyFill="1" applyBorder="1" applyAlignment="1">
      <alignment/>
    </xf>
    <xf numFmtId="3" fontId="17" fillId="36" borderId="45" xfId="0" applyNumberFormat="1" applyFont="1" applyFill="1" applyBorder="1" applyAlignment="1">
      <alignment/>
    </xf>
    <xf numFmtId="3" fontId="17" fillId="36" borderId="46" xfId="0" applyNumberFormat="1" applyFont="1" applyFill="1" applyBorder="1" applyAlignment="1">
      <alignment/>
    </xf>
    <xf numFmtId="3" fontId="18" fillId="36" borderId="57" xfId="0" applyNumberFormat="1" applyFont="1" applyFill="1" applyBorder="1" applyAlignment="1">
      <alignment/>
    </xf>
    <xf numFmtId="3" fontId="18" fillId="36" borderId="58" xfId="0" applyNumberFormat="1" applyFont="1" applyFill="1" applyBorder="1" applyAlignment="1">
      <alignment/>
    </xf>
    <xf numFmtId="3" fontId="18" fillId="36" borderId="59" xfId="0" applyNumberFormat="1" applyFont="1" applyFill="1" applyBorder="1" applyAlignment="1">
      <alignment/>
    </xf>
    <xf numFmtId="0" fontId="17" fillId="0" borderId="31" xfId="0" applyFont="1" applyBorder="1" applyAlignment="1">
      <alignment/>
    </xf>
    <xf numFmtId="0" fontId="17" fillId="0" borderId="67" xfId="0" applyFont="1" applyBorder="1" applyAlignment="1">
      <alignment/>
    </xf>
    <xf numFmtId="0" fontId="18" fillId="0" borderId="64" xfId="0" applyFont="1" applyBorder="1" applyAlignment="1">
      <alignment/>
    </xf>
    <xf numFmtId="4" fontId="18" fillId="36" borderId="17" xfId="0" applyNumberFormat="1" applyFont="1" applyFill="1" applyBorder="1" applyAlignment="1">
      <alignment/>
    </xf>
    <xf numFmtId="4" fontId="18" fillId="36" borderId="26" xfId="0" applyNumberFormat="1" applyFont="1" applyFill="1" applyBorder="1" applyAlignment="1">
      <alignment/>
    </xf>
    <xf numFmtId="4" fontId="18" fillId="36" borderId="18" xfId="0" applyNumberFormat="1" applyFont="1" applyFill="1" applyBorder="1" applyAlignment="1">
      <alignment/>
    </xf>
    <xf numFmtId="0" fontId="17" fillId="0" borderId="65" xfId="0" applyFont="1" applyBorder="1" applyAlignment="1">
      <alignment/>
    </xf>
    <xf numFmtId="0" fontId="17" fillId="0" borderId="31" xfId="0" applyFont="1" applyBorder="1" applyAlignment="1">
      <alignment wrapText="1"/>
    </xf>
    <xf numFmtId="4" fontId="18" fillId="36" borderId="28" xfId="0" applyNumberFormat="1" applyFont="1" applyFill="1" applyBorder="1" applyAlignment="1">
      <alignment/>
    </xf>
    <xf numFmtId="3" fontId="18" fillId="36" borderId="17" xfId="0" applyNumberFormat="1" applyFont="1" applyFill="1" applyBorder="1" applyAlignment="1">
      <alignment/>
    </xf>
    <xf numFmtId="0" fontId="18" fillId="0" borderId="31" xfId="0" applyFont="1" applyBorder="1" applyAlignment="1">
      <alignment/>
    </xf>
    <xf numFmtId="3" fontId="17" fillId="36" borderId="46" xfId="0" applyNumberFormat="1" applyFont="1" applyFill="1" applyBorder="1" applyAlignment="1">
      <alignment/>
    </xf>
    <xf numFmtId="3" fontId="17" fillId="36" borderId="49" xfId="0" applyNumberFormat="1" applyFont="1" applyFill="1" applyBorder="1" applyAlignment="1">
      <alignment/>
    </xf>
    <xf numFmtId="3" fontId="18" fillId="36" borderId="50" xfId="0" applyNumberFormat="1" applyFont="1" applyFill="1" applyBorder="1" applyAlignment="1">
      <alignment/>
    </xf>
    <xf numFmtId="4" fontId="17" fillId="37" borderId="15" xfId="0" applyNumberFormat="1" applyFont="1" applyFill="1" applyBorder="1" applyAlignment="1">
      <alignment/>
    </xf>
    <xf numFmtId="4" fontId="17" fillId="37" borderId="25" xfId="0" applyNumberFormat="1" applyFont="1" applyFill="1" applyBorder="1" applyAlignment="1">
      <alignment/>
    </xf>
    <xf numFmtId="4" fontId="18" fillId="37" borderId="39" xfId="0" applyNumberFormat="1" applyFont="1" applyFill="1" applyBorder="1" applyAlignment="1">
      <alignment/>
    </xf>
    <xf numFmtId="3" fontId="18" fillId="36" borderId="45" xfId="0" applyNumberFormat="1" applyFont="1" applyFill="1" applyBorder="1" applyAlignment="1">
      <alignment/>
    </xf>
    <xf numFmtId="3" fontId="18" fillId="36" borderId="49" xfId="0" applyNumberFormat="1" applyFont="1" applyFill="1" applyBorder="1" applyAlignment="1">
      <alignment/>
    </xf>
    <xf numFmtId="4" fontId="17" fillId="37" borderId="14" xfId="0" applyNumberFormat="1" applyFont="1" applyFill="1" applyBorder="1" applyAlignment="1">
      <alignment/>
    </xf>
    <xf numFmtId="0" fontId="10" fillId="0" borderId="64" xfId="60" applyFont="1" applyFill="1" applyBorder="1" applyAlignment="1" applyProtection="1">
      <alignment horizontal="left" vertical="center" wrapText="1"/>
      <protection/>
    </xf>
    <xf numFmtId="0" fontId="23" fillId="0" borderId="13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46" fillId="0" borderId="125" xfId="60" applyFont="1" applyFill="1" applyBorder="1" applyAlignment="1" applyProtection="1">
      <alignment horizontal="left" vertical="center" wrapText="1" indent="1"/>
      <protection/>
    </xf>
    <xf numFmtId="0" fontId="46" fillId="0" borderId="40" xfId="60" applyFont="1" applyFill="1" applyBorder="1" applyAlignment="1" applyProtection="1">
      <alignment horizontal="left" vertical="center" wrapText="1" indent="1"/>
      <protection/>
    </xf>
    <xf numFmtId="0" fontId="46" fillId="0" borderId="20" xfId="60" applyFont="1" applyFill="1" applyBorder="1" applyAlignment="1" applyProtection="1">
      <alignment horizontal="left" vertical="center" wrapText="1" indent="1"/>
      <protection/>
    </xf>
    <xf numFmtId="167" fontId="46" fillId="0" borderId="39" xfId="6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5" fillId="0" borderId="15" xfId="0" applyFont="1" applyBorder="1" applyAlignment="1">
      <alignment wrapText="1"/>
    </xf>
    <xf numFmtId="0" fontId="9" fillId="0" borderId="2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/>
    </xf>
    <xf numFmtId="3" fontId="4" fillId="0" borderId="87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0" fontId="42" fillId="0" borderId="0" xfId="0" applyFont="1" applyAlignment="1">
      <alignment horizontal="center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110" fillId="0" borderId="31" xfId="0" applyFont="1" applyFill="1" applyBorder="1" applyAlignment="1">
      <alignment horizontal="left" vertical="center" wrapText="1"/>
    </xf>
    <xf numFmtId="0" fontId="110" fillId="0" borderId="30" xfId="0" applyFont="1" applyFill="1" applyBorder="1" applyAlignment="1">
      <alignment horizontal="left" vertical="center" wrapText="1"/>
    </xf>
    <xf numFmtId="0" fontId="110" fillId="0" borderId="16" xfId="0" applyFont="1" applyFill="1" applyBorder="1" applyAlignment="1">
      <alignment horizontal="left" vertical="center" wrapText="1"/>
    </xf>
    <xf numFmtId="0" fontId="109" fillId="0" borderId="31" xfId="0" applyFont="1" applyFill="1" applyBorder="1" applyAlignment="1">
      <alignment horizontal="left" vertical="center" wrapText="1"/>
    </xf>
    <xf numFmtId="0" fontId="109" fillId="0" borderId="30" xfId="0" applyFont="1" applyFill="1" applyBorder="1" applyAlignment="1">
      <alignment horizontal="left" vertical="center" wrapText="1"/>
    </xf>
    <xf numFmtId="0" fontId="109" fillId="0" borderId="16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left" wrapText="1"/>
    </xf>
    <xf numFmtId="0" fontId="19" fillId="0" borderId="16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44" fillId="0" borderId="67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20" fillId="0" borderId="0" xfId="0" applyFont="1" applyFill="1" applyAlignment="1">
      <alignment horizontal="center" vertical="center"/>
    </xf>
    <xf numFmtId="0" fontId="19" fillId="0" borderId="3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64" fillId="0" borderId="31" xfId="0" applyFont="1" applyBorder="1" applyAlignment="1">
      <alignment horizontal="left"/>
    </xf>
    <xf numFmtId="0" fontId="64" fillId="0" borderId="30" xfId="0" applyFont="1" applyBorder="1" applyAlignment="1">
      <alignment horizontal="left"/>
    </xf>
    <xf numFmtId="0" fontId="64" fillId="0" borderId="16" xfId="0" applyFont="1" applyBorder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5" fillId="0" borderId="0" xfId="0" applyFont="1" applyAlignment="1">
      <alignment horizontal="right"/>
    </xf>
    <xf numFmtId="0" fontId="16" fillId="0" borderId="31" xfId="57" applyFont="1" applyBorder="1" applyAlignment="1">
      <alignment horizontal="right" vertical="center"/>
      <protection/>
    </xf>
    <xf numFmtId="0" fontId="16" fillId="0" borderId="30" xfId="57" applyFont="1" applyBorder="1" applyAlignment="1">
      <alignment horizontal="right" vertical="center"/>
      <protection/>
    </xf>
    <xf numFmtId="0" fontId="21" fillId="0" borderId="31" xfId="57" applyFont="1" applyBorder="1" applyAlignment="1">
      <alignment horizontal="center" vertical="center" wrapText="1"/>
      <protection/>
    </xf>
    <xf numFmtId="0" fontId="21" fillId="0" borderId="30" xfId="57" applyFont="1" applyBorder="1" applyAlignment="1">
      <alignment horizontal="center" vertical="center" wrapText="1"/>
      <protection/>
    </xf>
    <xf numFmtId="0" fontId="21" fillId="0" borderId="16" xfId="57" applyFont="1" applyBorder="1" applyAlignment="1">
      <alignment horizontal="center" vertical="center" wrapText="1"/>
      <protection/>
    </xf>
    <xf numFmtId="0" fontId="21" fillId="0" borderId="31" xfId="57" applyFont="1" applyBorder="1" applyAlignment="1">
      <alignment horizontal="center"/>
      <protection/>
    </xf>
    <xf numFmtId="0" fontId="21" fillId="0" borderId="30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/>
      <protection/>
    </xf>
    <xf numFmtId="0" fontId="14" fillId="34" borderId="0" xfId="57" applyFont="1" applyFill="1" applyAlignment="1">
      <alignment horizontal="center"/>
      <protection/>
    </xf>
    <xf numFmtId="0" fontId="14" fillId="0" borderId="10" xfId="57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right" vertical="center"/>
    </xf>
    <xf numFmtId="0" fontId="9" fillId="0" borderId="0" xfId="0" applyFont="1" applyAlignment="1">
      <alignment horizontal="justify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64" xfId="60" applyFont="1" applyFill="1" applyBorder="1" applyAlignment="1" applyProtection="1">
      <alignment horizontal="left" vertical="center" wrapText="1"/>
      <protection/>
    </xf>
    <xf numFmtId="0" fontId="10" fillId="0" borderId="36" xfId="6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28" xfId="60" applyFont="1" applyFill="1" applyBorder="1" applyAlignment="1" applyProtection="1">
      <alignment horizontal="center" vertical="center" wrapText="1"/>
      <protection/>
    </xf>
    <xf numFmtId="0" fontId="7" fillId="0" borderId="20" xfId="60" applyFont="1" applyFill="1" applyBorder="1" applyAlignment="1" applyProtection="1">
      <alignment horizontal="center" vertical="center" wrapText="1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 wrapText="1"/>
      <protection/>
    </xf>
    <xf numFmtId="167" fontId="7" fillId="0" borderId="13" xfId="60" applyNumberFormat="1" applyFont="1" applyFill="1" applyBorder="1" applyAlignment="1" applyProtection="1">
      <alignment horizontal="center" vertical="center"/>
      <protection/>
    </xf>
    <xf numFmtId="167" fontId="7" fillId="0" borderId="65" xfId="60" applyNumberFormat="1" applyFont="1" applyFill="1" applyBorder="1" applyAlignment="1" applyProtection="1">
      <alignment horizontal="center" vertical="center"/>
      <protection/>
    </xf>
    <xf numFmtId="0" fontId="7" fillId="0" borderId="43" xfId="60" applyFont="1" applyFill="1" applyBorder="1" applyAlignment="1" applyProtection="1">
      <alignment horizontal="center" vertical="center" wrapText="1"/>
      <protection/>
    </xf>
    <xf numFmtId="0" fontId="7" fillId="0" borderId="48" xfId="60" applyFont="1" applyFill="1" applyBorder="1" applyAlignment="1" applyProtection="1">
      <alignment horizontal="center" vertical="center" wrapText="1"/>
      <protection/>
    </xf>
    <xf numFmtId="0" fontId="7" fillId="0" borderId="34" xfId="60" applyFont="1" applyFill="1" applyBorder="1" applyAlignment="1" applyProtection="1">
      <alignment horizontal="center" vertical="center" wrapText="1"/>
      <protection/>
    </xf>
    <xf numFmtId="0" fontId="7" fillId="0" borderId="44" xfId="60" applyFont="1" applyFill="1" applyBorder="1" applyAlignment="1" applyProtection="1">
      <alignment horizontal="center" vertical="center" wrapText="1"/>
      <protection/>
    </xf>
    <xf numFmtId="0" fontId="7" fillId="0" borderId="52" xfId="60" applyFont="1" applyFill="1" applyBorder="1" applyAlignment="1" applyProtection="1">
      <alignment horizontal="center" vertical="center" wrapText="1"/>
      <protection/>
    </xf>
    <xf numFmtId="0" fontId="7" fillId="0" borderId="32" xfId="60" applyFont="1" applyFill="1" applyBorder="1" applyAlignment="1" applyProtection="1">
      <alignment horizontal="center" vertical="center" wrapText="1"/>
      <protection/>
    </xf>
    <xf numFmtId="167" fontId="7" fillId="0" borderId="31" xfId="60" applyNumberFormat="1" applyFont="1" applyFill="1" applyBorder="1" applyAlignment="1" applyProtection="1">
      <alignment horizontal="center" vertical="center"/>
      <protection/>
    </xf>
    <xf numFmtId="167" fontId="7" fillId="0" borderId="30" xfId="60" applyNumberFormat="1" applyFont="1" applyFill="1" applyBorder="1" applyAlignment="1" applyProtection="1">
      <alignment horizontal="center" vertical="center"/>
      <protection/>
    </xf>
    <xf numFmtId="167" fontId="7" fillId="0" borderId="46" xfId="60" applyNumberFormat="1" applyFont="1" applyFill="1" applyBorder="1" applyAlignment="1" applyProtection="1">
      <alignment horizontal="center" vertical="center"/>
      <protection/>
    </xf>
    <xf numFmtId="167" fontId="7" fillId="0" borderId="109" xfId="60" applyNumberFormat="1" applyFont="1" applyFill="1" applyBorder="1" applyAlignment="1" applyProtection="1">
      <alignment horizontal="center" vertical="center"/>
      <protection/>
    </xf>
    <xf numFmtId="167" fontId="7" fillId="0" borderId="78" xfId="60" applyNumberFormat="1" applyFont="1" applyFill="1" applyBorder="1" applyAlignment="1" applyProtection="1">
      <alignment horizontal="center" vertical="center"/>
      <protection/>
    </xf>
    <xf numFmtId="167" fontId="7" fillId="0" borderId="97" xfId="60" applyNumberFormat="1" applyFont="1" applyFill="1" applyBorder="1" applyAlignment="1" applyProtection="1">
      <alignment horizontal="center" vertical="center"/>
      <protection/>
    </xf>
    <xf numFmtId="167" fontId="7" fillId="0" borderId="96" xfId="60" applyNumberFormat="1" applyFont="1" applyFill="1" applyBorder="1" applyAlignment="1" applyProtection="1">
      <alignment horizontal="center" vertical="center"/>
      <protection/>
    </xf>
    <xf numFmtId="167" fontId="7" fillId="0" borderId="63" xfId="60" applyNumberFormat="1" applyFont="1" applyFill="1" applyBorder="1" applyAlignment="1" applyProtection="1">
      <alignment horizontal="center" vertical="center"/>
      <protection/>
    </xf>
    <xf numFmtId="167" fontId="7" fillId="0" borderId="84" xfId="6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67" fontId="7" fillId="0" borderId="108" xfId="60" applyNumberFormat="1" applyFont="1" applyFill="1" applyBorder="1" applyAlignment="1" applyProtection="1">
      <alignment horizontal="center" vertical="center"/>
      <protection/>
    </xf>
    <xf numFmtId="167" fontId="7" fillId="0" borderId="45" xfId="60" applyNumberFormat="1" applyFont="1" applyFill="1" applyBorder="1" applyAlignment="1" applyProtection="1">
      <alignment horizontal="center" vertical="center"/>
      <protection/>
    </xf>
    <xf numFmtId="0" fontId="2" fillId="0" borderId="0" xfId="60" applyFont="1" applyFill="1" applyAlignment="1" applyProtection="1">
      <alignment horizontal="center"/>
      <protection/>
    </xf>
    <xf numFmtId="167" fontId="2" fillId="0" borderId="0" xfId="60" applyNumberFormat="1" applyFont="1" applyFill="1" applyBorder="1" applyAlignment="1" applyProtection="1">
      <alignment horizontal="center" vertical="center"/>
      <protection/>
    </xf>
    <xf numFmtId="0" fontId="21" fillId="0" borderId="43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23" fillId="0" borderId="5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10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65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39" fillId="0" borderId="6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39" fillId="0" borderId="31" xfId="0" applyFont="1" applyFill="1" applyBorder="1" applyAlignment="1">
      <alignment horizontal="left" vertical="center"/>
    </xf>
    <xf numFmtId="0" fontId="39" fillId="0" borderId="3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3" fontId="16" fillId="0" borderId="44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right" vertical="center"/>
    </xf>
    <xf numFmtId="0" fontId="16" fillId="0" borderId="0" xfId="57" applyFont="1" applyAlignment="1">
      <alignment horizontal="center"/>
      <protection/>
    </xf>
    <xf numFmtId="0" fontId="21" fillId="0" borderId="31" xfId="57" applyFont="1" applyBorder="1" applyAlignment="1">
      <alignment horizontal="left"/>
      <protection/>
    </xf>
    <xf numFmtId="0" fontId="21" fillId="0" borderId="30" xfId="57" applyFont="1" applyBorder="1" applyAlignment="1">
      <alignment horizontal="left"/>
      <protection/>
    </xf>
    <xf numFmtId="0" fontId="21" fillId="0" borderId="16" xfId="57" applyFont="1" applyBorder="1" applyAlignment="1">
      <alignment horizontal="left"/>
      <protection/>
    </xf>
    <xf numFmtId="0" fontId="21" fillId="0" borderId="2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4" fillId="0" borderId="0" xfId="62" applyFont="1" applyAlignment="1">
      <alignment horizontal="center" vertical="center"/>
      <protection/>
    </xf>
    <xf numFmtId="0" fontId="36" fillId="0" borderId="13" xfId="62" applyFont="1" applyBorder="1" applyAlignment="1">
      <alignment horizontal="center" vertical="center" wrapText="1"/>
      <protection/>
    </xf>
    <xf numFmtId="0" fontId="36" fillId="0" borderId="10" xfId="62" applyFont="1" applyBorder="1" applyAlignment="1">
      <alignment horizontal="center" vertical="center" wrapText="1"/>
      <protection/>
    </xf>
    <xf numFmtId="0" fontId="36" fillId="0" borderId="14" xfId="62" applyFont="1" applyBorder="1" applyAlignment="1">
      <alignment horizontal="center" vertical="center" wrapText="1"/>
      <protection/>
    </xf>
    <xf numFmtId="0" fontId="36" fillId="0" borderId="15" xfId="62" applyFont="1" applyBorder="1" applyAlignment="1">
      <alignment horizontal="center" vertical="center" wrapText="1"/>
      <protection/>
    </xf>
    <xf numFmtId="0" fontId="7" fillId="0" borderId="28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10" fillId="0" borderId="0" xfId="58" applyFont="1" applyAlignment="1">
      <alignment horizontal="center" vertical="center"/>
      <protection/>
    </xf>
    <xf numFmtId="0" fontId="7" fillId="0" borderId="28" xfId="58" applyFont="1" applyBorder="1" applyAlignment="1">
      <alignment horizontal="center" vertical="center" wrapText="1"/>
      <protection/>
    </xf>
    <xf numFmtId="0" fontId="7" fillId="0" borderId="17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6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61" xfId="0" applyFont="1" applyBorder="1" applyAlignment="1">
      <alignment horizontal="left" wrapText="1"/>
    </xf>
    <xf numFmtId="49" fontId="21" fillId="0" borderId="28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18" fillId="0" borderId="62" xfId="0" applyFont="1" applyFill="1" applyBorder="1" applyAlignment="1">
      <alignment horizontal="center"/>
    </xf>
    <xf numFmtId="0" fontId="18" fillId="0" borderId="126" xfId="0" applyFont="1" applyFill="1" applyBorder="1" applyAlignment="1">
      <alignment horizontal="center"/>
    </xf>
    <xf numFmtId="0" fontId="18" fillId="0" borderId="130" xfId="0" applyFont="1" applyFill="1" applyBorder="1" applyAlignment="1">
      <alignment horizontal="center"/>
    </xf>
    <xf numFmtId="0" fontId="56" fillId="0" borderId="131" xfId="0" applyFont="1" applyBorder="1" applyAlignment="1">
      <alignment horizontal="left"/>
    </xf>
    <xf numFmtId="0" fontId="56" fillId="0" borderId="122" xfId="0" applyFont="1" applyBorder="1" applyAlignment="1">
      <alignment horizontal="left"/>
    </xf>
    <xf numFmtId="0" fontId="17" fillId="0" borderId="5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2" xfId="0" applyFont="1" applyBorder="1" applyAlignment="1">
      <alignment horizontal="center"/>
    </xf>
    <xf numFmtId="0" fontId="55" fillId="0" borderId="132" xfId="0" applyFont="1" applyBorder="1" applyAlignment="1">
      <alignment horizontal="center" vertical="center" wrapText="1"/>
    </xf>
    <xf numFmtId="0" fontId="55" fillId="0" borderId="100" xfId="0" applyFont="1" applyBorder="1" applyAlignment="1">
      <alignment horizontal="center" vertical="center" wrapText="1"/>
    </xf>
    <xf numFmtId="0" fontId="55" fillId="0" borderId="101" xfId="0" applyFont="1" applyBorder="1" applyAlignment="1">
      <alignment horizontal="center" vertical="center" wrapText="1"/>
    </xf>
    <xf numFmtId="0" fontId="55" fillId="0" borderId="133" xfId="0" applyFont="1" applyBorder="1" applyAlignment="1">
      <alignment horizontal="center" vertical="center" wrapText="1"/>
    </xf>
    <xf numFmtId="0" fontId="55" fillId="0" borderId="115" xfId="0" applyFont="1" applyBorder="1" applyAlignment="1">
      <alignment horizontal="center" vertical="center" wrapText="1"/>
    </xf>
    <xf numFmtId="0" fontId="55" fillId="0" borderId="114" xfId="0" applyFont="1" applyBorder="1" applyAlignment="1">
      <alignment horizontal="center" vertical="center" wrapText="1"/>
    </xf>
    <xf numFmtId="0" fontId="18" fillId="0" borderId="121" xfId="0" applyFont="1" applyBorder="1" applyAlignment="1">
      <alignment horizontal="center"/>
    </xf>
    <xf numFmtId="0" fontId="56" fillId="0" borderId="40" xfId="0" applyFont="1" applyBorder="1" applyAlignment="1">
      <alignment horizontal="left"/>
    </xf>
    <xf numFmtId="0" fontId="56" fillId="0" borderId="41" xfId="0" applyFont="1" applyBorder="1" applyAlignment="1">
      <alignment horizontal="left"/>
    </xf>
    <xf numFmtId="3" fontId="18" fillId="0" borderId="108" xfId="0" applyNumberFormat="1" applyFont="1" applyFill="1" applyBorder="1" applyAlignment="1">
      <alignment horizontal="center"/>
    </xf>
    <xf numFmtId="3" fontId="18" fillId="0" borderId="63" xfId="0" applyNumberFormat="1" applyFont="1" applyFill="1" applyBorder="1" applyAlignment="1">
      <alignment horizontal="center"/>
    </xf>
    <xf numFmtId="3" fontId="18" fillId="0" borderId="45" xfId="0" applyNumberFormat="1" applyFont="1" applyFill="1" applyBorder="1" applyAlignment="1">
      <alignment horizontal="center"/>
    </xf>
    <xf numFmtId="0" fontId="17" fillId="0" borderId="44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3" fontId="17" fillId="0" borderId="44" xfId="0" applyNumberFormat="1" applyFont="1" applyBorder="1" applyAlignment="1">
      <alignment horizontal="right" vertical="center"/>
    </xf>
    <xf numFmtId="3" fontId="17" fillId="0" borderId="11" xfId="0" applyNumberFormat="1" applyFont="1" applyBorder="1" applyAlignment="1">
      <alignment horizontal="right" vertical="center"/>
    </xf>
    <xf numFmtId="0" fontId="18" fillId="0" borderId="134" xfId="0" applyFont="1" applyBorder="1" applyAlignment="1">
      <alignment horizontal="center"/>
    </xf>
    <xf numFmtId="0" fontId="18" fillId="0" borderId="135" xfId="0" applyFont="1" applyBorder="1" applyAlignment="1">
      <alignment horizontal="center"/>
    </xf>
    <xf numFmtId="0" fontId="56" fillId="0" borderId="136" xfId="0" applyFont="1" applyBorder="1" applyAlignment="1">
      <alignment horizontal="left"/>
    </xf>
    <xf numFmtId="0" fontId="56" fillId="0" borderId="137" xfId="0" applyFont="1" applyBorder="1" applyAlignment="1">
      <alignment horizontal="left"/>
    </xf>
    <xf numFmtId="0" fontId="56" fillId="0" borderId="138" xfId="0" applyFont="1" applyBorder="1" applyAlignment="1">
      <alignment horizontal="left"/>
    </xf>
    <xf numFmtId="0" fontId="17" fillId="0" borderId="87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130" xfId="0" applyFont="1" applyBorder="1" applyAlignment="1">
      <alignment horizontal="center"/>
    </xf>
    <xf numFmtId="0" fontId="18" fillId="0" borderId="139" xfId="0" applyFont="1" applyBorder="1" applyAlignment="1">
      <alignment horizontal="center"/>
    </xf>
    <xf numFmtId="0" fontId="18" fillId="0" borderId="140" xfId="0" applyFont="1" applyBorder="1" applyAlignment="1">
      <alignment horizontal="center"/>
    </xf>
    <xf numFmtId="0" fontId="56" fillId="0" borderId="141" xfId="0" applyFont="1" applyBorder="1" applyAlignment="1">
      <alignment horizontal="left"/>
    </xf>
    <xf numFmtId="0" fontId="56" fillId="0" borderId="142" xfId="0" applyFont="1" applyBorder="1" applyAlignment="1">
      <alignment horizontal="left"/>
    </xf>
    <xf numFmtId="0" fontId="56" fillId="0" borderId="143" xfId="0" applyFont="1" applyBorder="1" applyAlignment="1">
      <alignment horizontal="left"/>
    </xf>
    <xf numFmtId="3" fontId="17" fillId="0" borderId="13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3" fontId="17" fillId="0" borderId="95" xfId="0" applyNumberFormat="1" applyFont="1" applyBorder="1" applyAlignment="1">
      <alignment horizontal="center"/>
    </xf>
    <xf numFmtId="3" fontId="17" fillId="0" borderId="61" xfId="0" applyNumberFormat="1" applyFont="1" applyBorder="1" applyAlignment="1">
      <alignment horizontal="center"/>
    </xf>
    <xf numFmtId="0" fontId="56" fillId="0" borderId="20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35" xfId="0" applyFont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44" fillId="0" borderId="0" xfId="0" applyFont="1" applyAlignment="1">
      <alignment horizontal="center" wrapText="1"/>
    </xf>
    <xf numFmtId="0" fontId="18" fillId="0" borderId="132" xfId="0" applyFont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 wrapText="1"/>
    </xf>
    <xf numFmtId="0" fontId="18" fillId="0" borderId="101" xfId="0" applyFont="1" applyBorder="1" applyAlignment="1">
      <alignment horizontal="center" vertical="center" wrapText="1"/>
    </xf>
    <xf numFmtId="0" fontId="30" fillId="0" borderId="144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125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5" fillId="0" borderId="0" xfId="0" applyFont="1" applyAlignment="1">
      <alignment/>
    </xf>
    <xf numFmtId="0" fontId="16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19" fillId="0" borderId="95" xfId="0" applyNumberFormat="1" applyFont="1" applyBorder="1" applyAlignment="1">
      <alignment horizontal="center" vertical="center" wrapText="1"/>
    </xf>
    <xf numFmtId="49" fontId="19" fillId="0" borderId="61" xfId="0" applyNumberFormat="1" applyFont="1" applyBorder="1" applyAlignment="1">
      <alignment horizontal="center" vertical="center" wrapText="1"/>
    </xf>
    <xf numFmtId="49" fontId="21" fillId="0" borderId="43" xfId="0" applyNumberFormat="1" applyFont="1" applyBorder="1" applyAlignment="1">
      <alignment horizontal="center" vertical="center"/>
    </xf>
    <xf numFmtId="49" fontId="21" fillId="0" borderId="48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44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65" xfId="0" applyNumberFormat="1" applyFont="1" applyBorder="1" applyAlignment="1">
      <alignment horizontal="center" vertical="center"/>
    </xf>
    <xf numFmtId="49" fontId="19" fillId="0" borderId="55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6" fillId="0" borderId="43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_ELFTÁBL" xfId="58"/>
    <cellStyle name="Normal_KTRSZJ" xfId="59"/>
    <cellStyle name="Normál_KVRENMUNKA" xfId="60"/>
    <cellStyle name="Normál_TABLAK" xfId="61"/>
    <cellStyle name="Normál_TAn2007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9.125" style="315" customWidth="1"/>
    <col min="2" max="2" width="76.75390625" style="0" customWidth="1"/>
  </cols>
  <sheetData>
    <row r="1" spans="1:2" ht="12.75">
      <c r="A1" s="1114" t="s">
        <v>1355</v>
      </c>
      <c r="B1" s="1114"/>
    </row>
    <row r="3" spans="1:2" s="317" customFormat="1" ht="21" customHeight="1">
      <c r="A3" s="316" t="s">
        <v>113</v>
      </c>
      <c r="B3" s="316" t="s">
        <v>114</v>
      </c>
    </row>
    <row r="4" spans="1:2" ht="28.5" customHeight="1">
      <c r="A4" s="318">
        <v>1</v>
      </c>
      <c r="B4" s="319" t="s">
        <v>1356</v>
      </c>
    </row>
    <row r="5" spans="1:2" ht="28.5" customHeight="1">
      <c r="A5" s="318">
        <v>2</v>
      </c>
      <c r="B5" s="319" t="s">
        <v>1357</v>
      </c>
    </row>
    <row r="6" spans="1:2" ht="28.5" customHeight="1">
      <c r="A6" s="318">
        <v>3</v>
      </c>
      <c r="B6" s="319" t="s">
        <v>1358</v>
      </c>
    </row>
    <row r="7" spans="1:2" ht="28.5" customHeight="1">
      <c r="A7" s="318">
        <v>4</v>
      </c>
      <c r="B7" s="319" t="s">
        <v>1359</v>
      </c>
    </row>
    <row r="8" spans="1:2" ht="28.5" customHeight="1">
      <c r="A8" s="318">
        <v>5</v>
      </c>
      <c r="B8" s="319" t="s">
        <v>1360</v>
      </c>
    </row>
    <row r="9" spans="1:2" ht="28.5" customHeight="1">
      <c r="A9" s="318">
        <v>6</v>
      </c>
      <c r="B9" s="319" t="s">
        <v>1361</v>
      </c>
    </row>
    <row r="10" spans="1:2" ht="28.5" customHeight="1">
      <c r="A10" s="318">
        <v>7</v>
      </c>
      <c r="B10" s="319" t="s">
        <v>1362</v>
      </c>
    </row>
    <row r="11" spans="1:2" ht="28.5" customHeight="1">
      <c r="A11" s="318" t="s">
        <v>1363</v>
      </c>
      <c r="B11" s="319" t="s">
        <v>1364</v>
      </c>
    </row>
    <row r="12" spans="1:2" ht="28.5" customHeight="1">
      <c r="A12" s="318" t="s">
        <v>1365</v>
      </c>
      <c r="B12" s="319" t="s">
        <v>1367</v>
      </c>
    </row>
    <row r="13" spans="1:2" ht="28.5" customHeight="1">
      <c r="A13" s="318" t="s">
        <v>1366</v>
      </c>
      <c r="B13" s="319" t="s">
        <v>1423</v>
      </c>
    </row>
    <row r="14" spans="1:2" ht="28.5" customHeight="1">
      <c r="A14" s="318">
        <v>8</v>
      </c>
      <c r="B14" s="319" t="s">
        <v>1422</v>
      </c>
    </row>
    <row r="15" spans="1:2" ht="28.5" customHeight="1">
      <c r="A15" s="318">
        <v>9</v>
      </c>
      <c r="B15" s="319" t="s">
        <v>1368</v>
      </c>
    </row>
    <row r="16" spans="1:2" ht="28.5" customHeight="1">
      <c r="A16" s="318">
        <v>10</v>
      </c>
      <c r="B16" s="319" t="s">
        <v>1369</v>
      </c>
    </row>
    <row r="17" spans="1:2" ht="28.5" customHeight="1">
      <c r="A17" s="318">
        <v>11</v>
      </c>
      <c r="B17" s="319" t="s">
        <v>1370</v>
      </c>
    </row>
    <row r="18" spans="1:2" ht="28.5" customHeight="1">
      <c r="A18" s="318">
        <v>12</v>
      </c>
      <c r="B18" s="319" t="s">
        <v>1371</v>
      </c>
    </row>
    <row r="19" spans="1:2" ht="28.5" customHeight="1">
      <c r="A19" s="318">
        <v>13</v>
      </c>
      <c r="B19" s="319" t="s">
        <v>1234</v>
      </c>
    </row>
    <row r="20" spans="1:2" ht="28.5" customHeight="1">
      <c r="A20" s="318">
        <v>14</v>
      </c>
      <c r="B20" s="319" t="s">
        <v>115</v>
      </c>
    </row>
    <row r="21" spans="1:2" ht="28.5" customHeight="1">
      <c r="A21" s="318">
        <v>15</v>
      </c>
      <c r="B21" s="319" t="s">
        <v>1372</v>
      </c>
    </row>
    <row r="22" spans="1:2" ht="28.5" customHeight="1">
      <c r="A22" s="318" t="s">
        <v>1373</v>
      </c>
      <c r="B22" s="319" t="s">
        <v>1374</v>
      </c>
    </row>
    <row r="23" spans="1:2" ht="27.75" customHeight="1">
      <c r="A23" s="318">
        <v>16</v>
      </c>
      <c r="B23" s="319" t="s">
        <v>1375</v>
      </c>
    </row>
    <row r="24" spans="1:2" ht="28.5" customHeight="1">
      <c r="A24" s="318">
        <v>17</v>
      </c>
      <c r="B24" s="319" t="s">
        <v>1376</v>
      </c>
    </row>
    <row r="25" spans="1:2" ht="28.5" customHeight="1">
      <c r="A25" s="344">
        <v>18</v>
      </c>
      <c r="B25" s="345" t="s">
        <v>1377</v>
      </c>
    </row>
    <row r="26" spans="1:18" s="347" customFormat="1" ht="30" customHeight="1">
      <c r="A26" s="318">
        <v>19</v>
      </c>
      <c r="B26" s="319" t="s">
        <v>1378</v>
      </c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</row>
    <row r="27" spans="1:2" ht="28.5" customHeight="1">
      <c r="A27" s="318">
        <v>20</v>
      </c>
      <c r="B27" s="319" t="s">
        <v>1379</v>
      </c>
    </row>
  </sheetData>
  <sheetProtection/>
  <mergeCells count="1">
    <mergeCell ref="A1:B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4"/>
  <sheetViews>
    <sheetView zoomScalePageLayoutView="0" workbookViewId="0" topLeftCell="A1">
      <selection activeCell="N2" sqref="N2"/>
    </sheetView>
  </sheetViews>
  <sheetFormatPr defaultColWidth="9.00390625" defaultRowHeight="12.75"/>
  <cols>
    <col min="1" max="1" width="6.125" style="150" customWidth="1"/>
    <col min="2" max="2" width="51.00390625" style="3" customWidth="1"/>
    <col min="3" max="3" width="11.375" style="3" customWidth="1"/>
    <col min="4" max="4" width="11.25390625" style="3" customWidth="1"/>
    <col min="5" max="5" width="9.875" style="3" customWidth="1"/>
    <col min="6" max="7" width="11.125" style="3" customWidth="1"/>
    <col min="8" max="8" width="9.375" style="3" customWidth="1"/>
    <col min="9" max="9" width="11.00390625" style="3" customWidth="1"/>
    <col min="10" max="10" width="11.25390625" style="3" customWidth="1"/>
    <col min="11" max="11" width="9.75390625" style="3" customWidth="1"/>
    <col min="12" max="12" width="10.75390625" style="3" customWidth="1"/>
    <col min="13" max="13" width="11.00390625" style="3" customWidth="1"/>
    <col min="14" max="14" width="10.375" style="3" customWidth="1"/>
  </cols>
  <sheetData>
    <row r="1" spans="5:14" ht="12.75">
      <c r="E1" s="155"/>
      <c r="H1" s="155"/>
      <c r="K1" s="155"/>
      <c r="N1" s="64" t="s">
        <v>1471</v>
      </c>
    </row>
    <row r="3" spans="1:14" ht="14.25">
      <c r="A3" s="158"/>
      <c r="B3" s="1186" t="s">
        <v>1344</v>
      </c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</row>
    <row r="4" spans="1:14" ht="14.25">
      <c r="A4" s="158"/>
      <c r="B4" s="1186"/>
      <c r="C4" s="1186"/>
      <c r="D4" s="1186"/>
      <c r="E4" s="1186"/>
      <c r="F4" s="4"/>
      <c r="G4" s="4"/>
      <c r="H4" s="4"/>
      <c r="I4" s="4"/>
      <c r="J4" s="4"/>
      <c r="K4" s="4"/>
      <c r="L4" s="4"/>
      <c r="M4" s="4"/>
      <c r="N4" s="4"/>
    </row>
    <row r="5" spans="1:14" ht="15.75">
      <c r="A5" s="158"/>
      <c r="B5" s="1210" t="s">
        <v>925</v>
      </c>
      <c r="C5" s="1210"/>
      <c r="D5" s="1210"/>
      <c r="E5" s="1210"/>
      <c r="F5" s="1210"/>
      <c r="G5" s="1210"/>
      <c r="H5" s="1210"/>
      <c r="I5" s="1210"/>
      <c r="J5" s="1210"/>
      <c r="K5" s="1210"/>
      <c r="L5" s="1210"/>
      <c r="M5" s="1210"/>
      <c r="N5" s="1210"/>
    </row>
    <row r="6" spans="5:14" ht="14.25" thickBot="1">
      <c r="E6" s="547"/>
      <c r="H6" s="547"/>
      <c r="K6" s="547"/>
      <c r="N6" s="547" t="s">
        <v>926</v>
      </c>
    </row>
    <row r="7" spans="1:14" ht="12.75" customHeight="1">
      <c r="A7" s="1195" t="s">
        <v>676</v>
      </c>
      <c r="B7" s="1198" t="s">
        <v>677</v>
      </c>
      <c r="C7" s="1194" t="s">
        <v>1185</v>
      </c>
      <c r="D7" s="1208"/>
      <c r="E7" s="1208"/>
      <c r="F7" s="1211" t="s">
        <v>1185</v>
      </c>
      <c r="G7" s="1208"/>
      <c r="H7" s="1212"/>
      <c r="I7" s="1208" t="s">
        <v>1185</v>
      </c>
      <c r="J7" s="1208"/>
      <c r="K7" s="1208"/>
      <c r="L7" s="1207" t="s">
        <v>1185</v>
      </c>
      <c r="M7" s="1208"/>
      <c r="N7" s="1209"/>
    </row>
    <row r="8" spans="1:14" ht="12.75">
      <c r="A8" s="1196"/>
      <c r="B8" s="1199"/>
      <c r="C8" s="1201" t="s">
        <v>931</v>
      </c>
      <c r="D8" s="1202"/>
      <c r="E8" s="1203"/>
      <c r="F8" s="1204" t="s">
        <v>932</v>
      </c>
      <c r="G8" s="1202"/>
      <c r="H8" s="1203"/>
      <c r="I8" s="1204" t="s">
        <v>933</v>
      </c>
      <c r="J8" s="1202"/>
      <c r="K8" s="1205"/>
      <c r="L8" s="1206" t="s">
        <v>934</v>
      </c>
      <c r="M8" s="1202"/>
      <c r="N8" s="1205"/>
    </row>
    <row r="9" spans="1:14" ht="24.75" thickBot="1">
      <c r="A9" s="1197"/>
      <c r="B9" s="1200"/>
      <c r="C9" s="352" t="s">
        <v>37</v>
      </c>
      <c r="D9" s="352" t="s">
        <v>38</v>
      </c>
      <c r="E9" s="382" t="s">
        <v>20</v>
      </c>
      <c r="F9" s="428" t="s">
        <v>37</v>
      </c>
      <c r="G9" s="352" t="s">
        <v>38</v>
      </c>
      <c r="H9" s="548" t="s">
        <v>20</v>
      </c>
      <c r="I9" s="557" t="s">
        <v>37</v>
      </c>
      <c r="J9" s="352" t="s">
        <v>38</v>
      </c>
      <c r="K9" s="382" t="s">
        <v>20</v>
      </c>
      <c r="L9" s="573" t="s">
        <v>37</v>
      </c>
      <c r="M9" s="352" t="s">
        <v>38</v>
      </c>
      <c r="N9" s="574" t="s">
        <v>20</v>
      </c>
    </row>
    <row r="10" spans="1:14" ht="13.5" thickBot="1">
      <c r="A10" s="353" t="s">
        <v>221</v>
      </c>
      <c r="B10" s="354" t="s">
        <v>222</v>
      </c>
      <c r="C10" s="354" t="s">
        <v>223</v>
      </c>
      <c r="D10" s="354" t="s">
        <v>224</v>
      </c>
      <c r="E10" s="383" t="s">
        <v>225</v>
      </c>
      <c r="F10" s="353" t="s">
        <v>226</v>
      </c>
      <c r="G10" s="354" t="s">
        <v>227</v>
      </c>
      <c r="H10" s="563" t="s">
        <v>228</v>
      </c>
      <c r="I10" s="558" t="s">
        <v>229</v>
      </c>
      <c r="J10" s="354" t="s">
        <v>118</v>
      </c>
      <c r="K10" s="383" t="s">
        <v>119</v>
      </c>
      <c r="L10" s="575" t="s">
        <v>120</v>
      </c>
      <c r="M10" s="354" t="s">
        <v>121</v>
      </c>
      <c r="N10" s="576" t="s">
        <v>1461</v>
      </c>
    </row>
    <row r="11" spans="1:14" ht="21.75" thickBot="1">
      <c r="A11" s="355" t="s">
        <v>678</v>
      </c>
      <c r="B11" s="367" t="s">
        <v>940</v>
      </c>
      <c r="C11" s="357">
        <f>SUM(C12:C16)</f>
        <v>0</v>
      </c>
      <c r="D11" s="357">
        <f aca="true" t="shared" si="0" ref="D11:K11">SUM(D12:D16)</f>
        <v>0</v>
      </c>
      <c r="E11" s="511">
        <f t="shared" si="0"/>
        <v>0</v>
      </c>
      <c r="F11" s="603">
        <f t="shared" si="0"/>
        <v>0</v>
      </c>
      <c r="G11" s="511">
        <f t="shared" si="0"/>
        <v>0</v>
      </c>
      <c r="H11" s="394">
        <f t="shared" si="0"/>
        <v>0</v>
      </c>
      <c r="I11" s="384">
        <f t="shared" si="0"/>
        <v>0</v>
      </c>
      <c r="J11" s="511">
        <f t="shared" si="0"/>
        <v>0</v>
      </c>
      <c r="K11" s="511">
        <f t="shared" si="0"/>
        <v>0</v>
      </c>
      <c r="L11" s="602">
        <f>SUM(C11+F11+I11)</f>
        <v>0</v>
      </c>
      <c r="M11" s="357">
        <f>SUM(D11+G11+J11)</f>
        <v>0</v>
      </c>
      <c r="N11" s="578">
        <f>SUM(E11+H11+K11)</f>
        <v>0</v>
      </c>
    </row>
    <row r="12" spans="1:14" ht="12.75">
      <c r="A12" s="358" t="s">
        <v>680</v>
      </c>
      <c r="B12" s="359" t="s">
        <v>246</v>
      </c>
      <c r="C12" s="360"/>
      <c r="D12" s="360">
        <v>0</v>
      </c>
      <c r="E12" s="385">
        <v>0</v>
      </c>
      <c r="F12" s="565"/>
      <c r="G12" s="360"/>
      <c r="H12" s="461"/>
      <c r="I12" s="485"/>
      <c r="J12" s="360"/>
      <c r="K12" s="385"/>
      <c r="L12" s="616">
        <f aca="true" t="shared" si="1" ref="L12:L17">SUM(C12+F12+I12)</f>
        <v>0</v>
      </c>
      <c r="M12" s="444">
        <f aca="true" t="shared" si="2" ref="M12:M18">SUM(D12+G12+J12)</f>
        <v>0</v>
      </c>
      <c r="N12" s="595">
        <f aca="true" t="shared" si="3" ref="N12:N18">SUM(E12+H12+K12)</f>
        <v>0</v>
      </c>
    </row>
    <row r="13" spans="1:14" ht="12.75">
      <c r="A13" s="361" t="s">
        <v>682</v>
      </c>
      <c r="B13" s="362" t="s">
        <v>694</v>
      </c>
      <c r="C13" s="363"/>
      <c r="D13" s="363">
        <v>0</v>
      </c>
      <c r="E13" s="386">
        <v>0</v>
      </c>
      <c r="F13" s="566"/>
      <c r="G13" s="363"/>
      <c r="H13" s="448"/>
      <c r="I13" s="482"/>
      <c r="J13" s="363"/>
      <c r="K13" s="386"/>
      <c r="L13" s="611">
        <f t="shared" si="1"/>
        <v>0</v>
      </c>
      <c r="M13" s="607">
        <f t="shared" si="2"/>
        <v>0</v>
      </c>
      <c r="N13" s="612">
        <f t="shared" si="3"/>
        <v>0</v>
      </c>
    </row>
    <row r="14" spans="1:14" ht="12.75">
      <c r="A14" s="361" t="s">
        <v>684</v>
      </c>
      <c r="B14" s="362" t="s">
        <v>696</v>
      </c>
      <c r="C14" s="363"/>
      <c r="D14" s="363">
        <v>0</v>
      </c>
      <c r="E14" s="386">
        <v>0</v>
      </c>
      <c r="F14" s="566"/>
      <c r="G14" s="363"/>
      <c r="H14" s="448"/>
      <c r="I14" s="482"/>
      <c r="J14" s="363"/>
      <c r="K14" s="386"/>
      <c r="L14" s="611">
        <f t="shared" si="1"/>
        <v>0</v>
      </c>
      <c r="M14" s="607">
        <f t="shared" si="2"/>
        <v>0</v>
      </c>
      <c r="N14" s="612">
        <f t="shared" si="3"/>
        <v>0</v>
      </c>
    </row>
    <row r="15" spans="1:14" ht="12.75">
      <c r="A15" s="361" t="s">
        <v>686</v>
      </c>
      <c r="B15" s="362" t="s">
        <v>698</v>
      </c>
      <c r="C15" s="363"/>
      <c r="D15" s="363">
        <v>0</v>
      </c>
      <c r="E15" s="386">
        <v>0</v>
      </c>
      <c r="F15" s="566"/>
      <c r="G15" s="363"/>
      <c r="H15" s="448"/>
      <c r="I15" s="482"/>
      <c r="J15" s="363"/>
      <c r="K15" s="386"/>
      <c r="L15" s="611">
        <f t="shared" si="1"/>
        <v>0</v>
      </c>
      <c r="M15" s="607">
        <f t="shared" si="2"/>
        <v>0</v>
      </c>
      <c r="N15" s="612">
        <f t="shared" si="3"/>
        <v>0</v>
      </c>
    </row>
    <row r="16" spans="1:14" ht="12.75">
      <c r="A16" s="361" t="s">
        <v>688</v>
      </c>
      <c r="B16" s="362" t="s">
        <v>700</v>
      </c>
      <c r="C16" s="363">
        <v>0</v>
      </c>
      <c r="D16" s="363"/>
      <c r="E16" s="386"/>
      <c r="F16" s="566"/>
      <c r="G16" s="363"/>
      <c r="H16" s="448"/>
      <c r="I16" s="482"/>
      <c r="J16" s="363"/>
      <c r="K16" s="386"/>
      <c r="L16" s="611">
        <f t="shared" si="1"/>
        <v>0</v>
      </c>
      <c r="M16" s="607">
        <f t="shared" si="2"/>
        <v>0</v>
      </c>
      <c r="N16" s="612">
        <f t="shared" si="3"/>
        <v>0</v>
      </c>
    </row>
    <row r="17" spans="1:14" ht="13.5" thickBot="1">
      <c r="A17" s="364" t="s">
        <v>689</v>
      </c>
      <c r="B17" s="365" t="s">
        <v>941</v>
      </c>
      <c r="C17" s="366"/>
      <c r="D17" s="366">
        <v>0</v>
      </c>
      <c r="E17" s="387">
        <v>0</v>
      </c>
      <c r="F17" s="567"/>
      <c r="G17" s="366"/>
      <c r="H17" s="449"/>
      <c r="I17" s="483"/>
      <c r="J17" s="366"/>
      <c r="K17" s="387"/>
      <c r="L17" s="617">
        <f t="shared" si="1"/>
        <v>0</v>
      </c>
      <c r="M17" s="618">
        <f t="shared" si="2"/>
        <v>0</v>
      </c>
      <c r="N17" s="619">
        <f t="shared" si="3"/>
        <v>0</v>
      </c>
    </row>
    <row r="18" spans="1:14" ht="21.75" thickBot="1">
      <c r="A18" s="355" t="s">
        <v>690</v>
      </c>
      <c r="B18" s="356" t="s">
        <v>942</v>
      </c>
      <c r="C18" s="357">
        <f aca="true" t="shared" si="4" ref="C18:K18">SUM(C19:C23)</f>
        <v>0</v>
      </c>
      <c r="D18" s="357">
        <f t="shared" si="4"/>
        <v>0</v>
      </c>
      <c r="E18" s="511">
        <f t="shared" si="4"/>
        <v>0</v>
      </c>
      <c r="F18" s="564">
        <f t="shared" si="4"/>
        <v>0</v>
      </c>
      <c r="G18" s="357">
        <f t="shared" si="4"/>
        <v>0</v>
      </c>
      <c r="H18" s="394">
        <f t="shared" si="4"/>
        <v>0</v>
      </c>
      <c r="I18" s="484">
        <f t="shared" si="4"/>
        <v>0</v>
      </c>
      <c r="J18" s="357">
        <f t="shared" si="4"/>
        <v>0</v>
      </c>
      <c r="K18" s="357">
        <f t="shared" si="4"/>
        <v>0</v>
      </c>
      <c r="L18" s="602">
        <f>SUM(C18+F18+I18)</f>
        <v>0</v>
      </c>
      <c r="M18" s="357">
        <f t="shared" si="2"/>
        <v>0</v>
      </c>
      <c r="N18" s="578">
        <f t="shared" si="3"/>
        <v>0</v>
      </c>
    </row>
    <row r="19" spans="1:14" ht="12.75">
      <c r="A19" s="358" t="s">
        <v>692</v>
      </c>
      <c r="B19" s="359" t="s">
        <v>706</v>
      </c>
      <c r="C19" s="360"/>
      <c r="D19" s="360">
        <v>0</v>
      </c>
      <c r="E19" s="385">
        <v>0</v>
      </c>
      <c r="F19" s="565"/>
      <c r="G19" s="360">
        <v>0</v>
      </c>
      <c r="H19" s="461">
        <v>0</v>
      </c>
      <c r="I19" s="485"/>
      <c r="J19" s="360">
        <v>0</v>
      </c>
      <c r="K19" s="385">
        <v>0</v>
      </c>
      <c r="L19" s="616">
        <f aca="true" t="shared" si="5" ref="L19:L24">SUM(C19+F19+I19)</f>
        <v>0</v>
      </c>
      <c r="M19" s="444">
        <f aca="true" t="shared" si="6" ref="M19:M25">SUM(D19+G19+J19)</f>
        <v>0</v>
      </c>
      <c r="N19" s="595">
        <f aca="true" t="shared" si="7" ref="N19:N25">SUM(E19+H19+K19)</f>
        <v>0</v>
      </c>
    </row>
    <row r="20" spans="1:14" ht="12.75">
      <c r="A20" s="361" t="s">
        <v>693</v>
      </c>
      <c r="B20" s="362" t="s">
        <v>708</v>
      </c>
      <c r="C20" s="363">
        <v>0</v>
      </c>
      <c r="D20" s="363">
        <v>0</v>
      </c>
      <c r="E20" s="386">
        <v>0</v>
      </c>
      <c r="F20" s="566">
        <v>0</v>
      </c>
      <c r="G20" s="363">
        <v>0</v>
      </c>
      <c r="H20" s="448">
        <v>0</v>
      </c>
      <c r="I20" s="482">
        <v>0</v>
      </c>
      <c r="J20" s="363">
        <v>0</v>
      </c>
      <c r="K20" s="386">
        <v>0</v>
      </c>
      <c r="L20" s="611">
        <f t="shared" si="5"/>
        <v>0</v>
      </c>
      <c r="M20" s="607">
        <f t="shared" si="6"/>
        <v>0</v>
      </c>
      <c r="N20" s="612">
        <f t="shared" si="7"/>
        <v>0</v>
      </c>
    </row>
    <row r="21" spans="1:14" ht="22.5">
      <c r="A21" s="361" t="s">
        <v>695</v>
      </c>
      <c r="B21" s="362" t="s">
        <v>710</v>
      </c>
      <c r="C21" s="363">
        <v>0</v>
      </c>
      <c r="D21" s="363">
        <v>0</v>
      </c>
      <c r="E21" s="386">
        <v>0</v>
      </c>
      <c r="F21" s="566">
        <v>0</v>
      </c>
      <c r="G21" s="363">
        <v>0</v>
      </c>
      <c r="H21" s="448">
        <v>0</v>
      </c>
      <c r="I21" s="482">
        <v>0</v>
      </c>
      <c r="J21" s="363">
        <v>0</v>
      </c>
      <c r="K21" s="386">
        <v>0</v>
      </c>
      <c r="L21" s="611">
        <f t="shared" si="5"/>
        <v>0</v>
      </c>
      <c r="M21" s="607">
        <f t="shared" si="6"/>
        <v>0</v>
      </c>
      <c r="N21" s="612">
        <f t="shared" si="7"/>
        <v>0</v>
      </c>
    </row>
    <row r="22" spans="1:14" ht="22.5">
      <c r="A22" s="361" t="s">
        <v>697</v>
      </c>
      <c r="B22" s="362" t="s">
        <v>712</v>
      </c>
      <c r="C22" s="363">
        <v>0</v>
      </c>
      <c r="D22" s="363">
        <v>0</v>
      </c>
      <c r="E22" s="386">
        <v>0</v>
      </c>
      <c r="F22" s="566">
        <v>0</v>
      </c>
      <c r="G22" s="363">
        <v>0</v>
      </c>
      <c r="H22" s="448">
        <v>0</v>
      </c>
      <c r="I22" s="482">
        <v>0</v>
      </c>
      <c r="J22" s="363">
        <v>0</v>
      </c>
      <c r="K22" s="386">
        <v>0</v>
      </c>
      <c r="L22" s="611">
        <f t="shared" si="5"/>
        <v>0</v>
      </c>
      <c r="M22" s="607">
        <f t="shared" si="6"/>
        <v>0</v>
      </c>
      <c r="N22" s="612">
        <f t="shared" si="7"/>
        <v>0</v>
      </c>
    </row>
    <row r="23" spans="1:14" ht="12.75">
      <c r="A23" s="361" t="s">
        <v>699</v>
      </c>
      <c r="B23" s="362" t="s">
        <v>714</v>
      </c>
      <c r="C23" s="363"/>
      <c r="D23" s="363">
        <v>0</v>
      </c>
      <c r="E23" s="386">
        <v>0</v>
      </c>
      <c r="F23" s="566"/>
      <c r="G23" s="363">
        <v>0</v>
      </c>
      <c r="H23" s="448">
        <v>0</v>
      </c>
      <c r="I23" s="482"/>
      <c r="J23" s="363">
        <v>0</v>
      </c>
      <c r="K23" s="386">
        <v>0</v>
      </c>
      <c r="L23" s="611">
        <f t="shared" si="5"/>
        <v>0</v>
      </c>
      <c r="M23" s="607">
        <f t="shared" si="6"/>
        <v>0</v>
      </c>
      <c r="N23" s="612">
        <f t="shared" si="7"/>
        <v>0</v>
      </c>
    </row>
    <row r="24" spans="1:14" ht="13.5" thickBot="1">
      <c r="A24" s="364" t="s">
        <v>701</v>
      </c>
      <c r="B24" s="368" t="s">
        <v>702</v>
      </c>
      <c r="C24" s="366"/>
      <c r="D24" s="366">
        <v>0</v>
      </c>
      <c r="E24" s="387">
        <v>0</v>
      </c>
      <c r="F24" s="567"/>
      <c r="G24" s="366">
        <v>0</v>
      </c>
      <c r="H24" s="449">
        <v>0</v>
      </c>
      <c r="I24" s="483"/>
      <c r="J24" s="366">
        <v>0</v>
      </c>
      <c r="K24" s="387">
        <v>0</v>
      </c>
      <c r="L24" s="617">
        <f t="shared" si="5"/>
        <v>0</v>
      </c>
      <c r="M24" s="618">
        <f t="shared" si="6"/>
        <v>0</v>
      </c>
      <c r="N24" s="619">
        <f t="shared" si="7"/>
        <v>0</v>
      </c>
    </row>
    <row r="25" spans="1:14" ht="13.5" thickBot="1">
      <c r="A25" s="355" t="s">
        <v>703</v>
      </c>
      <c r="B25" s="356" t="s">
        <v>838</v>
      </c>
      <c r="C25" s="369">
        <f>SUM(C26)</f>
        <v>100</v>
      </c>
      <c r="D25" s="369">
        <f aca="true" t="shared" si="8" ref="D25:K25">SUM(D26)</f>
        <v>100</v>
      </c>
      <c r="E25" s="531">
        <f t="shared" si="8"/>
        <v>10</v>
      </c>
      <c r="F25" s="568">
        <f t="shared" si="8"/>
        <v>0</v>
      </c>
      <c r="G25" s="369">
        <f t="shared" si="8"/>
        <v>0</v>
      </c>
      <c r="H25" s="636">
        <f t="shared" si="8"/>
        <v>0</v>
      </c>
      <c r="I25" s="486">
        <f t="shared" si="8"/>
        <v>0</v>
      </c>
      <c r="J25" s="369">
        <f t="shared" si="8"/>
        <v>0</v>
      </c>
      <c r="K25" s="369">
        <f t="shared" si="8"/>
        <v>0</v>
      </c>
      <c r="L25" s="602">
        <f aca="true" t="shared" si="9" ref="L25:L30">SUM(C25+F25+I25)</f>
        <v>100</v>
      </c>
      <c r="M25" s="357">
        <f t="shared" si="6"/>
        <v>100</v>
      </c>
      <c r="N25" s="578">
        <f t="shared" si="7"/>
        <v>10</v>
      </c>
    </row>
    <row r="26" spans="1:14" ht="13.5" thickBot="1">
      <c r="A26" s="364" t="s">
        <v>705</v>
      </c>
      <c r="B26" s="368" t="s">
        <v>317</v>
      </c>
      <c r="C26" s="366">
        <v>100</v>
      </c>
      <c r="D26" s="366">
        <v>100</v>
      </c>
      <c r="E26" s="387">
        <v>10</v>
      </c>
      <c r="F26" s="567">
        <v>0</v>
      </c>
      <c r="G26" s="366">
        <v>0</v>
      </c>
      <c r="H26" s="449">
        <v>0</v>
      </c>
      <c r="I26" s="483">
        <v>0</v>
      </c>
      <c r="J26" s="366">
        <v>0</v>
      </c>
      <c r="K26" s="387">
        <v>0</v>
      </c>
      <c r="L26" s="611">
        <f t="shared" si="9"/>
        <v>100</v>
      </c>
      <c r="M26" s="607">
        <f aca="true" t="shared" si="10" ref="M26:N30">SUM(D26+G26+J26)</f>
        <v>100</v>
      </c>
      <c r="N26" s="612">
        <f t="shared" si="10"/>
        <v>10</v>
      </c>
    </row>
    <row r="27" spans="1:14" ht="13.5" thickBot="1">
      <c r="A27" s="355" t="s">
        <v>825</v>
      </c>
      <c r="B27" s="356" t="s">
        <v>943</v>
      </c>
      <c r="C27" s="357">
        <f aca="true" t="shared" si="11" ref="C27:K27">SUM(C28:C37)</f>
        <v>9330</v>
      </c>
      <c r="D27" s="357">
        <f t="shared" si="11"/>
        <v>9330</v>
      </c>
      <c r="E27" s="511">
        <f t="shared" si="11"/>
        <v>8807</v>
      </c>
      <c r="F27" s="564">
        <f t="shared" si="11"/>
        <v>0</v>
      </c>
      <c r="G27" s="357">
        <f t="shared" si="11"/>
        <v>0</v>
      </c>
      <c r="H27" s="394">
        <f t="shared" si="11"/>
        <v>0</v>
      </c>
      <c r="I27" s="484">
        <f t="shared" si="11"/>
        <v>0</v>
      </c>
      <c r="J27" s="357">
        <f t="shared" si="11"/>
        <v>0</v>
      </c>
      <c r="K27" s="357">
        <f t="shared" si="11"/>
        <v>0</v>
      </c>
      <c r="L27" s="602">
        <f t="shared" si="9"/>
        <v>9330</v>
      </c>
      <c r="M27" s="357">
        <f t="shared" si="10"/>
        <v>9330</v>
      </c>
      <c r="N27" s="578">
        <f t="shared" si="10"/>
        <v>8807</v>
      </c>
    </row>
    <row r="28" spans="1:14" ht="12.75">
      <c r="A28" s="358" t="s">
        <v>719</v>
      </c>
      <c r="B28" s="359" t="s">
        <v>732</v>
      </c>
      <c r="C28" s="360"/>
      <c r="D28" s="360">
        <v>0</v>
      </c>
      <c r="E28" s="385">
        <v>2</v>
      </c>
      <c r="F28" s="565"/>
      <c r="G28" s="360">
        <v>0</v>
      </c>
      <c r="H28" s="461">
        <v>0</v>
      </c>
      <c r="I28" s="485"/>
      <c r="J28" s="360">
        <v>0</v>
      </c>
      <c r="K28" s="385">
        <v>0</v>
      </c>
      <c r="L28" s="616">
        <f t="shared" si="9"/>
        <v>0</v>
      </c>
      <c r="M28" s="444">
        <f t="shared" si="10"/>
        <v>0</v>
      </c>
      <c r="N28" s="595">
        <f t="shared" si="10"/>
        <v>2</v>
      </c>
    </row>
    <row r="29" spans="1:14" ht="12.75">
      <c r="A29" s="361" t="s">
        <v>725</v>
      </c>
      <c r="B29" s="362" t="s">
        <v>331</v>
      </c>
      <c r="C29" s="363">
        <v>1716</v>
      </c>
      <c r="D29" s="363">
        <v>1716</v>
      </c>
      <c r="E29" s="386">
        <v>2104</v>
      </c>
      <c r="F29" s="566"/>
      <c r="G29" s="363">
        <v>0</v>
      </c>
      <c r="H29" s="448">
        <v>0</v>
      </c>
      <c r="I29" s="482"/>
      <c r="J29" s="363">
        <v>0</v>
      </c>
      <c r="K29" s="386">
        <v>0</v>
      </c>
      <c r="L29" s="611">
        <f t="shared" si="9"/>
        <v>1716</v>
      </c>
      <c r="M29" s="607">
        <f t="shared" si="10"/>
        <v>1716</v>
      </c>
      <c r="N29" s="612">
        <f t="shared" si="10"/>
        <v>2104</v>
      </c>
    </row>
    <row r="30" spans="1:14" ht="12.75">
      <c r="A30" s="361" t="s">
        <v>727</v>
      </c>
      <c r="B30" s="362" t="s">
        <v>735</v>
      </c>
      <c r="C30" s="363">
        <v>6951</v>
      </c>
      <c r="D30" s="363">
        <v>6951</v>
      </c>
      <c r="E30" s="386">
        <v>5467</v>
      </c>
      <c r="F30" s="566"/>
      <c r="G30" s="363">
        <v>0</v>
      </c>
      <c r="H30" s="448">
        <v>0</v>
      </c>
      <c r="I30" s="482"/>
      <c r="J30" s="363">
        <v>0</v>
      </c>
      <c r="K30" s="386">
        <v>0</v>
      </c>
      <c r="L30" s="611">
        <f t="shared" si="9"/>
        <v>6951</v>
      </c>
      <c r="M30" s="607">
        <f t="shared" si="10"/>
        <v>6951</v>
      </c>
      <c r="N30" s="612">
        <f t="shared" si="10"/>
        <v>5467</v>
      </c>
    </row>
    <row r="31" spans="1:14" ht="12.75">
      <c r="A31" s="361" t="s">
        <v>728</v>
      </c>
      <c r="B31" s="362" t="s">
        <v>337</v>
      </c>
      <c r="C31" s="363"/>
      <c r="D31" s="363">
        <v>0</v>
      </c>
      <c r="E31" s="386">
        <v>0</v>
      </c>
      <c r="F31" s="566"/>
      <c r="G31" s="363">
        <v>0</v>
      </c>
      <c r="H31" s="448">
        <v>0</v>
      </c>
      <c r="I31" s="482"/>
      <c r="J31" s="363">
        <v>0</v>
      </c>
      <c r="K31" s="386">
        <v>0</v>
      </c>
      <c r="L31" s="611">
        <f aca="true" t="shared" si="12" ref="L31:L37">SUM(C31+F31+I31)</f>
        <v>0</v>
      </c>
      <c r="M31" s="607">
        <f aca="true" t="shared" si="13" ref="M31:M39">SUM(D31+G31+J31)</f>
        <v>0</v>
      </c>
      <c r="N31" s="612">
        <f aca="true" t="shared" si="14" ref="N31:N39">SUM(E31+H31+K31)</f>
        <v>0</v>
      </c>
    </row>
    <row r="32" spans="1:14" ht="12.75">
      <c r="A32" s="361" t="s">
        <v>826</v>
      </c>
      <c r="B32" s="362" t="s">
        <v>738</v>
      </c>
      <c r="C32" s="363"/>
      <c r="D32" s="363">
        <v>0</v>
      </c>
      <c r="E32" s="386">
        <v>0</v>
      </c>
      <c r="F32" s="566"/>
      <c r="G32" s="363">
        <v>0</v>
      </c>
      <c r="H32" s="448">
        <v>0</v>
      </c>
      <c r="I32" s="482"/>
      <c r="J32" s="363">
        <v>0</v>
      </c>
      <c r="K32" s="386">
        <v>0</v>
      </c>
      <c r="L32" s="611">
        <f t="shared" si="12"/>
        <v>0</v>
      </c>
      <c r="M32" s="607">
        <f t="shared" si="13"/>
        <v>0</v>
      </c>
      <c r="N32" s="612">
        <f t="shared" si="14"/>
        <v>0</v>
      </c>
    </row>
    <row r="33" spans="1:14" ht="12.75">
      <c r="A33" s="361" t="s">
        <v>827</v>
      </c>
      <c r="B33" s="362" t="s">
        <v>740</v>
      </c>
      <c r="C33" s="363">
        <v>648</v>
      </c>
      <c r="D33" s="363">
        <v>648</v>
      </c>
      <c r="E33" s="386">
        <v>613</v>
      </c>
      <c r="F33" s="566"/>
      <c r="G33" s="363">
        <v>0</v>
      </c>
      <c r="H33" s="448">
        <v>0</v>
      </c>
      <c r="I33" s="482"/>
      <c r="J33" s="363">
        <v>0</v>
      </c>
      <c r="K33" s="386">
        <v>0</v>
      </c>
      <c r="L33" s="611">
        <f t="shared" si="12"/>
        <v>648</v>
      </c>
      <c r="M33" s="607">
        <f t="shared" si="13"/>
        <v>648</v>
      </c>
      <c r="N33" s="612">
        <f t="shared" si="14"/>
        <v>613</v>
      </c>
    </row>
    <row r="34" spans="1:14" ht="12.75">
      <c r="A34" s="361" t="s">
        <v>828</v>
      </c>
      <c r="B34" s="362" t="s">
        <v>345</v>
      </c>
      <c r="C34" s="363"/>
      <c r="D34" s="363">
        <v>0</v>
      </c>
      <c r="E34" s="386">
        <v>0</v>
      </c>
      <c r="F34" s="566"/>
      <c r="G34" s="363">
        <v>0</v>
      </c>
      <c r="H34" s="448">
        <v>0</v>
      </c>
      <c r="I34" s="482"/>
      <c r="J34" s="363">
        <v>0</v>
      </c>
      <c r="K34" s="386">
        <v>0</v>
      </c>
      <c r="L34" s="611">
        <f t="shared" si="12"/>
        <v>0</v>
      </c>
      <c r="M34" s="607">
        <f t="shared" si="13"/>
        <v>0</v>
      </c>
      <c r="N34" s="612">
        <f t="shared" si="14"/>
        <v>0</v>
      </c>
    </row>
    <row r="35" spans="1:14" ht="12.75">
      <c r="A35" s="361" t="s">
        <v>829</v>
      </c>
      <c r="B35" s="362" t="s">
        <v>743</v>
      </c>
      <c r="C35" s="834">
        <v>15</v>
      </c>
      <c r="D35" s="834">
        <v>15</v>
      </c>
      <c r="E35" s="835">
        <v>4</v>
      </c>
      <c r="F35" s="566"/>
      <c r="G35" s="363">
        <v>0</v>
      </c>
      <c r="H35" s="448">
        <v>0</v>
      </c>
      <c r="I35" s="482"/>
      <c r="J35" s="363">
        <v>0</v>
      </c>
      <c r="K35" s="386">
        <v>0</v>
      </c>
      <c r="L35" s="611">
        <f t="shared" si="12"/>
        <v>15</v>
      </c>
      <c r="M35" s="607">
        <f t="shared" si="13"/>
        <v>15</v>
      </c>
      <c r="N35" s="612">
        <f t="shared" si="14"/>
        <v>4</v>
      </c>
    </row>
    <row r="36" spans="1:14" ht="12.75">
      <c r="A36" s="361" t="s">
        <v>830</v>
      </c>
      <c r="B36" s="362" t="s">
        <v>745</v>
      </c>
      <c r="C36" s="370"/>
      <c r="D36" s="370">
        <v>0</v>
      </c>
      <c r="E36" s="388">
        <v>0</v>
      </c>
      <c r="F36" s="569"/>
      <c r="G36" s="370">
        <v>0</v>
      </c>
      <c r="H36" s="542">
        <v>0</v>
      </c>
      <c r="I36" s="559"/>
      <c r="J36" s="370">
        <v>0</v>
      </c>
      <c r="K36" s="388">
        <v>0</v>
      </c>
      <c r="L36" s="611">
        <f t="shared" si="12"/>
        <v>0</v>
      </c>
      <c r="M36" s="607">
        <f t="shared" si="13"/>
        <v>0</v>
      </c>
      <c r="N36" s="612">
        <f t="shared" si="14"/>
        <v>0</v>
      </c>
    </row>
    <row r="37" spans="1:14" ht="13.5" thickBot="1">
      <c r="A37" s="364" t="s">
        <v>831</v>
      </c>
      <c r="B37" s="365" t="s">
        <v>747</v>
      </c>
      <c r="C37" s="371"/>
      <c r="D37" s="371">
        <v>0</v>
      </c>
      <c r="E37" s="389">
        <v>617</v>
      </c>
      <c r="F37" s="570"/>
      <c r="G37" s="371">
        <v>0</v>
      </c>
      <c r="H37" s="543">
        <v>0</v>
      </c>
      <c r="I37" s="560"/>
      <c r="J37" s="371">
        <v>0</v>
      </c>
      <c r="K37" s="389">
        <v>0</v>
      </c>
      <c r="L37" s="617">
        <f t="shared" si="12"/>
        <v>0</v>
      </c>
      <c r="M37" s="618">
        <f t="shared" si="13"/>
        <v>0</v>
      </c>
      <c r="N37" s="619">
        <f t="shared" si="14"/>
        <v>617</v>
      </c>
    </row>
    <row r="38" spans="1:14" ht="13.5" thickBot="1">
      <c r="A38" s="355" t="s">
        <v>729</v>
      </c>
      <c r="B38" s="356" t="s">
        <v>944</v>
      </c>
      <c r="C38" s="357">
        <f>SUM(C39:C41)</f>
        <v>0</v>
      </c>
      <c r="D38" s="357">
        <f aca="true" t="shared" si="15" ref="D38:K38">SUM(D39:D41)</f>
        <v>0</v>
      </c>
      <c r="E38" s="511">
        <f t="shared" si="15"/>
        <v>0</v>
      </c>
      <c r="F38" s="564">
        <f t="shared" si="15"/>
        <v>0</v>
      </c>
      <c r="G38" s="357">
        <f t="shared" si="15"/>
        <v>0</v>
      </c>
      <c r="H38" s="394">
        <f t="shared" si="15"/>
        <v>0</v>
      </c>
      <c r="I38" s="484">
        <f t="shared" si="15"/>
        <v>0</v>
      </c>
      <c r="J38" s="357">
        <f t="shared" si="15"/>
        <v>0</v>
      </c>
      <c r="K38" s="357">
        <f t="shared" si="15"/>
        <v>0</v>
      </c>
      <c r="L38" s="602">
        <f aca="true" t="shared" si="16" ref="L38:L54">SUM(C38+F38+I38)</f>
        <v>0</v>
      </c>
      <c r="M38" s="357">
        <f t="shared" si="13"/>
        <v>0</v>
      </c>
      <c r="N38" s="578">
        <f t="shared" si="14"/>
        <v>0</v>
      </c>
    </row>
    <row r="39" spans="1:14" ht="12.75">
      <c r="A39" s="358" t="s">
        <v>731</v>
      </c>
      <c r="B39" s="359" t="s">
        <v>30</v>
      </c>
      <c r="C39" s="372">
        <v>0</v>
      </c>
      <c r="D39" s="372">
        <v>0</v>
      </c>
      <c r="E39" s="390">
        <v>0</v>
      </c>
      <c r="F39" s="571">
        <v>0</v>
      </c>
      <c r="G39" s="372">
        <v>0</v>
      </c>
      <c r="H39" s="544">
        <v>0</v>
      </c>
      <c r="I39" s="561">
        <v>0</v>
      </c>
      <c r="J39" s="372">
        <v>0</v>
      </c>
      <c r="K39" s="390">
        <v>0</v>
      </c>
      <c r="L39" s="616">
        <f t="shared" si="16"/>
        <v>0</v>
      </c>
      <c r="M39" s="444">
        <f t="shared" si="13"/>
        <v>0</v>
      </c>
      <c r="N39" s="595">
        <f t="shared" si="14"/>
        <v>0</v>
      </c>
    </row>
    <row r="40" spans="1:14" ht="12.75">
      <c r="A40" s="361" t="s">
        <v>733</v>
      </c>
      <c r="B40" s="362" t="s">
        <v>354</v>
      </c>
      <c r="C40" s="370"/>
      <c r="D40" s="370">
        <v>0</v>
      </c>
      <c r="E40" s="388">
        <v>0</v>
      </c>
      <c r="F40" s="569"/>
      <c r="G40" s="370">
        <v>0</v>
      </c>
      <c r="H40" s="542">
        <v>0</v>
      </c>
      <c r="I40" s="559"/>
      <c r="J40" s="370">
        <v>0</v>
      </c>
      <c r="K40" s="388">
        <v>0</v>
      </c>
      <c r="L40" s="611">
        <f t="shared" si="16"/>
        <v>0</v>
      </c>
      <c r="M40" s="607">
        <f aca="true" t="shared" si="17" ref="M40:M54">SUM(D40+G40+J40)</f>
        <v>0</v>
      </c>
      <c r="N40" s="612">
        <f aca="true" t="shared" si="18" ref="N40:N54">SUM(E40+H40+K40)</f>
        <v>0</v>
      </c>
    </row>
    <row r="41" spans="1:18" ht="13.5" thickBot="1">
      <c r="A41" s="361" t="s">
        <v>734</v>
      </c>
      <c r="B41" s="362" t="s">
        <v>357</v>
      </c>
      <c r="C41" s="370">
        <v>0</v>
      </c>
      <c r="D41" s="370">
        <v>0</v>
      </c>
      <c r="E41" s="388">
        <v>0</v>
      </c>
      <c r="F41" s="569">
        <v>0</v>
      </c>
      <c r="G41" s="370">
        <v>0</v>
      </c>
      <c r="H41" s="542">
        <v>0</v>
      </c>
      <c r="I41" s="559">
        <v>0</v>
      </c>
      <c r="J41" s="370">
        <v>0</v>
      </c>
      <c r="K41" s="388">
        <v>0</v>
      </c>
      <c r="L41" s="617">
        <f t="shared" si="16"/>
        <v>0</v>
      </c>
      <c r="M41" s="618">
        <f t="shared" si="17"/>
        <v>0</v>
      </c>
      <c r="N41" s="619">
        <f t="shared" si="18"/>
        <v>0</v>
      </c>
      <c r="R41">
        <v>7</v>
      </c>
    </row>
    <row r="42" spans="1:14" ht="13.5" thickBot="1">
      <c r="A42" s="355" t="s">
        <v>748</v>
      </c>
      <c r="B42" s="356" t="s">
        <v>947</v>
      </c>
      <c r="C42" s="357">
        <f>SUM(C43)</f>
        <v>0</v>
      </c>
      <c r="D42" s="357">
        <f aca="true" t="shared" si="19" ref="D42:K42">SUM(D43)</f>
        <v>0</v>
      </c>
      <c r="E42" s="511">
        <f t="shared" si="19"/>
        <v>0</v>
      </c>
      <c r="F42" s="564">
        <f t="shared" si="19"/>
        <v>0</v>
      </c>
      <c r="G42" s="357">
        <f t="shared" si="19"/>
        <v>0</v>
      </c>
      <c r="H42" s="394">
        <f t="shared" si="19"/>
        <v>0</v>
      </c>
      <c r="I42" s="484">
        <f t="shared" si="19"/>
        <v>0</v>
      </c>
      <c r="J42" s="357">
        <f t="shared" si="19"/>
        <v>0</v>
      </c>
      <c r="K42" s="357">
        <f t="shared" si="19"/>
        <v>0</v>
      </c>
      <c r="L42" s="602">
        <f t="shared" si="16"/>
        <v>0</v>
      </c>
      <c r="M42" s="357">
        <f t="shared" si="17"/>
        <v>0</v>
      </c>
      <c r="N42" s="578">
        <f t="shared" si="18"/>
        <v>0</v>
      </c>
    </row>
    <row r="43" spans="1:14" ht="12.75">
      <c r="A43" s="361" t="s">
        <v>945</v>
      </c>
      <c r="B43" s="362" t="s">
        <v>762</v>
      </c>
      <c r="C43" s="363">
        <v>0</v>
      </c>
      <c r="D43" s="363">
        <v>0</v>
      </c>
      <c r="E43" s="386">
        <v>0</v>
      </c>
      <c r="F43" s="566">
        <v>0</v>
      </c>
      <c r="G43" s="363">
        <v>0</v>
      </c>
      <c r="H43" s="448">
        <v>0</v>
      </c>
      <c r="I43" s="482">
        <v>0</v>
      </c>
      <c r="J43" s="363">
        <v>0</v>
      </c>
      <c r="K43" s="386">
        <v>0</v>
      </c>
      <c r="L43" s="608">
        <f t="shared" si="16"/>
        <v>0</v>
      </c>
      <c r="M43" s="609">
        <f t="shared" si="17"/>
        <v>0</v>
      </c>
      <c r="N43" s="610">
        <f t="shared" si="18"/>
        <v>0</v>
      </c>
    </row>
    <row r="44" spans="1:14" ht="13.5" thickBot="1">
      <c r="A44" s="364" t="s">
        <v>751</v>
      </c>
      <c r="B44" s="365" t="s">
        <v>946</v>
      </c>
      <c r="C44" s="366">
        <v>0</v>
      </c>
      <c r="D44" s="366">
        <v>0</v>
      </c>
      <c r="E44" s="387">
        <v>0</v>
      </c>
      <c r="F44" s="567">
        <v>0</v>
      </c>
      <c r="G44" s="366">
        <v>0</v>
      </c>
      <c r="H44" s="449">
        <v>0</v>
      </c>
      <c r="I44" s="483">
        <v>0</v>
      </c>
      <c r="J44" s="366">
        <v>0</v>
      </c>
      <c r="K44" s="387">
        <v>0</v>
      </c>
      <c r="L44" s="613">
        <f t="shared" si="16"/>
        <v>0</v>
      </c>
      <c r="M44" s="614">
        <f t="shared" si="17"/>
        <v>0</v>
      </c>
      <c r="N44" s="615">
        <f t="shared" si="18"/>
        <v>0</v>
      </c>
    </row>
    <row r="45" spans="1:14" ht="13.5" thickBot="1">
      <c r="A45" s="355" t="s">
        <v>832</v>
      </c>
      <c r="B45" s="367" t="s">
        <v>948</v>
      </c>
      <c r="C45" s="357">
        <f>SUM(C46)</f>
        <v>0</v>
      </c>
      <c r="D45" s="357">
        <f aca="true" t="shared" si="20" ref="D45:K45">SUM(D46)</f>
        <v>0</v>
      </c>
      <c r="E45" s="511">
        <f t="shared" si="20"/>
        <v>0</v>
      </c>
      <c r="F45" s="564">
        <f t="shared" si="20"/>
        <v>0</v>
      </c>
      <c r="G45" s="357">
        <f t="shared" si="20"/>
        <v>0</v>
      </c>
      <c r="H45" s="394">
        <f t="shared" si="20"/>
        <v>0</v>
      </c>
      <c r="I45" s="484">
        <f t="shared" si="20"/>
        <v>0</v>
      </c>
      <c r="J45" s="357">
        <f t="shared" si="20"/>
        <v>0</v>
      </c>
      <c r="K45" s="357">
        <f t="shared" si="20"/>
        <v>0</v>
      </c>
      <c r="L45" s="602">
        <f t="shared" si="16"/>
        <v>0</v>
      </c>
      <c r="M45" s="357">
        <f t="shared" si="17"/>
        <v>0</v>
      </c>
      <c r="N45" s="578">
        <f t="shared" si="18"/>
        <v>0</v>
      </c>
    </row>
    <row r="46" spans="1:14" ht="12.75">
      <c r="A46" s="361" t="s">
        <v>757</v>
      </c>
      <c r="B46" s="362" t="s">
        <v>772</v>
      </c>
      <c r="C46" s="370">
        <v>0</v>
      </c>
      <c r="D46" s="370">
        <v>0</v>
      </c>
      <c r="E46" s="388">
        <v>0</v>
      </c>
      <c r="F46" s="569">
        <v>0</v>
      </c>
      <c r="G46" s="370">
        <v>0</v>
      </c>
      <c r="H46" s="542">
        <v>0</v>
      </c>
      <c r="I46" s="559">
        <v>0</v>
      </c>
      <c r="J46" s="370">
        <v>0</v>
      </c>
      <c r="K46" s="388">
        <v>0</v>
      </c>
      <c r="L46" s="608">
        <f t="shared" si="16"/>
        <v>0</v>
      </c>
      <c r="M46" s="609">
        <f t="shared" si="17"/>
        <v>0</v>
      </c>
      <c r="N46" s="610">
        <f t="shared" si="18"/>
        <v>0</v>
      </c>
    </row>
    <row r="47" spans="1:14" ht="13.5" thickBot="1">
      <c r="A47" s="364" t="s">
        <v>759</v>
      </c>
      <c r="B47" s="365" t="s">
        <v>949</v>
      </c>
      <c r="C47" s="370">
        <v>0</v>
      </c>
      <c r="D47" s="370">
        <v>0</v>
      </c>
      <c r="E47" s="388">
        <v>0</v>
      </c>
      <c r="F47" s="569">
        <v>0</v>
      </c>
      <c r="G47" s="370">
        <v>0</v>
      </c>
      <c r="H47" s="542">
        <v>0</v>
      </c>
      <c r="I47" s="559">
        <v>0</v>
      </c>
      <c r="J47" s="370">
        <v>0</v>
      </c>
      <c r="K47" s="388">
        <v>0</v>
      </c>
      <c r="L47" s="613">
        <f t="shared" si="16"/>
        <v>0</v>
      </c>
      <c r="M47" s="614">
        <f t="shared" si="17"/>
        <v>0</v>
      </c>
      <c r="N47" s="615">
        <f t="shared" si="18"/>
        <v>0</v>
      </c>
    </row>
    <row r="48" spans="1:14" ht="13.5" thickBot="1">
      <c r="A48" s="355" t="s">
        <v>765</v>
      </c>
      <c r="B48" s="356" t="s">
        <v>950</v>
      </c>
      <c r="C48" s="369">
        <f>SUM(C45+C42+C38+C27+C25+C18+C11)</f>
        <v>9430</v>
      </c>
      <c r="D48" s="369">
        <f aca="true" t="shared" si="21" ref="D48:K48">SUM(D45+D42+D38+D27+D25+D18+D11)</f>
        <v>9430</v>
      </c>
      <c r="E48" s="531">
        <f t="shared" si="21"/>
        <v>8817</v>
      </c>
      <c r="F48" s="568">
        <f t="shared" si="21"/>
        <v>0</v>
      </c>
      <c r="G48" s="369">
        <f t="shared" si="21"/>
        <v>0</v>
      </c>
      <c r="H48" s="636">
        <f t="shared" si="21"/>
        <v>0</v>
      </c>
      <c r="I48" s="486">
        <f t="shared" si="21"/>
        <v>0</v>
      </c>
      <c r="J48" s="369">
        <f t="shared" si="21"/>
        <v>0</v>
      </c>
      <c r="K48" s="369">
        <f t="shared" si="21"/>
        <v>0</v>
      </c>
      <c r="L48" s="602">
        <f t="shared" si="16"/>
        <v>9430</v>
      </c>
      <c r="M48" s="357">
        <f t="shared" si="17"/>
        <v>9430</v>
      </c>
      <c r="N48" s="578">
        <f t="shared" si="18"/>
        <v>8817</v>
      </c>
    </row>
    <row r="49" spans="1:14" ht="13.5" thickBot="1">
      <c r="A49" s="605" t="s">
        <v>775</v>
      </c>
      <c r="B49" s="367" t="s">
        <v>951</v>
      </c>
      <c r="C49" s="357">
        <f>SUM(C50:C51)</f>
        <v>0</v>
      </c>
      <c r="D49" s="357">
        <f aca="true" t="shared" si="22" ref="D49:K49">SUM(D50:D51)</f>
        <v>3234</v>
      </c>
      <c r="E49" s="511">
        <f t="shared" si="22"/>
        <v>3234</v>
      </c>
      <c r="F49" s="564">
        <f t="shared" si="22"/>
        <v>0</v>
      </c>
      <c r="G49" s="357">
        <f t="shared" si="22"/>
        <v>0</v>
      </c>
      <c r="H49" s="394">
        <f t="shared" si="22"/>
        <v>0</v>
      </c>
      <c r="I49" s="484">
        <f t="shared" si="22"/>
        <v>0</v>
      </c>
      <c r="J49" s="357">
        <f t="shared" si="22"/>
        <v>0</v>
      </c>
      <c r="K49" s="357">
        <f t="shared" si="22"/>
        <v>0</v>
      </c>
      <c r="L49" s="617">
        <f t="shared" si="16"/>
        <v>0</v>
      </c>
      <c r="M49" s="618">
        <f t="shared" si="17"/>
        <v>3234</v>
      </c>
      <c r="N49" s="619">
        <f t="shared" si="18"/>
        <v>3234</v>
      </c>
    </row>
    <row r="50" spans="1:14" ht="12.75">
      <c r="A50" s="358" t="s">
        <v>938</v>
      </c>
      <c r="B50" s="359" t="s">
        <v>403</v>
      </c>
      <c r="C50" s="370"/>
      <c r="D50" s="370">
        <v>3234</v>
      </c>
      <c r="E50" s="388">
        <v>3234</v>
      </c>
      <c r="F50" s="569"/>
      <c r="G50" s="370">
        <v>0</v>
      </c>
      <c r="H50" s="542">
        <v>0</v>
      </c>
      <c r="I50" s="559"/>
      <c r="J50" s="370">
        <v>0</v>
      </c>
      <c r="K50" s="388">
        <v>0</v>
      </c>
      <c r="L50" s="608">
        <f t="shared" si="16"/>
        <v>0</v>
      </c>
      <c r="M50" s="609">
        <f t="shared" si="17"/>
        <v>3234</v>
      </c>
      <c r="N50" s="610">
        <f t="shared" si="18"/>
        <v>3234</v>
      </c>
    </row>
    <row r="51" spans="1:14" ht="13.5" thickBot="1">
      <c r="A51" s="364" t="s">
        <v>939</v>
      </c>
      <c r="B51" s="365" t="s">
        <v>405</v>
      </c>
      <c r="C51" s="370">
        <v>0</v>
      </c>
      <c r="D51" s="370">
        <v>0</v>
      </c>
      <c r="E51" s="388">
        <v>0</v>
      </c>
      <c r="F51" s="569">
        <v>0</v>
      </c>
      <c r="G51" s="370">
        <v>0</v>
      </c>
      <c r="H51" s="542">
        <v>0</v>
      </c>
      <c r="I51" s="559">
        <v>0</v>
      </c>
      <c r="J51" s="370">
        <v>0</v>
      </c>
      <c r="K51" s="388">
        <v>0</v>
      </c>
      <c r="L51" s="613">
        <f t="shared" si="16"/>
        <v>0</v>
      </c>
      <c r="M51" s="614">
        <f t="shared" si="17"/>
        <v>0</v>
      </c>
      <c r="N51" s="615">
        <f t="shared" si="18"/>
        <v>0</v>
      </c>
    </row>
    <row r="52" spans="1:14" ht="21.75" thickBot="1">
      <c r="A52" s="605" t="s">
        <v>99</v>
      </c>
      <c r="B52" s="367" t="s">
        <v>824</v>
      </c>
      <c r="C52" s="357">
        <f>193572-15</f>
        <v>193557</v>
      </c>
      <c r="D52" s="357">
        <f>159352-4</f>
        <v>159348</v>
      </c>
      <c r="E52" s="384">
        <f>159352-4</f>
        <v>159348</v>
      </c>
      <c r="F52" s="564"/>
      <c r="G52" s="357"/>
      <c r="H52" s="460"/>
      <c r="I52" s="484">
        <v>15</v>
      </c>
      <c r="J52" s="357">
        <v>4</v>
      </c>
      <c r="K52" s="384">
        <v>4</v>
      </c>
      <c r="L52" s="594">
        <f t="shared" si="16"/>
        <v>193572</v>
      </c>
      <c r="M52" s="444">
        <f t="shared" si="17"/>
        <v>159352</v>
      </c>
      <c r="N52" s="620">
        <f t="shared" si="18"/>
        <v>159352</v>
      </c>
    </row>
    <row r="53" spans="1:14" ht="13.5" thickBot="1">
      <c r="A53" s="605">
        <v>11</v>
      </c>
      <c r="B53" s="379" t="s">
        <v>952</v>
      </c>
      <c r="C53" s="369">
        <f>SUM(C52+C49)</f>
        <v>193557</v>
      </c>
      <c r="D53" s="369">
        <f aca="true" t="shared" si="23" ref="D53:K53">SUM(D52+D49)</f>
        <v>162582</v>
      </c>
      <c r="E53" s="531">
        <f t="shared" si="23"/>
        <v>162582</v>
      </c>
      <c r="F53" s="568">
        <f t="shared" si="23"/>
        <v>0</v>
      </c>
      <c r="G53" s="369">
        <f t="shared" si="23"/>
        <v>0</v>
      </c>
      <c r="H53" s="636">
        <f t="shared" si="23"/>
        <v>0</v>
      </c>
      <c r="I53" s="486">
        <f t="shared" si="23"/>
        <v>15</v>
      </c>
      <c r="J53" s="369">
        <f t="shared" si="23"/>
        <v>4</v>
      </c>
      <c r="K53" s="369">
        <f t="shared" si="23"/>
        <v>4</v>
      </c>
      <c r="L53" s="577">
        <f t="shared" si="16"/>
        <v>193572</v>
      </c>
      <c r="M53" s="357">
        <f t="shared" si="17"/>
        <v>162586</v>
      </c>
      <c r="N53" s="604">
        <f t="shared" si="18"/>
        <v>162586</v>
      </c>
    </row>
    <row r="54" spans="1:14" ht="21.75" thickBot="1">
      <c r="A54" s="606">
        <v>12</v>
      </c>
      <c r="B54" s="381" t="s">
        <v>953</v>
      </c>
      <c r="C54" s="369">
        <f>SUM(C53+C48)</f>
        <v>202987</v>
      </c>
      <c r="D54" s="369">
        <f aca="true" t="shared" si="24" ref="D54:K54">SUM(D53+D48)</f>
        <v>172012</v>
      </c>
      <c r="E54" s="531">
        <f t="shared" si="24"/>
        <v>171399</v>
      </c>
      <c r="F54" s="568">
        <f t="shared" si="24"/>
        <v>0</v>
      </c>
      <c r="G54" s="369">
        <f t="shared" si="24"/>
        <v>0</v>
      </c>
      <c r="H54" s="636">
        <f t="shared" si="24"/>
        <v>0</v>
      </c>
      <c r="I54" s="486">
        <f t="shared" si="24"/>
        <v>15</v>
      </c>
      <c r="J54" s="369">
        <f t="shared" si="24"/>
        <v>4</v>
      </c>
      <c r="K54" s="369">
        <f t="shared" si="24"/>
        <v>4</v>
      </c>
      <c r="L54" s="602">
        <f t="shared" si="16"/>
        <v>203002</v>
      </c>
      <c r="M54" s="357">
        <f t="shared" si="17"/>
        <v>172016</v>
      </c>
      <c r="N54" s="578">
        <f t="shared" si="18"/>
        <v>171403</v>
      </c>
    </row>
    <row r="55" spans="1:14" ht="12.75">
      <c r="A55" s="553"/>
      <c r="B55" s="553"/>
      <c r="C55" s="554"/>
      <c r="D55" s="554"/>
      <c r="E55" s="554"/>
      <c r="F55" s="554"/>
      <c r="G55" s="554"/>
      <c r="H55" s="554"/>
      <c r="I55" s="554"/>
      <c r="J55" s="554"/>
      <c r="K55" s="554"/>
      <c r="L55" s="554"/>
      <c r="M55" s="554"/>
      <c r="N55" s="554"/>
    </row>
    <row r="56" spans="1:14" ht="12.75">
      <c r="A56" s="553"/>
      <c r="B56" s="553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</row>
    <row r="57" spans="1:14" ht="15.75">
      <c r="A57" s="1214" t="s">
        <v>927</v>
      </c>
      <c r="B57" s="1214"/>
      <c r="C57" s="1214"/>
      <c r="D57" s="1214"/>
      <c r="E57" s="1214"/>
      <c r="F57" s="1214"/>
      <c r="G57" s="1214"/>
      <c r="H57" s="1214"/>
      <c r="I57" s="1214"/>
      <c r="J57" s="1214"/>
      <c r="K57" s="1214"/>
      <c r="L57" s="1214"/>
      <c r="M57" s="1214"/>
      <c r="N57" s="1214"/>
    </row>
    <row r="58" spans="1:14" ht="14.25" thickBot="1">
      <c r="A58" s="546"/>
      <c r="B58" s="546"/>
      <c r="C58" s="547"/>
      <c r="D58" s="547"/>
      <c r="E58" s="547"/>
      <c r="F58" s="547"/>
      <c r="G58" s="547"/>
      <c r="H58" s="547"/>
      <c r="I58" s="547"/>
      <c r="J58" s="547"/>
      <c r="K58" s="547"/>
      <c r="L58" s="547"/>
      <c r="M58" s="547"/>
      <c r="N58" s="547" t="s">
        <v>926</v>
      </c>
    </row>
    <row r="59" spans="1:14" ht="12.75" customHeight="1">
      <c r="A59" s="1195" t="s">
        <v>676</v>
      </c>
      <c r="B59" s="1198" t="s">
        <v>861</v>
      </c>
      <c r="C59" s="1194" t="s">
        <v>1185</v>
      </c>
      <c r="D59" s="1208"/>
      <c r="E59" s="1208"/>
      <c r="F59" s="1211" t="s">
        <v>1185</v>
      </c>
      <c r="G59" s="1208"/>
      <c r="H59" s="1212"/>
      <c r="I59" s="1208" t="s">
        <v>1185</v>
      </c>
      <c r="J59" s="1208"/>
      <c r="K59" s="1208"/>
      <c r="L59" s="1207" t="s">
        <v>1185</v>
      </c>
      <c r="M59" s="1208"/>
      <c r="N59" s="1209"/>
    </row>
    <row r="60" spans="1:14" ht="12.75">
      <c r="A60" s="1196"/>
      <c r="B60" s="1199"/>
      <c r="C60" s="1201" t="s">
        <v>931</v>
      </c>
      <c r="D60" s="1202"/>
      <c r="E60" s="1203"/>
      <c r="F60" s="1204" t="s">
        <v>932</v>
      </c>
      <c r="G60" s="1202"/>
      <c r="H60" s="1203"/>
      <c r="I60" s="1204" t="s">
        <v>933</v>
      </c>
      <c r="J60" s="1202"/>
      <c r="K60" s="1205"/>
      <c r="L60" s="1206" t="s">
        <v>934</v>
      </c>
      <c r="M60" s="1202"/>
      <c r="N60" s="1205"/>
    </row>
    <row r="61" spans="1:14" ht="24.75" thickBot="1">
      <c r="A61" s="1197"/>
      <c r="B61" s="1200"/>
      <c r="C61" s="352" t="s">
        <v>37</v>
      </c>
      <c r="D61" s="352" t="s">
        <v>38</v>
      </c>
      <c r="E61" s="382" t="s">
        <v>20</v>
      </c>
      <c r="F61" s="428" t="s">
        <v>37</v>
      </c>
      <c r="G61" s="352" t="s">
        <v>38</v>
      </c>
      <c r="H61" s="548" t="s">
        <v>20</v>
      </c>
      <c r="I61" s="557" t="s">
        <v>37</v>
      </c>
      <c r="J61" s="352" t="s">
        <v>38</v>
      </c>
      <c r="K61" s="382" t="s">
        <v>20</v>
      </c>
      <c r="L61" s="573" t="s">
        <v>37</v>
      </c>
      <c r="M61" s="352" t="s">
        <v>38</v>
      </c>
      <c r="N61" s="574" t="s">
        <v>20</v>
      </c>
    </row>
    <row r="62" spans="1:14" ht="13.5" thickBot="1">
      <c r="A62" s="353" t="s">
        <v>221</v>
      </c>
      <c r="B62" s="354" t="s">
        <v>222</v>
      </c>
      <c r="C62" s="354" t="s">
        <v>223</v>
      </c>
      <c r="D62" s="354" t="s">
        <v>224</v>
      </c>
      <c r="E62" s="383" t="s">
        <v>225</v>
      </c>
      <c r="F62" s="353" t="s">
        <v>226</v>
      </c>
      <c r="G62" s="354" t="s">
        <v>227</v>
      </c>
      <c r="H62" s="563" t="s">
        <v>228</v>
      </c>
      <c r="I62" s="558" t="s">
        <v>229</v>
      </c>
      <c r="J62" s="354" t="s">
        <v>118</v>
      </c>
      <c r="K62" s="383" t="s">
        <v>119</v>
      </c>
      <c r="L62" s="575" t="s">
        <v>120</v>
      </c>
      <c r="M62" s="354" t="s">
        <v>121</v>
      </c>
      <c r="N62" s="576" t="s">
        <v>1461</v>
      </c>
    </row>
    <row r="63" spans="1:14" ht="13.5" thickBot="1">
      <c r="A63" s="442">
        <v>13</v>
      </c>
      <c r="B63" s="443" t="s">
        <v>954</v>
      </c>
      <c r="C63" s="444">
        <f>SUM(C64:C68)</f>
        <v>202542</v>
      </c>
      <c r="D63" s="444">
        <f aca="true" t="shared" si="25" ref="D63:K63">SUM(D64:D68)</f>
        <v>171397</v>
      </c>
      <c r="E63" s="509">
        <f t="shared" si="25"/>
        <v>169911</v>
      </c>
      <c r="F63" s="625">
        <f t="shared" si="25"/>
        <v>0</v>
      </c>
      <c r="G63" s="444">
        <f t="shared" si="25"/>
        <v>0</v>
      </c>
      <c r="H63" s="626">
        <f t="shared" si="25"/>
        <v>0</v>
      </c>
      <c r="I63" s="621">
        <f t="shared" si="25"/>
        <v>15</v>
      </c>
      <c r="J63" s="444">
        <f t="shared" si="25"/>
        <v>4</v>
      </c>
      <c r="K63" s="444">
        <f t="shared" si="25"/>
        <v>4</v>
      </c>
      <c r="L63" s="616">
        <f>SUM(C63+F63+I63)</f>
        <v>202557</v>
      </c>
      <c r="M63" s="444">
        <f>SUM(D63+G63+J63)</f>
        <v>171401</v>
      </c>
      <c r="N63" s="595">
        <f>SUM(E63+H63+K63)</f>
        <v>169915</v>
      </c>
    </row>
    <row r="64" spans="1:14" ht="12.75">
      <c r="A64" s="445" t="s">
        <v>801</v>
      </c>
      <c r="B64" s="418" t="s">
        <v>862</v>
      </c>
      <c r="C64" s="446">
        <v>94582</v>
      </c>
      <c r="D64" s="446">
        <v>74717</v>
      </c>
      <c r="E64" s="510">
        <v>73898</v>
      </c>
      <c r="F64" s="627"/>
      <c r="G64" s="446"/>
      <c r="H64" s="447"/>
      <c r="I64" s="622"/>
      <c r="J64" s="446"/>
      <c r="K64" s="510"/>
      <c r="L64" s="630">
        <f aca="true" t="shared" si="26" ref="L64:L82">SUM(C64+F64+I64)</f>
        <v>94582</v>
      </c>
      <c r="M64" s="609">
        <f aca="true" t="shared" si="27" ref="M64:M82">SUM(D64+G64+J64)</f>
        <v>74717</v>
      </c>
      <c r="N64" s="633">
        <f aca="true" t="shared" si="28" ref="N64:N82">SUM(E64+H64+K64)</f>
        <v>73898</v>
      </c>
    </row>
    <row r="65" spans="1:14" ht="12.75">
      <c r="A65" s="361" t="s">
        <v>803</v>
      </c>
      <c r="B65" s="420" t="s">
        <v>863</v>
      </c>
      <c r="C65" s="363">
        <v>25561</v>
      </c>
      <c r="D65" s="363">
        <v>20305</v>
      </c>
      <c r="E65" s="386">
        <v>20064</v>
      </c>
      <c r="F65" s="566"/>
      <c r="G65" s="363"/>
      <c r="H65" s="448"/>
      <c r="I65" s="482"/>
      <c r="J65" s="363"/>
      <c r="K65" s="386"/>
      <c r="L65" s="631">
        <f t="shared" si="26"/>
        <v>25561</v>
      </c>
      <c r="M65" s="607">
        <f t="shared" si="27"/>
        <v>20305</v>
      </c>
      <c r="N65" s="634">
        <f t="shared" si="28"/>
        <v>20064</v>
      </c>
    </row>
    <row r="66" spans="1:14" ht="12.75">
      <c r="A66" s="361" t="s">
        <v>805</v>
      </c>
      <c r="B66" s="420" t="s">
        <v>864</v>
      </c>
      <c r="C66" s="366">
        <v>27625</v>
      </c>
      <c r="D66" s="366">
        <v>22539</v>
      </c>
      <c r="E66" s="387">
        <v>22114</v>
      </c>
      <c r="F66" s="567"/>
      <c r="G66" s="366"/>
      <c r="H66" s="449"/>
      <c r="I66" s="483"/>
      <c r="J66" s="366"/>
      <c r="K66" s="387"/>
      <c r="L66" s="631">
        <f t="shared" si="26"/>
        <v>27625</v>
      </c>
      <c r="M66" s="607">
        <f t="shared" si="27"/>
        <v>22539</v>
      </c>
      <c r="N66" s="634">
        <f t="shared" si="28"/>
        <v>22114</v>
      </c>
    </row>
    <row r="67" spans="1:14" ht="12.75">
      <c r="A67" s="361" t="s">
        <v>955</v>
      </c>
      <c r="B67" s="450" t="s">
        <v>67</v>
      </c>
      <c r="C67" s="366">
        <f>54789-15</f>
        <v>54774</v>
      </c>
      <c r="D67" s="366">
        <f>50606-4</f>
        <v>50602</v>
      </c>
      <c r="E67" s="387">
        <f>50605-4</f>
        <v>50601</v>
      </c>
      <c r="F67" s="567"/>
      <c r="G67" s="366"/>
      <c r="H67" s="449"/>
      <c r="I67" s="483">
        <v>15</v>
      </c>
      <c r="J67" s="366">
        <v>4</v>
      </c>
      <c r="K67" s="387">
        <v>4</v>
      </c>
      <c r="L67" s="631">
        <f t="shared" si="26"/>
        <v>54789</v>
      </c>
      <c r="M67" s="607">
        <f t="shared" si="27"/>
        <v>50606</v>
      </c>
      <c r="N67" s="634">
        <f t="shared" si="28"/>
        <v>50605</v>
      </c>
    </row>
    <row r="68" spans="1:14" ht="12.75">
      <c r="A68" s="361" t="s">
        <v>956</v>
      </c>
      <c r="B68" s="451" t="s">
        <v>865</v>
      </c>
      <c r="C68" s="366"/>
      <c r="D68" s="366">
        <v>3234</v>
      </c>
      <c r="E68" s="387">
        <v>3234</v>
      </c>
      <c r="F68" s="567"/>
      <c r="G68" s="366"/>
      <c r="H68" s="449"/>
      <c r="I68" s="483"/>
      <c r="J68" s="366"/>
      <c r="K68" s="387"/>
      <c r="L68" s="631">
        <f t="shared" si="26"/>
        <v>0</v>
      </c>
      <c r="M68" s="607">
        <f t="shared" si="27"/>
        <v>3234</v>
      </c>
      <c r="N68" s="634">
        <f t="shared" si="28"/>
        <v>3234</v>
      </c>
    </row>
    <row r="69" spans="1:14" ht="12.75">
      <c r="A69" s="361" t="s">
        <v>957</v>
      </c>
      <c r="B69" s="420" t="s">
        <v>967</v>
      </c>
      <c r="C69" s="366"/>
      <c r="D69" s="366">
        <v>3234</v>
      </c>
      <c r="E69" s="387">
        <v>3234</v>
      </c>
      <c r="F69" s="567"/>
      <c r="G69" s="366"/>
      <c r="H69" s="449"/>
      <c r="I69" s="483"/>
      <c r="J69" s="366"/>
      <c r="K69" s="387"/>
      <c r="L69" s="631">
        <f t="shared" si="26"/>
        <v>0</v>
      </c>
      <c r="M69" s="607">
        <f t="shared" si="27"/>
        <v>3234</v>
      </c>
      <c r="N69" s="634">
        <f t="shared" si="28"/>
        <v>3234</v>
      </c>
    </row>
    <row r="70" spans="1:14" ht="12.75">
      <c r="A70" s="361" t="s">
        <v>958</v>
      </c>
      <c r="B70" s="452" t="s">
        <v>869</v>
      </c>
      <c r="C70" s="366"/>
      <c r="D70" s="366"/>
      <c r="E70" s="387"/>
      <c r="F70" s="567"/>
      <c r="G70" s="366"/>
      <c r="H70" s="449"/>
      <c r="I70" s="483"/>
      <c r="J70" s="366"/>
      <c r="K70" s="387"/>
      <c r="L70" s="631">
        <f t="shared" si="26"/>
        <v>0</v>
      </c>
      <c r="M70" s="607">
        <f t="shared" si="27"/>
        <v>0</v>
      </c>
      <c r="N70" s="634">
        <f t="shared" si="28"/>
        <v>0</v>
      </c>
    </row>
    <row r="71" spans="1:14" ht="23.25" thickBot="1">
      <c r="A71" s="395" t="s">
        <v>959</v>
      </c>
      <c r="B71" s="456" t="s">
        <v>874</v>
      </c>
      <c r="C71" s="457"/>
      <c r="D71" s="457">
        <v>0</v>
      </c>
      <c r="E71" s="555"/>
      <c r="F71" s="628"/>
      <c r="G71" s="457"/>
      <c r="H71" s="458"/>
      <c r="I71" s="623"/>
      <c r="J71" s="457"/>
      <c r="K71" s="555"/>
      <c r="L71" s="632">
        <f t="shared" si="26"/>
        <v>0</v>
      </c>
      <c r="M71" s="614">
        <f t="shared" si="27"/>
        <v>0</v>
      </c>
      <c r="N71" s="635">
        <f t="shared" si="28"/>
        <v>0</v>
      </c>
    </row>
    <row r="72" spans="1:14" ht="13.5" thickBot="1">
      <c r="A72" s="355">
        <v>14</v>
      </c>
      <c r="B72" s="459" t="s">
        <v>968</v>
      </c>
      <c r="C72" s="357">
        <f>SUM(C73:C77)</f>
        <v>445</v>
      </c>
      <c r="D72" s="357">
        <f aca="true" t="shared" si="29" ref="D72:K72">SUM(D73:D77)</f>
        <v>615</v>
      </c>
      <c r="E72" s="511">
        <f t="shared" si="29"/>
        <v>505</v>
      </c>
      <c r="F72" s="564">
        <f t="shared" si="29"/>
        <v>0</v>
      </c>
      <c r="G72" s="357">
        <f t="shared" si="29"/>
        <v>0</v>
      </c>
      <c r="H72" s="394">
        <f t="shared" si="29"/>
        <v>0</v>
      </c>
      <c r="I72" s="484">
        <f t="shared" si="29"/>
        <v>0</v>
      </c>
      <c r="J72" s="357">
        <f t="shared" si="29"/>
        <v>0</v>
      </c>
      <c r="K72" s="357">
        <f t="shared" si="29"/>
        <v>0</v>
      </c>
      <c r="L72" s="616">
        <f t="shared" si="26"/>
        <v>445</v>
      </c>
      <c r="M72" s="444">
        <f t="shared" si="27"/>
        <v>615</v>
      </c>
      <c r="N72" s="595">
        <f t="shared" si="28"/>
        <v>505</v>
      </c>
    </row>
    <row r="73" spans="1:14" ht="12.75">
      <c r="A73" s="358" t="s">
        <v>960</v>
      </c>
      <c r="B73" s="420" t="s">
        <v>51</v>
      </c>
      <c r="C73" s="360">
        <v>445</v>
      </c>
      <c r="D73" s="360">
        <v>615</v>
      </c>
      <c r="E73" s="385">
        <v>505</v>
      </c>
      <c r="F73" s="565"/>
      <c r="G73" s="360"/>
      <c r="H73" s="461"/>
      <c r="I73" s="485"/>
      <c r="J73" s="360">
        <v>0</v>
      </c>
      <c r="K73" s="385">
        <v>0</v>
      </c>
      <c r="L73" s="608">
        <f t="shared" si="26"/>
        <v>445</v>
      </c>
      <c r="M73" s="609">
        <f t="shared" si="27"/>
        <v>615</v>
      </c>
      <c r="N73" s="610">
        <f t="shared" si="28"/>
        <v>505</v>
      </c>
    </row>
    <row r="74" spans="1:14" ht="12.75">
      <c r="A74" s="358" t="s">
        <v>961</v>
      </c>
      <c r="B74" s="462" t="s">
        <v>969</v>
      </c>
      <c r="C74" s="360"/>
      <c r="D74" s="360"/>
      <c r="E74" s="385"/>
      <c r="F74" s="565"/>
      <c r="G74" s="360"/>
      <c r="H74" s="461"/>
      <c r="I74" s="485"/>
      <c r="J74" s="360">
        <v>0</v>
      </c>
      <c r="K74" s="385">
        <v>0</v>
      </c>
      <c r="L74" s="611">
        <f t="shared" si="26"/>
        <v>0</v>
      </c>
      <c r="M74" s="607">
        <f t="shared" si="27"/>
        <v>0</v>
      </c>
      <c r="N74" s="612">
        <f t="shared" si="28"/>
        <v>0</v>
      </c>
    </row>
    <row r="75" spans="1:14" ht="12.75">
      <c r="A75" s="358" t="s">
        <v>962</v>
      </c>
      <c r="B75" s="462" t="s">
        <v>875</v>
      </c>
      <c r="C75" s="363"/>
      <c r="D75" s="363"/>
      <c r="E75" s="386"/>
      <c r="F75" s="566"/>
      <c r="G75" s="363"/>
      <c r="H75" s="448"/>
      <c r="I75" s="482"/>
      <c r="J75" s="363">
        <v>0</v>
      </c>
      <c r="K75" s="386">
        <v>0</v>
      </c>
      <c r="L75" s="611">
        <f t="shared" si="26"/>
        <v>0</v>
      </c>
      <c r="M75" s="607">
        <f t="shared" si="27"/>
        <v>0</v>
      </c>
      <c r="N75" s="612">
        <f t="shared" si="28"/>
        <v>0</v>
      </c>
    </row>
    <row r="76" spans="1:14" ht="12.75">
      <c r="A76" s="358" t="s">
        <v>963</v>
      </c>
      <c r="B76" s="462" t="s">
        <v>970</v>
      </c>
      <c r="C76" s="363"/>
      <c r="D76" s="363"/>
      <c r="E76" s="386"/>
      <c r="F76" s="566"/>
      <c r="G76" s="363"/>
      <c r="H76" s="448"/>
      <c r="I76" s="482"/>
      <c r="J76" s="363">
        <v>0</v>
      </c>
      <c r="K76" s="386">
        <v>0</v>
      </c>
      <c r="L76" s="611">
        <f t="shared" si="26"/>
        <v>0</v>
      </c>
      <c r="M76" s="607">
        <f t="shared" si="27"/>
        <v>0</v>
      </c>
      <c r="N76" s="612">
        <f t="shared" si="28"/>
        <v>0</v>
      </c>
    </row>
    <row r="77" spans="1:14" ht="12.75">
      <c r="A77" s="358" t="s">
        <v>964</v>
      </c>
      <c r="B77" s="368" t="s">
        <v>876</v>
      </c>
      <c r="C77" s="363"/>
      <c r="D77" s="363"/>
      <c r="E77" s="386"/>
      <c r="F77" s="566"/>
      <c r="G77" s="363"/>
      <c r="H77" s="448"/>
      <c r="I77" s="482"/>
      <c r="J77" s="363">
        <v>0</v>
      </c>
      <c r="K77" s="386">
        <v>0</v>
      </c>
      <c r="L77" s="611">
        <f t="shared" si="26"/>
        <v>0</v>
      </c>
      <c r="M77" s="607">
        <f t="shared" si="27"/>
        <v>0</v>
      </c>
      <c r="N77" s="612">
        <f t="shared" si="28"/>
        <v>0</v>
      </c>
    </row>
    <row r="78" spans="1:14" ht="22.5">
      <c r="A78" s="358" t="s">
        <v>965</v>
      </c>
      <c r="B78" s="453" t="s">
        <v>971</v>
      </c>
      <c r="C78" s="363"/>
      <c r="D78" s="363"/>
      <c r="E78" s="386"/>
      <c r="F78" s="566"/>
      <c r="G78" s="363"/>
      <c r="H78" s="448"/>
      <c r="I78" s="482"/>
      <c r="J78" s="363">
        <v>0</v>
      </c>
      <c r="K78" s="386">
        <v>0</v>
      </c>
      <c r="L78" s="611">
        <f t="shared" si="26"/>
        <v>0</v>
      </c>
      <c r="M78" s="607">
        <f t="shared" si="27"/>
        <v>0</v>
      </c>
      <c r="N78" s="612">
        <f t="shared" si="28"/>
        <v>0</v>
      </c>
    </row>
    <row r="79" spans="1:14" ht="23.25" thickBot="1">
      <c r="A79" s="454" t="s">
        <v>966</v>
      </c>
      <c r="B79" s="453" t="s">
        <v>881</v>
      </c>
      <c r="C79" s="366"/>
      <c r="D79" s="366"/>
      <c r="E79" s="387"/>
      <c r="F79" s="567"/>
      <c r="G79" s="366"/>
      <c r="H79" s="449"/>
      <c r="I79" s="483"/>
      <c r="J79" s="366">
        <v>0</v>
      </c>
      <c r="K79" s="387">
        <v>0</v>
      </c>
      <c r="L79" s="613">
        <f t="shared" si="26"/>
        <v>0</v>
      </c>
      <c r="M79" s="614">
        <f t="shared" si="27"/>
        <v>0</v>
      </c>
      <c r="N79" s="615">
        <f t="shared" si="28"/>
        <v>0</v>
      </c>
    </row>
    <row r="80" spans="1:14" ht="13.5" thickBot="1">
      <c r="A80" s="355">
        <v>15</v>
      </c>
      <c r="B80" s="464" t="s">
        <v>972</v>
      </c>
      <c r="C80" s="357">
        <f>SUM(C72+C63)</f>
        <v>202987</v>
      </c>
      <c r="D80" s="357">
        <f aca="true" t="shared" si="30" ref="D80:K80">SUM(D72+D63)</f>
        <v>172012</v>
      </c>
      <c r="E80" s="511">
        <f t="shared" si="30"/>
        <v>170416</v>
      </c>
      <c r="F80" s="564">
        <f t="shared" si="30"/>
        <v>0</v>
      </c>
      <c r="G80" s="357">
        <f t="shared" si="30"/>
        <v>0</v>
      </c>
      <c r="H80" s="394">
        <f t="shared" si="30"/>
        <v>0</v>
      </c>
      <c r="I80" s="484">
        <f t="shared" si="30"/>
        <v>15</v>
      </c>
      <c r="J80" s="357">
        <f t="shared" si="30"/>
        <v>4</v>
      </c>
      <c r="K80" s="357">
        <f t="shared" si="30"/>
        <v>4</v>
      </c>
      <c r="L80" s="616">
        <f t="shared" si="26"/>
        <v>203002</v>
      </c>
      <c r="M80" s="444">
        <f t="shared" si="27"/>
        <v>172016</v>
      </c>
      <c r="N80" s="595">
        <f t="shared" si="28"/>
        <v>170420</v>
      </c>
    </row>
    <row r="81" spans="1:14" ht="13.5" thickBot="1">
      <c r="A81" s="355">
        <v>16</v>
      </c>
      <c r="B81" s="464" t="s">
        <v>973</v>
      </c>
      <c r="C81" s="468"/>
      <c r="D81" s="468">
        <v>0</v>
      </c>
      <c r="E81" s="556"/>
      <c r="F81" s="629"/>
      <c r="G81" s="468">
        <v>0</v>
      </c>
      <c r="H81" s="469"/>
      <c r="I81" s="624"/>
      <c r="J81" s="468"/>
      <c r="K81" s="556"/>
      <c r="L81" s="616">
        <f t="shared" si="26"/>
        <v>0</v>
      </c>
      <c r="M81" s="444">
        <f t="shared" si="27"/>
        <v>0</v>
      </c>
      <c r="N81" s="595">
        <f t="shared" si="28"/>
        <v>0</v>
      </c>
    </row>
    <row r="82" spans="1:14" ht="21.75" thickBot="1">
      <c r="A82" s="470">
        <v>17</v>
      </c>
      <c r="B82" s="381" t="s">
        <v>974</v>
      </c>
      <c r="C82" s="468">
        <f aca="true" t="shared" si="31" ref="C82:K82">SUM(C80:C81)</f>
        <v>202987</v>
      </c>
      <c r="D82" s="468">
        <f t="shared" si="31"/>
        <v>172012</v>
      </c>
      <c r="E82" s="642">
        <f t="shared" si="31"/>
        <v>170416</v>
      </c>
      <c r="F82" s="556">
        <f t="shared" si="31"/>
        <v>0</v>
      </c>
      <c r="G82" s="518">
        <f t="shared" si="31"/>
        <v>0</v>
      </c>
      <c r="H82" s="518">
        <f t="shared" si="31"/>
        <v>0</v>
      </c>
      <c r="I82" s="518">
        <f t="shared" si="31"/>
        <v>15</v>
      </c>
      <c r="J82" s="518">
        <f t="shared" si="31"/>
        <v>4</v>
      </c>
      <c r="K82" s="518">
        <f t="shared" si="31"/>
        <v>4</v>
      </c>
      <c r="L82" s="602">
        <f t="shared" si="26"/>
        <v>203002</v>
      </c>
      <c r="M82" s="357">
        <f t="shared" si="27"/>
        <v>172016</v>
      </c>
      <c r="N82" s="578">
        <f t="shared" si="28"/>
        <v>170420</v>
      </c>
    </row>
    <row r="83" spans="1:14" ht="15.75">
      <c r="A83" s="549"/>
      <c r="B83" s="549"/>
      <c r="C83" s="550"/>
      <c r="D83" s="550"/>
      <c r="E83" s="550"/>
      <c r="F83" s="550"/>
      <c r="G83" s="550"/>
      <c r="H83" s="550"/>
      <c r="I83" s="550"/>
      <c r="J83" s="550"/>
      <c r="K83" s="550"/>
      <c r="L83" s="550"/>
      <c r="M83" s="550"/>
      <c r="N83" s="550"/>
    </row>
    <row r="84" spans="1:14" ht="15.75">
      <c r="A84" s="549"/>
      <c r="B84" s="549"/>
      <c r="C84" s="550"/>
      <c r="D84" s="550"/>
      <c r="E84" s="550"/>
      <c r="F84" s="550"/>
      <c r="G84" s="550"/>
      <c r="H84" s="550"/>
      <c r="I84" s="550"/>
      <c r="J84" s="550"/>
      <c r="K84" s="550"/>
      <c r="L84" s="550"/>
      <c r="M84" s="550"/>
      <c r="N84" s="550"/>
    </row>
    <row r="85" spans="1:14" ht="15.75">
      <c r="A85" s="549"/>
      <c r="B85" s="549"/>
      <c r="C85" s="550"/>
      <c r="D85" s="550"/>
      <c r="E85" s="550"/>
      <c r="F85" s="550"/>
      <c r="G85" s="550"/>
      <c r="H85" s="550"/>
      <c r="I85" s="550"/>
      <c r="J85" s="550"/>
      <c r="K85" s="550"/>
      <c r="L85" s="550"/>
      <c r="M85" s="550"/>
      <c r="N85" s="550"/>
    </row>
    <row r="86" spans="1:14" ht="15.75">
      <c r="A86" s="1213" t="s">
        <v>928</v>
      </c>
      <c r="B86" s="1213"/>
      <c r="C86" s="1213"/>
      <c r="D86" s="1213"/>
      <c r="E86" s="1213"/>
      <c r="F86" s="1213"/>
      <c r="G86" s="1213"/>
      <c r="H86" s="1213"/>
      <c r="I86" s="1213"/>
      <c r="J86" s="1213"/>
      <c r="K86" s="1213"/>
      <c r="L86" s="1213"/>
      <c r="M86" s="1213"/>
      <c r="N86" s="1213"/>
    </row>
    <row r="87" spans="1:14" ht="16.5" thickBot="1">
      <c r="A87" s="551"/>
      <c r="B87" s="551"/>
      <c r="C87" s="552"/>
      <c r="D87" s="550"/>
      <c r="E87" s="541"/>
      <c r="F87" s="552"/>
      <c r="G87" s="550"/>
      <c r="H87" s="541"/>
      <c r="I87" s="552"/>
      <c r="J87" s="550"/>
      <c r="K87" s="541"/>
      <c r="L87" s="552"/>
      <c r="M87" s="550"/>
      <c r="N87" s="541" t="s">
        <v>926</v>
      </c>
    </row>
    <row r="88" spans="1:14" ht="24" customHeight="1" thickBot="1">
      <c r="A88" s="355">
        <v>18</v>
      </c>
      <c r="B88" s="459" t="s">
        <v>929</v>
      </c>
      <c r="C88" s="394">
        <f aca="true" t="shared" si="32" ref="C88:K88">C48-C80</f>
        <v>-193557</v>
      </c>
      <c r="D88" s="394">
        <f t="shared" si="32"/>
        <v>-162582</v>
      </c>
      <c r="E88" s="394">
        <f t="shared" si="32"/>
        <v>-161599</v>
      </c>
      <c r="F88" s="394">
        <f t="shared" si="32"/>
        <v>0</v>
      </c>
      <c r="G88" s="394">
        <f t="shared" si="32"/>
        <v>0</v>
      </c>
      <c r="H88" s="394">
        <f t="shared" si="32"/>
        <v>0</v>
      </c>
      <c r="I88" s="394">
        <f t="shared" si="32"/>
        <v>-15</v>
      </c>
      <c r="J88" s="394">
        <f t="shared" si="32"/>
        <v>-4</v>
      </c>
      <c r="K88" s="394">
        <f t="shared" si="32"/>
        <v>-4</v>
      </c>
      <c r="L88" s="602">
        <f aca="true" t="shared" si="33" ref="L88:N89">SUM(C88+F88+I88)</f>
        <v>-193572</v>
      </c>
      <c r="M88" s="357">
        <f t="shared" si="33"/>
        <v>-162586</v>
      </c>
      <c r="N88" s="578">
        <f t="shared" si="33"/>
        <v>-161603</v>
      </c>
    </row>
    <row r="89" spans="1:14" ht="25.5" customHeight="1" thickBot="1">
      <c r="A89" s="355">
        <v>19</v>
      </c>
      <c r="B89" s="459" t="s">
        <v>930</v>
      </c>
      <c r="C89" s="394">
        <f aca="true" t="shared" si="34" ref="C89:K89">C53-C81</f>
        <v>193557</v>
      </c>
      <c r="D89" s="394">
        <f t="shared" si="34"/>
        <v>162582</v>
      </c>
      <c r="E89" s="394">
        <f t="shared" si="34"/>
        <v>162582</v>
      </c>
      <c r="F89" s="394">
        <f t="shared" si="34"/>
        <v>0</v>
      </c>
      <c r="G89" s="394">
        <f t="shared" si="34"/>
        <v>0</v>
      </c>
      <c r="H89" s="394">
        <f t="shared" si="34"/>
        <v>0</v>
      </c>
      <c r="I89" s="394">
        <f t="shared" si="34"/>
        <v>15</v>
      </c>
      <c r="J89" s="394">
        <f t="shared" si="34"/>
        <v>4</v>
      </c>
      <c r="K89" s="394">
        <f t="shared" si="34"/>
        <v>4</v>
      </c>
      <c r="L89" s="602">
        <f t="shared" si="33"/>
        <v>193572</v>
      </c>
      <c r="M89" s="357">
        <f t="shared" si="33"/>
        <v>162586</v>
      </c>
      <c r="N89" s="578">
        <f t="shared" si="33"/>
        <v>162586</v>
      </c>
    </row>
    <row r="94" spans="1:14" ht="15.75">
      <c r="A94" s="1213" t="s">
        <v>937</v>
      </c>
      <c r="B94" s="1213"/>
      <c r="C94" s="1213"/>
      <c r="D94" s="1213"/>
      <c r="E94" s="1213"/>
      <c r="F94" s="1213"/>
      <c r="G94" s="1213"/>
      <c r="H94" s="1213"/>
      <c r="I94" s="1213"/>
      <c r="J94" s="1213"/>
      <c r="K94" s="1213"/>
      <c r="L94" s="1213"/>
      <c r="M94" s="1213"/>
      <c r="N94" s="1213"/>
    </row>
    <row r="95" spans="1:14" ht="16.5" thickBot="1">
      <c r="A95" s="551"/>
      <c r="B95" s="551"/>
      <c r="C95" s="552"/>
      <c r="D95" s="550"/>
      <c r="E95" s="541"/>
      <c r="F95" s="552"/>
      <c r="G95" s="550"/>
      <c r="H95" s="541"/>
      <c r="I95" s="552"/>
      <c r="J95" s="550"/>
      <c r="K95" s="541"/>
      <c r="L95" s="552"/>
      <c r="M95" s="550"/>
      <c r="N95" s="541"/>
    </row>
    <row r="96" spans="1:14" ht="13.5" thickBot="1">
      <c r="A96" s="355">
        <v>20</v>
      </c>
      <c r="B96" s="459" t="s">
        <v>935</v>
      </c>
      <c r="C96" s="836">
        <v>30</v>
      </c>
      <c r="D96" s="836">
        <v>28</v>
      </c>
      <c r="E96" s="836">
        <v>27</v>
      </c>
      <c r="F96" s="394">
        <v>0</v>
      </c>
      <c r="G96" s="394">
        <v>0</v>
      </c>
      <c r="H96" s="394">
        <v>0</v>
      </c>
      <c r="I96" s="394">
        <v>0</v>
      </c>
      <c r="J96" s="394">
        <v>0</v>
      </c>
      <c r="K96" s="394">
        <v>0</v>
      </c>
      <c r="L96" s="602">
        <f aca="true" t="shared" si="35" ref="L96:N97">SUM(C96+F96+I96)</f>
        <v>30</v>
      </c>
      <c r="M96" s="357">
        <f t="shared" si="35"/>
        <v>28</v>
      </c>
      <c r="N96" s="578">
        <f t="shared" si="35"/>
        <v>27</v>
      </c>
    </row>
    <row r="97" spans="1:14" ht="13.5" thickBot="1">
      <c r="A97" s="355">
        <v>21</v>
      </c>
      <c r="B97" s="459" t="s">
        <v>936</v>
      </c>
      <c r="C97" s="394">
        <v>0</v>
      </c>
      <c r="D97" s="394">
        <v>0</v>
      </c>
      <c r="E97" s="394">
        <v>0</v>
      </c>
      <c r="F97" s="394">
        <v>0</v>
      </c>
      <c r="G97" s="394">
        <v>0</v>
      </c>
      <c r="H97" s="394">
        <v>0</v>
      </c>
      <c r="I97" s="394">
        <v>0</v>
      </c>
      <c r="J97" s="394">
        <v>0</v>
      </c>
      <c r="K97" s="394">
        <v>0</v>
      </c>
      <c r="L97" s="602">
        <f t="shared" si="35"/>
        <v>0</v>
      </c>
      <c r="M97" s="357">
        <f t="shared" si="35"/>
        <v>0</v>
      </c>
      <c r="N97" s="578">
        <f t="shared" si="35"/>
        <v>0</v>
      </c>
    </row>
    <row r="104" ht="12.75">
      <c r="B104" s="13"/>
    </row>
  </sheetData>
  <sheetProtection/>
  <mergeCells count="26">
    <mergeCell ref="B3:N3"/>
    <mergeCell ref="B4:E4"/>
    <mergeCell ref="B5:N5"/>
    <mergeCell ref="A7:A9"/>
    <mergeCell ref="B7:B9"/>
    <mergeCell ref="C7:E7"/>
    <mergeCell ref="F7:H7"/>
    <mergeCell ref="I7:K7"/>
    <mergeCell ref="L7:N7"/>
    <mergeCell ref="C8:E8"/>
    <mergeCell ref="A94:N94"/>
    <mergeCell ref="F8:H8"/>
    <mergeCell ref="I8:K8"/>
    <mergeCell ref="L8:N8"/>
    <mergeCell ref="A57:N57"/>
    <mergeCell ref="A59:A61"/>
    <mergeCell ref="B59:B61"/>
    <mergeCell ref="C59:E59"/>
    <mergeCell ref="F59:H59"/>
    <mergeCell ref="I59:K59"/>
    <mergeCell ref="L59:N59"/>
    <mergeCell ref="C60:E60"/>
    <mergeCell ref="F60:H60"/>
    <mergeCell ref="I60:K60"/>
    <mergeCell ref="L60:N60"/>
    <mergeCell ref="A86:N86"/>
  </mergeCells>
  <printOptions horizontalCentered="1" verticalCentered="1"/>
  <pageMargins left="0.6299212598425197" right="0.6299212598425197" top="0.5511811023622047" bottom="0.5511811023622047" header="0.31496062992125984" footer="0.31496062992125984"/>
  <pageSetup horizontalDpi="600" verticalDpi="600" orientation="landscape" paperSize="9" scale="68" r:id="rId1"/>
  <rowBreaks count="1" manualBreakCount="1"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98"/>
  <sheetViews>
    <sheetView zoomScalePageLayoutView="0" workbookViewId="0" topLeftCell="A1">
      <selection activeCell="N2" sqref="N2"/>
    </sheetView>
  </sheetViews>
  <sheetFormatPr defaultColWidth="9.00390625" defaultRowHeight="12.75"/>
  <cols>
    <col min="1" max="1" width="6.125" style="150" customWidth="1"/>
    <col min="2" max="2" width="51.00390625" style="3" customWidth="1"/>
    <col min="3" max="3" width="11.375" style="3" customWidth="1"/>
    <col min="4" max="4" width="11.25390625" style="3" customWidth="1"/>
    <col min="5" max="5" width="9.875" style="3" customWidth="1"/>
    <col min="6" max="7" width="11.125" style="3" customWidth="1"/>
    <col min="8" max="8" width="9.375" style="3" customWidth="1"/>
    <col min="9" max="9" width="11.00390625" style="3" customWidth="1"/>
    <col min="10" max="10" width="11.25390625" style="3" customWidth="1"/>
    <col min="11" max="11" width="9.75390625" style="3" customWidth="1"/>
    <col min="12" max="12" width="10.75390625" style="3" customWidth="1"/>
    <col min="13" max="13" width="11.00390625" style="3" customWidth="1"/>
    <col min="14" max="14" width="10.375" style="3" customWidth="1"/>
  </cols>
  <sheetData>
    <row r="1" spans="5:14" ht="12.75">
      <c r="E1" s="155"/>
      <c r="H1" s="155"/>
      <c r="K1" s="155"/>
      <c r="N1" s="64" t="s">
        <v>1472</v>
      </c>
    </row>
    <row r="3" spans="1:14" ht="14.25">
      <c r="A3" s="158"/>
      <c r="B3" s="1186" t="s">
        <v>1427</v>
      </c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</row>
    <row r="4" spans="1:14" ht="14.25">
      <c r="A4" s="158"/>
      <c r="B4" s="1186"/>
      <c r="C4" s="1186"/>
      <c r="D4" s="1186"/>
      <c r="E4" s="1186"/>
      <c r="F4" s="4"/>
      <c r="G4" s="4"/>
      <c r="H4" s="4"/>
      <c r="I4" s="4"/>
      <c r="J4" s="4"/>
      <c r="K4" s="4"/>
      <c r="L4" s="4"/>
      <c r="M4" s="4"/>
      <c r="N4" s="4"/>
    </row>
    <row r="5" spans="1:14" ht="15.75">
      <c r="A5" s="158"/>
      <c r="B5" s="1210" t="s">
        <v>925</v>
      </c>
      <c r="C5" s="1210"/>
      <c r="D5" s="1210"/>
      <c r="E5" s="1210"/>
      <c r="F5" s="1210"/>
      <c r="G5" s="1210"/>
      <c r="H5" s="1210"/>
      <c r="I5" s="1210"/>
      <c r="J5" s="1210"/>
      <c r="K5" s="1210"/>
      <c r="L5" s="1210"/>
      <c r="M5" s="1210"/>
      <c r="N5" s="1210"/>
    </row>
    <row r="6" spans="5:14" ht="14.25" thickBot="1">
      <c r="E6" s="547"/>
      <c r="H6" s="547"/>
      <c r="K6" s="547"/>
      <c r="N6" s="547" t="s">
        <v>926</v>
      </c>
    </row>
    <row r="7" spans="1:14" ht="12.75" customHeight="1">
      <c r="A7" s="1195" t="s">
        <v>676</v>
      </c>
      <c r="B7" s="1198" t="s">
        <v>677</v>
      </c>
      <c r="C7" s="1194" t="s">
        <v>1185</v>
      </c>
      <c r="D7" s="1208"/>
      <c r="E7" s="1208"/>
      <c r="F7" s="1211" t="s">
        <v>1185</v>
      </c>
      <c r="G7" s="1208"/>
      <c r="H7" s="1212"/>
      <c r="I7" s="1208" t="s">
        <v>1185</v>
      </c>
      <c r="J7" s="1208"/>
      <c r="K7" s="1208"/>
      <c r="L7" s="1207" t="s">
        <v>1185</v>
      </c>
      <c r="M7" s="1208"/>
      <c r="N7" s="1209"/>
    </row>
    <row r="8" spans="1:14" ht="12.75">
      <c r="A8" s="1196"/>
      <c r="B8" s="1199"/>
      <c r="C8" s="1201" t="s">
        <v>931</v>
      </c>
      <c r="D8" s="1202"/>
      <c r="E8" s="1203"/>
      <c r="F8" s="1204" t="s">
        <v>932</v>
      </c>
      <c r="G8" s="1202"/>
      <c r="H8" s="1203"/>
      <c r="I8" s="1204" t="s">
        <v>933</v>
      </c>
      <c r="J8" s="1202"/>
      <c r="K8" s="1205"/>
      <c r="L8" s="1206" t="s">
        <v>934</v>
      </c>
      <c r="M8" s="1202"/>
      <c r="N8" s="1205"/>
    </row>
    <row r="9" spans="1:14" ht="24.75" thickBot="1">
      <c r="A9" s="1197"/>
      <c r="B9" s="1200"/>
      <c r="C9" s="352" t="s">
        <v>37</v>
      </c>
      <c r="D9" s="352" t="s">
        <v>38</v>
      </c>
      <c r="E9" s="382" t="s">
        <v>20</v>
      </c>
      <c r="F9" s="428" t="s">
        <v>37</v>
      </c>
      <c r="G9" s="352" t="s">
        <v>38</v>
      </c>
      <c r="H9" s="548" t="s">
        <v>20</v>
      </c>
      <c r="I9" s="557" t="s">
        <v>37</v>
      </c>
      <c r="J9" s="352" t="s">
        <v>38</v>
      </c>
      <c r="K9" s="382" t="s">
        <v>20</v>
      </c>
      <c r="L9" s="573" t="s">
        <v>37</v>
      </c>
      <c r="M9" s="352" t="s">
        <v>38</v>
      </c>
      <c r="N9" s="574" t="s">
        <v>20</v>
      </c>
    </row>
    <row r="10" spans="1:14" ht="13.5" thickBot="1">
      <c r="A10" s="353" t="s">
        <v>221</v>
      </c>
      <c r="B10" s="354" t="s">
        <v>222</v>
      </c>
      <c r="C10" s="354" t="s">
        <v>223</v>
      </c>
      <c r="D10" s="354" t="s">
        <v>224</v>
      </c>
      <c r="E10" s="383" t="s">
        <v>225</v>
      </c>
      <c r="F10" s="353" t="s">
        <v>226</v>
      </c>
      <c r="G10" s="354" t="s">
        <v>227</v>
      </c>
      <c r="H10" s="563" t="s">
        <v>228</v>
      </c>
      <c r="I10" s="558" t="s">
        <v>229</v>
      </c>
      <c r="J10" s="354" t="s">
        <v>118</v>
      </c>
      <c r="K10" s="383" t="s">
        <v>119</v>
      </c>
      <c r="L10" s="575" t="s">
        <v>120</v>
      </c>
      <c r="M10" s="354" t="s">
        <v>121</v>
      </c>
      <c r="N10" s="576" t="s">
        <v>1461</v>
      </c>
    </row>
    <row r="11" spans="1:14" ht="21.75" thickBot="1">
      <c r="A11" s="355" t="s">
        <v>678</v>
      </c>
      <c r="B11" s="367" t="s">
        <v>940</v>
      </c>
      <c r="C11" s="357">
        <f>SUM(C12:C16)</f>
        <v>0</v>
      </c>
      <c r="D11" s="357">
        <f aca="true" t="shared" si="0" ref="D11:K11">SUM(D12:D16)</f>
        <v>0</v>
      </c>
      <c r="E11" s="511">
        <f t="shared" si="0"/>
        <v>0</v>
      </c>
      <c r="F11" s="603">
        <f t="shared" si="0"/>
        <v>0</v>
      </c>
      <c r="G11" s="511">
        <f t="shared" si="0"/>
        <v>0</v>
      </c>
      <c r="H11" s="394">
        <f t="shared" si="0"/>
        <v>0</v>
      </c>
      <c r="I11" s="384">
        <f t="shared" si="0"/>
        <v>0</v>
      </c>
      <c r="J11" s="511">
        <f t="shared" si="0"/>
        <v>0</v>
      </c>
      <c r="K11" s="511">
        <f t="shared" si="0"/>
        <v>0</v>
      </c>
      <c r="L11" s="602">
        <f>SUM(C11+F11+I11)</f>
        <v>0</v>
      </c>
      <c r="M11" s="357">
        <f aca="true" t="shared" si="1" ref="M11:N26">SUM(D11+G11+J11)</f>
        <v>0</v>
      </c>
      <c r="N11" s="578">
        <f t="shared" si="1"/>
        <v>0</v>
      </c>
    </row>
    <row r="12" spans="1:14" ht="12.75">
      <c r="A12" s="358" t="s">
        <v>680</v>
      </c>
      <c r="B12" s="359" t="s">
        <v>246</v>
      </c>
      <c r="C12" s="360"/>
      <c r="D12" s="360">
        <v>0</v>
      </c>
      <c r="E12" s="385">
        <v>0</v>
      </c>
      <c r="F12" s="565"/>
      <c r="G12" s="360"/>
      <c r="H12" s="461"/>
      <c r="I12" s="485"/>
      <c r="J12" s="360"/>
      <c r="K12" s="385"/>
      <c r="L12" s="616">
        <f aca="true" t="shared" si="2" ref="L12:L17">SUM(C12+F12+I12)</f>
        <v>0</v>
      </c>
      <c r="M12" s="444">
        <f t="shared" si="1"/>
        <v>0</v>
      </c>
      <c r="N12" s="595">
        <f t="shared" si="1"/>
        <v>0</v>
      </c>
    </row>
    <row r="13" spans="1:14" ht="12.75">
      <c r="A13" s="361" t="s">
        <v>682</v>
      </c>
      <c r="B13" s="362" t="s">
        <v>694</v>
      </c>
      <c r="C13" s="363"/>
      <c r="D13" s="363">
        <v>0</v>
      </c>
      <c r="E13" s="386">
        <v>0</v>
      </c>
      <c r="F13" s="566"/>
      <c r="G13" s="363"/>
      <c r="H13" s="448"/>
      <c r="I13" s="482"/>
      <c r="J13" s="363"/>
      <c r="K13" s="386"/>
      <c r="L13" s="611">
        <f t="shared" si="2"/>
        <v>0</v>
      </c>
      <c r="M13" s="607">
        <f t="shared" si="1"/>
        <v>0</v>
      </c>
      <c r="N13" s="612">
        <f t="shared" si="1"/>
        <v>0</v>
      </c>
    </row>
    <row r="14" spans="1:14" ht="12.75">
      <c r="A14" s="361" t="s">
        <v>684</v>
      </c>
      <c r="B14" s="362" t="s">
        <v>696</v>
      </c>
      <c r="C14" s="363"/>
      <c r="D14" s="363">
        <v>0</v>
      </c>
      <c r="E14" s="386">
        <v>0</v>
      </c>
      <c r="F14" s="566"/>
      <c r="G14" s="363"/>
      <c r="H14" s="448"/>
      <c r="I14" s="482"/>
      <c r="J14" s="363"/>
      <c r="K14" s="386"/>
      <c r="L14" s="611">
        <f t="shared" si="2"/>
        <v>0</v>
      </c>
      <c r="M14" s="607">
        <f t="shared" si="1"/>
        <v>0</v>
      </c>
      <c r="N14" s="612">
        <f t="shared" si="1"/>
        <v>0</v>
      </c>
    </row>
    <row r="15" spans="1:14" ht="12.75">
      <c r="A15" s="361" t="s">
        <v>686</v>
      </c>
      <c r="B15" s="362" t="s">
        <v>698</v>
      </c>
      <c r="C15" s="363"/>
      <c r="D15" s="363">
        <v>0</v>
      </c>
      <c r="E15" s="386">
        <v>0</v>
      </c>
      <c r="F15" s="566"/>
      <c r="G15" s="363"/>
      <c r="H15" s="448"/>
      <c r="I15" s="482"/>
      <c r="J15" s="363"/>
      <c r="K15" s="386"/>
      <c r="L15" s="611">
        <f t="shared" si="2"/>
        <v>0</v>
      </c>
      <c r="M15" s="607">
        <f t="shared" si="1"/>
        <v>0</v>
      </c>
      <c r="N15" s="612">
        <f t="shared" si="1"/>
        <v>0</v>
      </c>
    </row>
    <row r="16" spans="1:14" ht="12.75">
      <c r="A16" s="361" t="s">
        <v>688</v>
      </c>
      <c r="B16" s="362" t="s">
        <v>700</v>
      </c>
      <c r="C16" s="363">
        <v>0</v>
      </c>
      <c r="D16" s="363"/>
      <c r="E16" s="386"/>
      <c r="F16" s="566"/>
      <c r="G16" s="363"/>
      <c r="H16" s="448"/>
      <c r="I16" s="482"/>
      <c r="J16" s="363"/>
      <c r="K16" s="386"/>
      <c r="L16" s="611">
        <f t="shared" si="2"/>
        <v>0</v>
      </c>
      <c r="M16" s="607">
        <f t="shared" si="1"/>
        <v>0</v>
      </c>
      <c r="N16" s="612">
        <f t="shared" si="1"/>
        <v>0</v>
      </c>
    </row>
    <row r="17" spans="1:14" ht="13.5" thickBot="1">
      <c r="A17" s="364" t="s">
        <v>689</v>
      </c>
      <c r="B17" s="365" t="s">
        <v>941</v>
      </c>
      <c r="C17" s="366"/>
      <c r="D17" s="366">
        <v>0</v>
      </c>
      <c r="E17" s="387">
        <v>0</v>
      </c>
      <c r="F17" s="567"/>
      <c r="G17" s="366"/>
      <c r="H17" s="449"/>
      <c r="I17" s="483"/>
      <c r="J17" s="366"/>
      <c r="K17" s="387"/>
      <c r="L17" s="617">
        <f t="shared" si="2"/>
        <v>0</v>
      </c>
      <c r="M17" s="618">
        <f t="shared" si="1"/>
        <v>0</v>
      </c>
      <c r="N17" s="619">
        <f t="shared" si="1"/>
        <v>0</v>
      </c>
    </row>
    <row r="18" spans="1:14" ht="21.75" thickBot="1">
      <c r="A18" s="355" t="s">
        <v>690</v>
      </c>
      <c r="B18" s="356" t="s">
        <v>942</v>
      </c>
      <c r="C18" s="357">
        <f>SUM(C19:C23)</f>
        <v>0</v>
      </c>
      <c r="D18" s="357">
        <f aca="true" t="shared" si="3" ref="D18:K18">SUM(D19:D23)</f>
        <v>0</v>
      </c>
      <c r="E18" s="511">
        <f t="shared" si="3"/>
        <v>0</v>
      </c>
      <c r="F18" s="564">
        <f t="shared" si="3"/>
        <v>0</v>
      </c>
      <c r="G18" s="357">
        <f t="shared" si="3"/>
        <v>0</v>
      </c>
      <c r="H18" s="394">
        <f t="shared" si="3"/>
        <v>0</v>
      </c>
      <c r="I18" s="484">
        <f t="shared" si="3"/>
        <v>0</v>
      </c>
      <c r="J18" s="357">
        <f t="shared" si="3"/>
        <v>0</v>
      </c>
      <c r="K18" s="357">
        <f t="shared" si="3"/>
        <v>0</v>
      </c>
      <c r="L18" s="602">
        <f>SUM(C18+F18+I18)</f>
        <v>0</v>
      </c>
      <c r="M18" s="357">
        <f t="shared" si="1"/>
        <v>0</v>
      </c>
      <c r="N18" s="578">
        <f t="shared" si="1"/>
        <v>0</v>
      </c>
    </row>
    <row r="19" spans="1:14" ht="12.75">
      <c r="A19" s="358" t="s">
        <v>692</v>
      </c>
      <c r="B19" s="359" t="s">
        <v>706</v>
      </c>
      <c r="C19" s="360"/>
      <c r="D19" s="360">
        <v>0</v>
      </c>
      <c r="E19" s="385">
        <v>0</v>
      </c>
      <c r="F19" s="565"/>
      <c r="G19" s="360">
        <v>0</v>
      </c>
      <c r="H19" s="461">
        <v>0</v>
      </c>
      <c r="I19" s="485"/>
      <c r="J19" s="360">
        <v>0</v>
      </c>
      <c r="K19" s="385">
        <v>0</v>
      </c>
      <c r="L19" s="616">
        <f aca="true" t="shared" si="4" ref="L19:L24">SUM(C19+F19+I19)</f>
        <v>0</v>
      </c>
      <c r="M19" s="444">
        <f t="shared" si="1"/>
        <v>0</v>
      </c>
      <c r="N19" s="595">
        <f t="shared" si="1"/>
        <v>0</v>
      </c>
    </row>
    <row r="20" spans="1:14" ht="12.75">
      <c r="A20" s="361" t="s">
        <v>693</v>
      </c>
      <c r="B20" s="362" t="s">
        <v>708</v>
      </c>
      <c r="C20" s="363">
        <v>0</v>
      </c>
      <c r="D20" s="363">
        <v>0</v>
      </c>
      <c r="E20" s="386">
        <v>0</v>
      </c>
      <c r="F20" s="566">
        <v>0</v>
      </c>
      <c r="G20" s="363">
        <v>0</v>
      </c>
      <c r="H20" s="448">
        <v>0</v>
      </c>
      <c r="I20" s="482">
        <v>0</v>
      </c>
      <c r="J20" s="363">
        <v>0</v>
      </c>
      <c r="K20" s="386">
        <v>0</v>
      </c>
      <c r="L20" s="611">
        <f t="shared" si="4"/>
        <v>0</v>
      </c>
      <c r="M20" s="607">
        <f t="shared" si="1"/>
        <v>0</v>
      </c>
      <c r="N20" s="612">
        <f t="shared" si="1"/>
        <v>0</v>
      </c>
    </row>
    <row r="21" spans="1:14" ht="22.5">
      <c r="A21" s="361" t="s">
        <v>695</v>
      </c>
      <c r="B21" s="362" t="s">
        <v>710</v>
      </c>
      <c r="C21" s="363">
        <v>0</v>
      </c>
      <c r="D21" s="363">
        <v>0</v>
      </c>
      <c r="E21" s="386">
        <v>0</v>
      </c>
      <c r="F21" s="566">
        <v>0</v>
      </c>
      <c r="G21" s="363">
        <v>0</v>
      </c>
      <c r="H21" s="448">
        <v>0</v>
      </c>
      <c r="I21" s="482">
        <v>0</v>
      </c>
      <c r="J21" s="363">
        <v>0</v>
      </c>
      <c r="K21" s="386">
        <v>0</v>
      </c>
      <c r="L21" s="611">
        <f t="shared" si="4"/>
        <v>0</v>
      </c>
      <c r="M21" s="607">
        <f t="shared" si="1"/>
        <v>0</v>
      </c>
      <c r="N21" s="612">
        <f t="shared" si="1"/>
        <v>0</v>
      </c>
    </row>
    <row r="22" spans="1:14" ht="22.5">
      <c r="A22" s="361" t="s">
        <v>697</v>
      </c>
      <c r="B22" s="362" t="s">
        <v>712</v>
      </c>
      <c r="C22" s="363">
        <v>0</v>
      </c>
      <c r="D22" s="363">
        <v>0</v>
      </c>
      <c r="E22" s="386">
        <v>0</v>
      </c>
      <c r="F22" s="566">
        <v>0</v>
      </c>
      <c r="G22" s="363">
        <v>0</v>
      </c>
      <c r="H22" s="448">
        <v>0</v>
      </c>
      <c r="I22" s="482">
        <v>0</v>
      </c>
      <c r="J22" s="363">
        <v>0</v>
      </c>
      <c r="K22" s="386">
        <v>0</v>
      </c>
      <c r="L22" s="611">
        <f t="shared" si="4"/>
        <v>0</v>
      </c>
      <c r="M22" s="607">
        <f t="shared" si="1"/>
        <v>0</v>
      </c>
      <c r="N22" s="612">
        <f t="shared" si="1"/>
        <v>0</v>
      </c>
    </row>
    <row r="23" spans="1:14" ht="12.75">
      <c r="A23" s="361" t="s">
        <v>699</v>
      </c>
      <c r="B23" s="362" t="s">
        <v>714</v>
      </c>
      <c r="C23" s="363"/>
      <c r="D23" s="363">
        <v>0</v>
      </c>
      <c r="E23" s="386">
        <v>0</v>
      </c>
      <c r="F23" s="566"/>
      <c r="G23" s="363">
        <v>0</v>
      </c>
      <c r="H23" s="448">
        <v>0</v>
      </c>
      <c r="I23" s="482"/>
      <c r="J23" s="363">
        <v>0</v>
      </c>
      <c r="K23" s="386">
        <v>0</v>
      </c>
      <c r="L23" s="611">
        <f t="shared" si="4"/>
        <v>0</v>
      </c>
      <c r="M23" s="607">
        <f t="shared" si="1"/>
        <v>0</v>
      </c>
      <c r="N23" s="612">
        <f t="shared" si="1"/>
        <v>0</v>
      </c>
    </row>
    <row r="24" spans="1:14" ht="13.5" thickBot="1">
      <c r="A24" s="364" t="s">
        <v>701</v>
      </c>
      <c r="B24" s="368" t="s">
        <v>702</v>
      </c>
      <c r="C24" s="366"/>
      <c r="D24" s="366">
        <v>0</v>
      </c>
      <c r="E24" s="387">
        <v>0</v>
      </c>
      <c r="F24" s="567"/>
      <c r="G24" s="366">
        <v>0</v>
      </c>
      <c r="H24" s="449">
        <v>0</v>
      </c>
      <c r="I24" s="483"/>
      <c r="J24" s="366">
        <v>0</v>
      </c>
      <c r="K24" s="387">
        <v>0</v>
      </c>
      <c r="L24" s="617">
        <f t="shared" si="4"/>
        <v>0</v>
      </c>
      <c r="M24" s="618">
        <f t="shared" si="1"/>
        <v>0</v>
      </c>
      <c r="N24" s="619">
        <f t="shared" si="1"/>
        <v>0</v>
      </c>
    </row>
    <row r="25" spans="1:14" ht="13.5" thickBot="1">
      <c r="A25" s="355" t="s">
        <v>703</v>
      </c>
      <c r="B25" s="356" t="s">
        <v>838</v>
      </c>
      <c r="C25" s="369">
        <f>SUM(C26)</f>
        <v>0</v>
      </c>
      <c r="D25" s="369">
        <f aca="true" t="shared" si="5" ref="D25:K25">SUM(D26)</f>
        <v>0</v>
      </c>
      <c r="E25" s="531">
        <f t="shared" si="5"/>
        <v>0</v>
      </c>
      <c r="F25" s="568">
        <f t="shared" si="5"/>
        <v>0</v>
      </c>
      <c r="G25" s="369">
        <f t="shared" si="5"/>
        <v>0</v>
      </c>
      <c r="H25" s="636">
        <f t="shared" si="5"/>
        <v>0</v>
      </c>
      <c r="I25" s="486">
        <f t="shared" si="5"/>
        <v>0</v>
      </c>
      <c r="J25" s="369">
        <f t="shared" si="5"/>
        <v>0</v>
      </c>
      <c r="K25" s="369">
        <f t="shared" si="5"/>
        <v>0</v>
      </c>
      <c r="L25" s="602">
        <f>SUM(C25+F25+I25)</f>
        <v>0</v>
      </c>
      <c r="M25" s="357">
        <f t="shared" si="1"/>
        <v>0</v>
      </c>
      <c r="N25" s="578">
        <f t="shared" si="1"/>
        <v>0</v>
      </c>
    </row>
    <row r="26" spans="1:14" ht="13.5" thickBot="1">
      <c r="A26" s="364" t="s">
        <v>705</v>
      </c>
      <c r="B26" s="368" t="s">
        <v>317</v>
      </c>
      <c r="C26" s="366"/>
      <c r="D26" s="366"/>
      <c r="E26" s="387"/>
      <c r="F26" s="567">
        <v>0</v>
      </c>
      <c r="G26" s="366">
        <v>0</v>
      </c>
      <c r="H26" s="449">
        <v>0</v>
      </c>
      <c r="I26" s="483">
        <v>0</v>
      </c>
      <c r="J26" s="366">
        <v>0</v>
      </c>
      <c r="K26" s="387">
        <v>0</v>
      </c>
      <c r="L26" s="611">
        <f>SUM(C26+F26+I26)</f>
        <v>0</v>
      </c>
      <c r="M26" s="607">
        <f t="shared" si="1"/>
        <v>0</v>
      </c>
      <c r="N26" s="612">
        <f t="shared" si="1"/>
        <v>0</v>
      </c>
    </row>
    <row r="27" spans="1:14" ht="13.5" thickBot="1">
      <c r="A27" s="355" t="s">
        <v>825</v>
      </c>
      <c r="B27" s="356" t="s">
        <v>943</v>
      </c>
      <c r="C27" s="357">
        <f>SUM(C28:C37)</f>
        <v>8143</v>
      </c>
      <c r="D27" s="357">
        <f aca="true" t="shared" si="6" ref="D27:K27">SUM(D28:D37)</f>
        <v>8220</v>
      </c>
      <c r="E27" s="511">
        <f t="shared" si="6"/>
        <v>4013</v>
      </c>
      <c r="F27" s="564">
        <f t="shared" si="6"/>
        <v>0</v>
      </c>
      <c r="G27" s="357">
        <f t="shared" si="6"/>
        <v>0</v>
      </c>
      <c r="H27" s="394">
        <f t="shared" si="6"/>
        <v>0</v>
      </c>
      <c r="I27" s="484">
        <f t="shared" si="6"/>
        <v>0</v>
      </c>
      <c r="J27" s="357">
        <f t="shared" si="6"/>
        <v>0</v>
      </c>
      <c r="K27" s="357">
        <f t="shared" si="6"/>
        <v>0</v>
      </c>
      <c r="L27" s="602">
        <f>SUM(C27+F27+I27)</f>
        <v>8143</v>
      </c>
      <c r="M27" s="357">
        <f aca="true" t="shared" si="7" ref="M27:N42">SUM(D27+G27+J27)</f>
        <v>8220</v>
      </c>
      <c r="N27" s="578">
        <f t="shared" si="7"/>
        <v>4013</v>
      </c>
    </row>
    <row r="28" spans="1:14" ht="12.75">
      <c r="A28" s="358" t="s">
        <v>719</v>
      </c>
      <c r="B28" s="359" t="s">
        <v>732</v>
      </c>
      <c r="C28" s="360"/>
      <c r="D28" s="360">
        <v>0</v>
      </c>
      <c r="E28" s="385">
        <v>0</v>
      </c>
      <c r="F28" s="565"/>
      <c r="G28" s="360">
        <v>0</v>
      </c>
      <c r="H28" s="461">
        <v>0</v>
      </c>
      <c r="I28" s="485"/>
      <c r="J28" s="360">
        <v>0</v>
      </c>
      <c r="K28" s="385">
        <v>0</v>
      </c>
      <c r="L28" s="616">
        <f aca="true" t="shared" si="8" ref="L28:L37">SUM(C28+F28+I28)</f>
        <v>0</v>
      </c>
      <c r="M28" s="444">
        <f t="shared" si="7"/>
        <v>0</v>
      </c>
      <c r="N28" s="595">
        <f t="shared" si="7"/>
        <v>0</v>
      </c>
    </row>
    <row r="29" spans="1:14" ht="12.75">
      <c r="A29" s="361" t="s">
        <v>725</v>
      </c>
      <c r="B29" s="362" t="s">
        <v>331</v>
      </c>
      <c r="C29" s="363">
        <v>108</v>
      </c>
      <c r="D29" s="363">
        <v>108</v>
      </c>
      <c r="E29" s="386">
        <v>215</v>
      </c>
      <c r="F29" s="566"/>
      <c r="G29" s="363">
        <v>0</v>
      </c>
      <c r="H29" s="448">
        <v>0</v>
      </c>
      <c r="I29" s="482"/>
      <c r="J29" s="363">
        <v>0</v>
      </c>
      <c r="K29" s="386">
        <v>0</v>
      </c>
      <c r="L29" s="611">
        <f t="shared" si="8"/>
        <v>108</v>
      </c>
      <c r="M29" s="607">
        <f t="shared" si="7"/>
        <v>108</v>
      </c>
      <c r="N29" s="612">
        <f t="shared" si="7"/>
        <v>215</v>
      </c>
    </row>
    <row r="30" spans="1:14" ht="12.75">
      <c r="A30" s="361" t="s">
        <v>727</v>
      </c>
      <c r="B30" s="362" t="s">
        <v>735</v>
      </c>
      <c r="C30" s="363"/>
      <c r="D30" s="363"/>
      <c r="E30" s="386"/>
      <c r="F30" s="566"/>
      <c r="G30" s="363">
        <v>0</v>
      </c>
      <c r="H30" s="448">
        <v>0</v>
      </c>
      <c r="I30" s="482"/>
      <c r="J30" s="363">
        <v>0</v>
      </c>
      <c r="K30" s="386">
        <v>0</v>
      </c>
      <c r="L30" s="611">
        <f t="shared" si="8"/>
        <v>0</v>
      </c>
      <c r="M30" s="607">
        <f t="shared" si="7"/>
        <v>0</v>
      </c>
      <c r="N30" s="612">
        <f t="shared" si="7"/>
        <v>0</v>
      </c>
    </row>
    <row r="31" spans="1:14" ht="12.75">
      <c r="A31" s="361" t="s">
        <v>728</v>
      </c>
      <c r="B31" s="362" t="s">
        <v>337</v>
      </c>
      <c r="C31" s="363"/>
      <c r="D31" s="363"/>
      <c r="E31" s="386"/>
      <c r="F31" s="566"/>
      <c r="G31" s="363">
        <v>0</v>
      </c>
      <c r="H31" s="448">
        <v>0</v>
      </c>
      <c r="I31" s="482"/>
      <c r="J31" s="363">
        <v>0</v>
      </c>
      <c r="K31" s="386">
        <v>0</v>
      </c>
      <c r="L31" s="611">
        <f t="shared" si="8"/>
        <v>0</v>
      </c>
      <c r="M31" s="607">
        <f t="shared" si="7"/>
        <v>0</v>
      </c>
      <c r="N31" s="612">
        <f t="shared" si="7"/>
        <v>0</v>
      </c>
    </row>
    <row r="32" spans="1:14" ht="12.75">
      <c r="A32" s="361" t="s">
        <v>826</v>
      </c>
      <c r="B32" s="362" t="s">
        <v>738</v>
      </c>
      <c r="C32" s="363">
        <v>6307</v>
      </c>
      <c r="D32" s="363">
        <v>6307</v>
      </c>
      <c r="E32" s="386">
        <v>2973</v>
      </c>
      <c r="F32" s="566"/>
      <c r="G32" s="363">
        <v>0</v>
      </c>
      <c r="H32" s="448">
        <v>0</v>
      </c>
      <c r="I32" s="482"/>
      <c r="J32" s="363">
        <v>0</v>
      </c>
      <c r="K32" s="386">
        <v>0</v>
      </c>
      <c r="L32" s="611">
        <f t="shared" si="8"/>
        <v>6307</v>
      </c>
      <c r="M32" s="607">
        <f t="shared" si="7"/>
        <v>6307</v>
      </c>
      <c r="N32" s="612">
        <f t="shared" si="7"/>
        <v>2973</v>
      </c>
    </row>
    <row r="33" spans="1:14" ht="12.75">
      <c r="A33" s="361" t="s">
        <v>827</v>
      </c>
      <c r="B33" s="362" t="s">
        <v>740</v>
      </c>
      <c r="C33" s="363">
        <v>1703</v>
      </c>
      <c r="D33" s="363">
        <v>1703</v>
      </c>
      <c r="E33" s="386">
        <v>803</v>
      </c>
      <c r="F33" s="566"/>
      <c r="G33" s="363">
        <v>0</v>
      </c>
      <c r="H33" s="448">
        <v>0</v>
      </c>
      <c r="I33" s="482"/>
      <c r="J33" s="363">
        <v>0</v>
      </c>
      <c r="K33" s="386">
        <v>0</v>
      </c>
      <c r="L33" s="611">
        <f t="shared" si="8"/>
        <v>1703</v>
      </c>
      <c r="M33" s="607">
        <f t="shared" si="7"/>
        <v>1703</v>
      </c>
      <c r="N33" s="612">
        <f t="shared" si="7"/>
        <v>803</v>
      </c>
    </row>
    <row r="34" spans="1:14" ht="12.75">
      <c r="A34" s="361" t="s">
        <v>828</v>
      </c>
      <c r="B34" s="362" t="s">
        <v>345</v>
      </c>
      <c r="C34" s="363"/>
      <c r="D34" s="363">
        <v>77</v>
      </c>
      <c r="E34" s="386"/>
      <c r="F34" s="566"/>
      <c r="G34" s="363">
        <v>0</v>
      </c>
      <c r="H34" s="448">
        <v>0</v>
      </c>
      <c r="I34" s="482"/>
      <c r="J34" s="363">
        <v>0</v>
      </c>
      <c r="K34" s="386">
        <v>0</v>
      </c>
      <c r="L34" s="611">
        <f t="shared" si="8"/>
        <v>0</v>
      </c>
      <c r="M34" s="607">
        <f t="shared" si="7"/>
        <v>77</v>
      </c>
      <c r="N34" s="612">
        <f t="shared" si="7"/>
        <v>0</v>
      </c>
    </row>
    <row r="35" spans="1:14" ht="12.75">
      <c r="A35" s="361" t="s">
        <v>829</v>
      </c>
      <c r="B35" s="362" t="s">
        <v>743</v>
      </c>
      <c r="C35" s="363">
        <v>25</v>
      </c>
      <c r="D35" s="363">
        <v>25</v>
      </c>
      <c r="E35" s="386">
        <v>6</v>
      </c>
      <c r="F35" s="566"/>
      <c r="G35" s="363">
        <v>0</v>
      </c>
      <c r="H35" s="448">
        <v>0</v>
      </c>
      <c r="I35" s="482"/>
      <c r="J35" s="363">
        <v>0</v>
      </c>
      <c r="K35" s="386">
        <v>0</v>
      </c>
      <c r="L35" s="611">
        <f t="shared" si="8"/>
        <v>25</v>
      </c>
      <c r="M35" s="607">
        <f t="shared" si="7"/>
        <v>25</v>
      </c>
      <c r="N35" s="612">
        <f t="shared" si="7"/>
        <v>6</v>
      </c>
    </row>
    <row r="36" spans="1:14" ht="12.75">
      <c r="A36" s="361" t="s">
        <v>830</v>
      </c>
      <c r="B36" s="362" t="s">
        <v>745</v>
      </c>
      <c r="C36" s="370"/>
      <c r="D36" s="370"/>
      <c r="E36" s="388"/>
      <c r="F36" s="569"/>
      <c r="G36" s="370">
        <v>0</v>
      </c>
      <c r="H36" s="542">
        <v>0</v>
      </c>
      <c r="I36" s="559"/>
      <c r="J36" s="370">
        <v>0</v>
      </c>
      <c r="K36" s="388">
        <v>0</v>
      </c>
      <c r="L36" s="611">
        <f t="shared" si="8"/>
        <v>0</v>
      </c>
      <c r="M36" s="607">
        <f t="shared" si="7"/>
        <v>0</v>
      </c>
      <c r="N36" s="612">
        <f t="shared" si="7"/>
        <v>0</v>
      </c>
    </row>
    <row r="37" spans="1:14" ht="13.5" thickBot="1">
      <c r="A37" s="364" t="s">
        <v>831</v>
      </c>
      <c r="B37" s="365" t="s">
        <v>747</v>
      </c>
      <c r="C37" s="371"/>
      <c r="D37" s="371"/>
      <c r="E37" s="389">
        <v>16</v>
      </c>
      <c r="F37" s="570"/>
      <c r="G37" s="371">
        <v>0</v>
      </c>
      <c r="H37" s="543">
        <v>0</v>
      </c>
      <c r="I37" s="560"/>
      <c r="J37" s="371">
        <v>0</v>
      </c>
      <c r="K37" s="389">
        <v>0</v>
      </c>
      <c r="L37" s="617">
        <f t="shared" si="8"/>
        <v>0</v>
      </c>
      <c r="M37" s="618">
        <f t="shared" si="7"/>
        <v>0</v>
      </c>
      <c r="N37" s="619">
        <f t="shared" si="7"/>
        <v>16</v>
      </c>
    </row>
    <row r="38" spans="1:14" ht="13.5" thickBot="1">
      <c r="A38" s="355" t="s">
        <v>729</v>
      </c>
      <c r="B38" s="356" t="s">
        <v>944</v>
      </c>
      <c r="C38" s="357">
        <f>SUM(C39:C41)</f>
        <v>0</v>
      </c>
      <c r="D38" s="357">
        <f aca="true" t="shared" si="9" ref="D38:K38">SUM(D39:D41)</f>
        <v>0</v>
      </c>
      <c r="E38" s="511">
        <f t="shared" si="9"/>
        <v>0</v>
      </c>
      <c r="F38" s="564">
        <f t="shared" si="9"/>
        <v>0</v>
      </c>
      <c r="G38" s="357">
        <f t="shared" si="9"/>
        <v>0</v>
      </c>
      <c r="H38" s="394">
        <f t="shared" si="9"/>
        <v>0</v>
      </c>
      <c r="I38" s="484">
        <f t="shared" si="9"/>
        <v>0</v>
      </c>
      <c r="J38" s="357">
        <f t="shared" si="9"/>
        <v>0</v>
      </c>
      <c r="K38" s="357">
        <f t="shared" si="9"/>
        <v>0</v>
      </c>
      <c r="L38" s="602">
        <f>SUM(C38+F38+I38)</f>
        <v>0</v>
      </c>
      <c r="M38" s="357">
        <f t="shared" si="7"/>
        <v>0</v>
      </c>
      <c r="N38" s="578">
        <f t="shared" si="7"/>
        <v>0</v>
      </c>
    </row>
    <row r="39" spans="1:14" ht="12.75">
      <c r="A39" s="358" t="s">
        <v>731</v>
      </c>
      <c r="B39" s="359" t="s">
        <v>30</v>
      </c>
      <c r="C39" s="372">
        <v>0</v>
      </c>
      <c r="D39" s="372">
        <v>0</v>
      </c>
      <c r="E39" s="390">
        <v>0</v>
      </c>
      <c r="F39" s="571">
        <v>0</v>
      </c>
      <c r="G39" s="372">
        <v>0</v>
      </c>
      <c r="H39" s="544">
        <v>0</v>
      </c>
      <c r="I39" s="561">
        <v>0</v>
      </c>
      <c r="J39" s="372">
        <v>0</v>
      </c>
      <c r="K39" s="390">
        <v>0</v>
      </c>
      <c r="L39" s="616">
        <f>SUM(C39+F39+I39)</f>
        <v>0</v>
      </c>
      <c r="M39" s="444">
        <f t="shared" si="7"/>
        <v>0</v>
      </c>
      <c r="N39" s="595">
        <f t="shared" si="7"/>
        <v>0</v>
      </c>
    </row>
    <row r="40" spans="1:14" ht="12.75">
      <c r="A40" s="361" t="s">
        <v>733</v>
      </c>
      <c r="B40" s="362" t="s">
        <v>354</v>
      </c>
      <c r="C40" s="370"/>
      <c r="D40" s="370">
        <v>0</v>
      </c>
      <c r="E40" s="388">
        <v>0</v>
      </c>
      <c r="F40" s="569"/>
      <c r="G40" s="370">
        <v>0</v>
      </c>
      <c r="H40" s="542">
        <v>0</v>
      </c>
      <c r="I40" s="559"/>
      <c r="J40" s="370">
        <v>0</v>
      </c>
      <c r="K40" s="388">
        <v>0</v>
      </c>
      <c r="L40" s="611">
        <f>SUM(C40+F40+I40)</f>
        <v>0</v>
      </c>
      <c r="M40" s="607">
        <f t="shared" si="7"/>
        <v>0</v>
      </c>
      <c r="N40" s="612">
        <f t="shared" si="7"/>
        <v>0</v>
      </c>
    </row>
    <row r="41" spans="1:14" ht="13.5" thickBot="1">
      <c r="A41" s="361" t="s">
        <v>734</v>
      </c>
      <c r="B41" s="362" t="s">
        <v>357</v>
      </c>
      <c r="C41" s="370">
        <v>0</v>
      </c>
      <c r="D41" s="370">
        <v>0</v>
      </c>
      <c r="E41" s="388">
        <v>0</v>
      </c>
      <c r="F41" s="569">
        <v>0</v>
      </c>
      <c r="G41" s="370">
        <v>0</v>
      </c>
      <c r="H41" s="542">
        <v>0</v>
      </c>
      <c r="I41" s="559">
        <v>0</v>
      </c>
      <c r="J41" s="370">
        <v>0</v>
      </c>
      <c r="K41" s="388">
        <v>0</v>
      </c>
      <c r="L41" s="617">
        <f>SUM(C41+F41+I41)</f>
        <v>0</v>
      </c>
      <c r="M41" s="618">
        <f t="shared" si="7"/>
        <v>0</v>
      </c>
      <c r="N41" s="619">
        <f t="shared" si="7"/>
        <v>0</v>
      </c>
    </row>
    <row r="42" spans="1:14" ht="13.5" thickBot="1">
      <c r="A42" s="355" t="s">
        <v>748</v>
      </c>
      <c r="B42" s="356" t="s">
        <v>947</v>
      </c>
      <c r="C42" s="357">
        <f>SUM(C43)</f>
        <v>0</v>
      </c>
      <c r="D42" s="357">
        <f aca="true" t="shared" si="10" ref="D42:K42">SUM(D43)</f>
        <v>0</v>
      </c>
      <c r="E42" s="511">
        <f t="shared" si="10"/>
        <v>0</v>
      </c>
      <c r="F42" s="564">
        <f t="shared" si="10"/>
        <v>0</v>
      </c>
      <c r="G42" s="357">
        <f t="shared" si="10"/>
        <v>0</v>
      </c>
      <c r="H42" s="394">
        <f t="shared" si="10"/>
        <v>0</v>
      </c>
      <c r="I42" s="484">
        <f t="shared" si="10"/>
        <v>0</v>
      </c>
      <c r="J42" s="357">
        <f t="shared" si="10"/>
        <v>0</v>
      </c>
      <c r="K42" s="357">
        <f t="shared" si="10"/>
        <v>0</v>
      </c>
      <c r="L42" s="602">
        <f>SUM(C42+F42+I42)</f>
        <v>0</v>
      </c>
      <c r="M42" s="357">
        <f t="shared" si="7"/>
        <v>0</v>
      </c>
      <c r="N42" s="578">
        <f t="shared" si="7"/>
        <v>0</v>
      </c>
    </row>
    <row r="43" spans="1:14" ht="12.75">
      <c r="A43" s="361" t="s">
        <v>945</v>
      </c>
      <c r="B43" s="362" t="s">
        <v>762</v>
      </c>
      <c r="C43" s="363">
        <v>0</v>
      </c>
      <c r="D43" s="363">
        <v>0</v>
      </c>
      <c r="E43" s="386">
        <v>0</v>
      </c>
      <c r="F43" s="566">
        <v>0</v>
      </c>
      <c r="G43" s="363">
        <v>0</v>
      </c>
      <c r="H43" s="448">
        <v>0</v>
      </c>
      <c r="I43" s="482">
        <v>0</v>
      </c>
      <c r="J43" s="363">
        <v>0</v>
      </c>
      <c r="K43" s="386">
        <v>0</v>
      </c>
      <c r="L43" s="608">
        <f aca="true" t="shared" si="11" ref="L43:N54">SUM(C43+F43+I43)</f>
        <v>0</v>
      </c>
      <c r="M43" s="609">
        <f t="shared" si="11"/>
        <v>0</v>
      </c>
      <c r="N43" s="610">
        <f t="shared" si="11"/>
        <v>0</v>
      </c>
    </row>
    <row r="44" spans="1:14" ht="13.5" thickBot="1">
      <c r="A44" s="364" t="s">
        <v>751</v>
      </c>
      <c r="B44" s="365" t="s">
        <v>946</v>
      </c>
      <c r="C44" s="366">
        <v>0</v>
      </c>
      <c r="D44" s="366">
        <v>0</v>
      </c>
      <c r="E44" s="387">
        <v>0</v>
      </c>
      <c r="F44" s="567">
        <v>0</v>
      </c>
      <c r="G44" s="366">
        <v>0</v>
      </c>
      <c r="H44" s="449">
        <v>0</v>
      </c>
      <c r="I44" s="483">
        <v>0</v>
      </c>
      <c r="J44" s="366">
        <v>0</v>
      </c>
      <c r="K44" s="387">
        <v>0</v>
      </c>
      <c r="L44" s="613">
        <f t="shared" si="11"/>
        <v>0</v>
      </c>
      <c r="M44" s="614">
        <f t="shared" si="11"/>
        <v>0</v>
      </c>
      <c r="N44" s="615">
        <f t="shared" si="11"/>
        <v>0</v>
      </c>
    </row>
    <row r="45" spans="1:14" ht="13.5" thickBot="1">
      <c r="A45" s="355" t="s">
        <v>832</v>
      </c>
      <c r="B45" s="367" t="s">
        <v>948</v>
      </c>
      <c r="C45" s="357">
        <f>SUM(C46)</f>
        <v>0</v>
      </c>
      <c r="D45" s="357">
        <f aca="true" t="shared" si="12" ref="D45:K45">SUM(D46)</f>
        <v>0</v>
      </c>
      <c r="E45" s="511">
        <f t="shared" si="12"/>
        <v>0</v>
      </c>
      <c r="F45" s="564">
        <f t="shared" si="12"/>
        <v>0</v>
      </c>
      <c r="G45" s="357">
        <f t="shared" si="12"/>
        <v>0</v>
      </c>
      <c r="H45" s="394">
        <f t="shared" si="12"/>
        <v>0</v>
      </c>
      <c r="I45" s="484">
        <f t="shared" si="12"/>
        <v>0</v>
      </c>
      <c r="J45" s="357">
        <f t="shared" si="12"/>
        <v>0</v>
      </c>
      <c r="K45" s="357">
        <f t="shared" si="12"/>
        <v>0</v>
      </c>
      <c r="L45" s="602">
        <f aca="true" t="shared" si="13" ref="L45:L54">SUM(C45+F45+I45)</f>
        <v>0</v>
      </c>
      <c r="M45" s="357">
        <f t="shared" si="11"/>
        <v>0</v>
      </c>
      <c r="N45" s="578">
        <f t="shared" si="11"/>
        <v>0</v>
      </c>
    </row>
    <row r="46" spans="1:14" ht="12.75">
      <c r="A46" s="361" t="s">
        <v>757</v>
      </c>
      <c r="B46" s="362" t="s">
        <v>772</v>
      </c>
      <c r="C46" s="370">
        <v>0</v>
      </c>
      <c r="D46" s="370">
        <v>0</v>
      </c>
      <c r="E46" s="388">
        <v>0</v>
      </c>
      <c r="F46" s="569">
        <v>0</v>
      </c>
      <c r="G46" s="370">
        <v>0</v>
      </c>
      <c r="H46" s="542">
        <v>0</v>
      </c>
      <c r="I46" s="559">
        <v>0</v>
      </c>
      <c r="J46" s="370">
        <v>0</v>
      </c>
      <c r="K46" s="388">
        <v>0</v>
      </c>
      <c r="L46" s="608">
        <f t="shared" si="13"/>
        <v>0</v>
      </c>
      <c r="M46" s="609">
        <f t="shared" si="11"/>
        <v>0</v>
      </c>
      <c r="N46" s="610">
        <f t="shared" si="11"/>
        <v>0</v>
      </c>
    </row>
    <row r="47" spans="1:14" ht="13.5" thickBot="1">
      <c r="A47" s="364" t="s">
        <v>759</v>
      </c>
      <c r="B47" s="365" t="s">
        <v>949</v>
      </c>
      <c r="C47" s="370">
        <v>0</v>
      </c>
      <c r="D47" s="370">
        <v>0</v>
      </c>
      <c r="E47" s="388">
        <v>0</v>
      </c>
      <c r="F47" s="569">
        <v>0</v>
      </c>
      <c r="G47" s="370">
        <v>0</v>
      </c>
      <c r="H47" s="542">
        <v>0</v>
      </c>
      <c r="I47" s="559">
        <v>0</v>
      </c>
      <c r="J47" s="370">
        <v>0</v>
      </c>
      <c r="K47" s="388">
        <v>0</v>
      </c>
      <c r="L47" s="613">
        <f t="shared" si="13"/>
        <v>0</v>
      </c>
      <c r="M47" s="614">
        <f t="shared" si="11"/>
        <v>0</v>
      </c>
      <c r="N47" s="615">
        <f t="shared" si="11"/>
        <v>0</v>
      </c>
    </row>
    <row r="48" spans="1:14" ht="13.5" thickBot="1">
      <c r="A48" s="355" t="s">
        <v>765</v>
      </c>
      <c r="B48" s="356" t="s">
        <v>950</v>
      </c>
      <c r="C48" s="369">
        <f>SUM(C45+C42+C38+C27+C25+C18+C11)</f>
        <v>8143</v>
      </c>
      <c r="D48" s="369">
        <f aca="true" t="shared" si="14" ref="D48:K48">SUM(D45+D42+D38+D27+D25+D18+D11)</f>
        <v>8220</v>
      </c>
      <c r="E48" s="531">
        <f t="shared" si="14"/>
        <v>4013</v>
      </c>
      <c r="F48" s="568">
        <f t="shared" si="14"/>
        <v>0</v>
      </c>
      <c r="G48" s="369">
        <f t="shared" si="14"/>
        <v>0</v>
      </c>
      <c r="H48" s="636">
        <f t="shared" si="14"/>
        <v>0</v>
      </c>
      <c r="I48" s="486">
        <f t="shared" si="14"/>
        <v>0</v>
      </c>
      <c r="J48" s="369">
        <f t="shared" si="14"/>
        <v>0</v>
      </c>
      <c r="K48" s="369">
        <f t="shared" si="14"/>
        <v>0</v>
      </c>
      <c r="L48" s="602">
        <f t="shared" si="13"/>
        <v>8143</v>
      </c>
      <c r="M48" s="357">
        <f t="shared" si="11"/>
        <v>8220</v>
      </c>
      <c r="N48" s="578">
        <f t="shared" si="11"/>
        <v>4013</v>
      </c>
    </row>
    <row r="49" spans="1:14" ht="13.5" thickBot="1">
      <c r="A49" s="605" t="s">
        <v>775</v>
      </c>
      <c r="B49" s="367" t="s">
        <v>951</v>
      </c>
      <c r="C49" s="357">
        <f>SUM(C50:C51)</f>
        <v>1281</v>
      </c>
      <c r="D49" s="357">
        <f aca="true" t="shared" si="15" ref="D49:K49">SUM(D50:D51)</f>
        <v>10830</v>
      </c>
      <c r="E49" s="511">
        <f t="shared" si="15"/>
        <v>2778</v>
      </c>
      <c r="F49" s="564">
        <f t="shared" si="15"/>
        <v>0</v>
      </c>
      <c r="G49" s="357">
        <f t="shared" si="15"/>
        <v>0</v>
      </c>
      <c r="H49" s="394">
        <f t="shared" si="15"/>
        <v>0</v>
      </c>
      <c r="I49" s="484">
        <f t="shared" si="15"/>
        <v>0</v>
      </c>
      <c r="J49" s="357">
        <f t="shared" si="15"/>
        <v>0</v>
      </c>
      <c r="K49" s="357">
        <f t="shared" si="15"/>
        <v>0</v>
      </c>
      <c r="L49" s="617">
        <f t="shared" si="13"/>
        <v>1281</v>
      </c>
      <c r="M49" s="618">
        <f t="shared" si="11"/>
        <v>10830</v>
      </c>
      <c r="N49" s="619">
        <f t="shared" si="11"/>
        <v>2778</v>
      </c>
    </row>
    <row r="50" spans="1:14" ht="12.75">
      <c r="A50" s="358" t="s">
        <v>938</v>
      </c>
      <c r="B50" s="359" t="s">
        <v>403</v>
      </c>
      <c r="C50" s="370">
        <v>1281</v>
      </c>
      <c r="D50" s="370">
        <v>10830</v>
      </c>
      <c r="E50" s="388">
        <v>2778</v>
      </c>
      <c r="F50" s="569"/>
      <c r="G50" s="370">
        <v>0</v>
      </c>
      <c r="H50" s="542">
        <v>0</v>
      </c>
      <c r="I50" s="559"/>
      <c r="J50" s="370">
        <v>0</v>
      </c>
      <c r="K50" s="388">
        <v>0</v>
      </c>
      <c r="L50" s="608">
        <f t="shared" si="13"/>
        <v>1281</v>
      </c>
      <c r="M50" s="609">
        <f t="shared" si="11"/>
        <v>10830</v>
      </c>
      <c r="N50" s="610">
        <f t="shared" si="11"/>
        <v>2778</v>
      </c>
    </row>
    <row r="51" spans="1:14" ht="13.5" thickBot="1">
      <c r="A51" s="364" t="s">
        <v>939</v>
      </c>
      <c r="B51" s="365" t="s">
        <v>405</v>
      </c>
      <c r="C51" s="370">
        <v>0</v>
      </c>
      <c r="D51" s="370">
        <v>0</v>
      </c>
      <c r="E51" s="388">
        <v>0</v>
      </c>
      <c r="F51" s="569">
        <v>0</v>
      </c>
      <c r="G51" s="370">
        <v>0</v>
      </c>
      <c r="H51" s="542">
        <v>0</v>
      </c>
      <c r="I51" s="559">
        <v>0</v>
      </c>
      <c r="J51" s="370">
        <v>0</v>
      </c>
      <c r="K51" s="388">
        <v>0</v>
      </c>
      <c r="L51" s="613">
        <f t="shared" si="13"/>
        <v>0</v>
      </c>
      <c r="M51" s="614">
        <f t="shared" si="11"/>
        <v>0</v>
      </c>
      <c r="N51" s="615">
        <f t="shared" si="11"/>
        <v>0</v>
      </c>
    </row>
    <row r="52" spans="1:14" ht="21.75" thickBot="1">
      <c r="A52" s="605" t="s">
        <v>99</v>
      </c>
      <c r="B52" s="367" t="s">
        <v>824</v>
      </c>
      <c r="C52" s="357">
        <f>188015-6245</f>
        <v>181770</v>
      </c>
      <c r="D52" s="357">
        <f>191331-6925</f>
        <v>184406</v>
      </c>
      <c r="E52" s="384">
        <f>191330-6925</f>
        <v>184405</v>
      </c>
      <c r="F52" s="564">
        <v>6245</v>
      </c>
      <c r="G52" s="357">
        <v>6925</v>
      </c>
      <c r="H52" s="460">
        <v>6925</v>
      </c>
      <c r="I52" s="484"/>
      <c r="J52" s="357"/>
      <c r="K52" s="384"/>
      <c r="L52" s="594">
        <f t="shared" si="13"/>
        <v>188015</v>
      </c>
      <c r="M52" s="444">
        <f t="shared" si="11"/>
        <v>191331</v>
      </c>
      <c r="N52" s="620">
        <f t="shared" si="11"/>
        <v>191330</v>
      </c>
    </row>
    <row r="53" spans="1:14" ht="13.5" thickBot="1">
      <c r="A53" s="605">
        <v>11</v>
      </c>
      <c r="B53" s="379" t="s">
        <v>952</v>
      </c>
      <c r="C53" s="369">
        <f>SUM(C52+C49)</f>
        <v>183051</v>
      </c>
      <c r="D53" s="369">
        <f aca="true" t="shared" si="16" ref="D53:K53">SUM(D52+D49)</f>
        <v>195236</v>
      </c>
      <c r="E53" s="531">
        <f t="shared" si="16"/>
        <v>187183</v>
      </c>
      <c r="F53" s="568">
        <f t="shared" si="16"/>
        <v>6245</v>
      </c>
      <c r="G53" s="369">
        <f t="shared" si="16"/>
        <v>6925</v>
      </c>
      <c r="H53" s="636">
        <f t="shared" si="16"/>
        <v>6925</v>
      </c>
      <c r="I53" s="486">
        <f t="shared" si="16"/>
        <v>0</v>
      </c>
      <c r="J53" s="369">
        <f t="shared" si="16"/>
        <v>0</v>
      </c>
      <c r="K53" s="369">
        <f t="shared" si="16"/>
        <v>0</v>
      </c>
      <c r="L53" s="577">
        <f t="shared" si="13"/>
        <v>189296</v>
      </c>
      <c r="M53" s="357">
        <f t="shared" si="11"/>
        <v>202161</v>
      </c>
      <c r="N53" s="604">
        <f t="shared" si="11"/>
        <v>194108</v>
      </c>
    </row>
    <row r="54" spans="1:14" ht="21.75" thickBot="1">
      <c r="A54" s="606">
        <v>12</v>
      </c>
      <c r="B54" s="381" t="s">
        <v>953</v>
      </c>
      <c r="C54" s="369">
        <f>SUM(C53+C48)</f>
        <v>191194</v>
      </c>
      <c r="D54" s="369">
        <f aca="true" t="shared" si="17" ref="D54:K54">SUM(D53+D48)</f>
        <v>203456</v>
      </c>
      <c r="E54" s="531">
        <f t="shared" si="17"/>
        <v>191196</v>
      </c>
      <c r="F54" s="568">
        <f t="shared" si="17"/>
        <v>6245</v>
      </c>
      <c r="G54" s="369">
        <f t="shared" si="17"/>
        <v>6925</v>
      </c>
      <c r="H54" s="636">
        <f t="shared" si="17"/>
        <v>6925</v>
      </c>
      <c r="I54" s="486">
        <f t="shared" si="17"/>
        <v>0</v>
      </c>
      <c r="J54" s="369">
        <f t="shared" si="17"/>
        <v>0</v>
      </c>
      <c r="K54" s="369">
        <f t="shared" si="17"/>
        <v>0</v>
      </c>
      <c r="L54" s="602">
        <f t="shared" si="13"/>
        <v>197439</v>
      </c>
      <c r="M54" s="357">
        <f t="shared" si="11"/>
        <v>210381</v>
      </c>
      <c r="N54" s="578">
        <f t="shared" si="11"/>
        <v>198121</v>
      </c>
    </row>
    <row r="55" spans="1:14" ht="12.75">
      <c r="A55" s="553"/>
      <c r="B55" s="553"/>
      <c r="C55" s="554"/>
      <c r="D55" s="554"/>
      <c r="E55" s="554"/>
      <c r="F55" s="554"/>
      <c r="G55" s="554"/>
      <c r="H55" s="554"/>
      <c r="I55" s="554"/>
      <c r="J55" s="554"/>
      <c r="K55" s="554"/>
      <c r="L55" s="554"/>
      <c r="M55" s="554"/>
      <c r="N55" s="554"/>
    </row>
    <row r="56" spans="1:14" ht="12.75">
      <c r="A56" s="553"/>
      <c r="B56" s="553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</row>
    <row r="57" spans="1:14" ht="12.75">
      <c r="A57" s="553"/>
      <c r="B57" s="553"/>
      <c r="C57" s="554"/>
      <c r="D57" s="554"/>
      <c r="E57" s="554"/>
      <c r="F57" s="554"/>
      <c r="G57" s="554"/>
      <c r="H57" s="554"/>
      <c r="I57" s="554"/>
      <c r="J57" s="554"/>
      <c r="K57" s="554"/>
      <c r="L57" s="554"/>
      <c r="M57" s="554"/>
      <c r="N57" s="554"/>
    </row>
    <row r="58" spans="1:14" ht="15.75">
      <c r="A58" s="1214" t="s">
        <v>927</v>
      </c>
      <c r="B58" s="1214"/>
      <c r="C58" s="1214"/>
      <c r="D58" s="1214"/>
      <c r="E58" s="1214"/>
      <c r="F58" s="1214"/>
      <c r="G58" s="1214"/>
      <c r="H58" s="1214"/>
      <c r="I58" s="1214"/>
      <c r="J58" s="1214"/>
      <c r="K58" s="1214"/>
      <c r="L58" s="1214"/>
      <c r="M58" s="1214"/>
      <c r="N58" s="1214"/>
    </row>
    <row r="59" spans="1:14" ht="14.25" thickBot="1">
      <c r="A59" s="546"/>
      <c r="B59" s="546"/>
      <c r="C59" s="547"/>
      <c r="D59" s="547"/>
      <c r="E59" s="547"/>
      <c r="F59" s="547"/>
      <c r="G59" s="547"/>
      <c r="H59" s="547"/>
      <c r="I59" s="547"/>
      <c r="J59" s="547"/>
      <c r="K59" s="547"/>
      <c r="L59" s="547"/>
      <c r="M59" s="547"/>
      <c r="N59" s="547" t="s">
        <v>926</v>
      </c>
    </row>
    <row r="60" spans="1:14" ht="12.75" customHeight="1">
      <c r="A60" s="1195" t="s">
        <v>676</v>
      </c>
      <c r="B60" s="1198" t="s">
        <v>861</v>
      </c>
      <c r="C60" s="1194" t="s">
        <v>1185</v>
      </c>
      <c r="D60" s="1208"/>
      <c r="E60" s="1208"/>
      <c r="F60" s="1211" t="s">
        <v>1185</v>
      </c>
      <c r="G60" s="1208"/>
      <c r="H60" s="1212"/>
      <c r="I60" s="1208" t="s">
        <v>1185</v>
      </c>
      <c r="J60" s="1208"/>
      <c r="K60" s="1208"/>
      <c r="L60" s="1207" t="s">
        <v>1185</v>
      </c>
      <c r="M60" s="1208"/>
      <c r="N60" s="1209"/>
    </row>
    <row r="61" spans="1:14" ht="12.75">
      <c r="A61" s="1196"/>
      <c r="B61" s="1199"/>
      <c r="C61" s="1201" t="s">
        <v>931</v>
      </c>
      <c r="D61" s="1202"/>
      <c r="E61" s="1203"/>
      <c r="F61" s="1204" t="s">
        <v>932</v>
      </c>
      <c r="G61" s="1202"/>
      <c r="H61" s="1203"/>
      <c r="I61" s="1204" t="s">
        <v>933</v>
      </c>
      <c r="J61" s="1202"/>
      <c r="K61" s="1205"/>
      <c r="L61" s="1206" t="s">
        <v>934</v>
      </c>
      <c r="M61" s="1202"/>
      <c r="N61" s="1205"/>
    </row>
    <row r="62" spans="1:14" ht="24.75" thickBot="1">
      <c r="A62" s="1197"/>
      <c r="B62" s="1200"/>
      <c r="C62" s="352" t="s">
        <v>37</v>
      </c>
      <c r="D62" s="352" t="s">
        <v>38</v>
      </c>
      <c r="E62" s="382" t="s">
        <v>20</v>
      </c>
      <c r="F62" s="428" t="s">
        <v>37</v>
      </c>
      <c r="G62" s="352" t="s">
        <v>38</v>
      </c>
      <c r="H62" s="548" t="s">
        <v>20</v>
      </c>
      <c r="I62" s="557" t="s">
        <v>37</v>
      </c>
      <c r="J62" s="352" t="s">
        <v>38</v>
      </c>
      <c r="K62" s="382" t="s">
        <v>20</v>
      </c>
      <c r="L62" s="573" t="s">
        <v>37</v>
      </c>
      <c r="M62" s="352" t="s">
        <v>38</v>
      </c>
      <c r="N62" s="574" t="s">
        <v>20</v>
      </c>
    </row>
    <row r="63" spans="1:14" ht="13.5" thickBot="1">
      <c r="A63" s="353" t="s">
        <v>221</v>
      </c>
      <c r="B63" s="354" t="s">
        <v>222</v>
      </c>
      <c r="C63" s="354" t="s">
        <v>223</v>
      </c>
      <c r="D63" s="354" t="s">
        <v>224</v>
      </c>
      <c r="E63" s="383" t="s">
        <v>225</v>
      </c>
      <c r="F63" s="353" t="s">
        <v>226</v>
      </c>
      <c r="G63" s="354" t="s">
        <v>227</v>
      </c>
      <c r="H63" s="563" t="s">
        <v>228</v>
      </c>
      <c r="I63" s="558" t="s">
        <v>229</v>
      </c>
      <c r="J63" s="354" t="s">
        <v>118</v>
      </c>
      <c r="K63" s="383" t="s">
        <v>119</v>
      </c>
      <c r="L63" s="575" t="s">
        <v>120</v>
      </c>
      <c r="M63" s="354" t="s">
        <v>121</v>
      </c>
      <c r="N63" s="576" t="s">
        <v>1461</v>
      </c>
    </row>
    <row r="64" spans="1:14" ht="13.5" thickBot="1">
      <c r="A64" s="442">
        <v>13</v>
      </c>
      <c r="B64" s="443" t="s">
        <v>954</v>
      </c>
      <c r="C64" s="444">
        <f>SUM(C65:C69)</f>
        <v>190990</v>
      </c>
      <c r="D64" s="444">
        <f aca="true" t="shared" si="18" ref="D64:K64">SUM(D65:D69)</f>
        <v>202252</v>
      </c>
      <c r="E64" s="509">
        <f t="shared" si="18"/>
        <v>190587</v>
      </c>
      <c r="F64" s="625">
        <f t="shared" si="18"/>
        <v>6245</v>
      </c>
      <c r="G64" s="444">
        <f t="shared" si="18"/>
        <v>6505</v>
      </c>
      <c r="H64" s="626">
        <f t="shared" si="18"/>
        <v>6831</v>
      </c>
      <c r="I64" s="621">
        <f t="shared" si="18"/>
        <v>0</v>
      </c>
      <c r="J64" s="444">
        <f t="shared" si="18"/>
        <v>0</v>
      </c>
      <c r="K64" s="444">
        <f t="shared" si="18"/>
        <v>0</v>
      </c>
      <c r="L64" s="616">
        <f aca="true" t="shared" si="19" ref="L64:L83">SUM(C64+F64+I64)</f>
        <v>197235</v>
      </c>
      <c r="M64" s="444">
        <f aca="true" t="shared" si="20" ref="M64:N79">SUM(D64+G64+J64)</f>
        <v>208757</v>
      </c>
      <c r="N64" s="595">
        <f t="shared" si="20"/>
        <v>197418</v>
      </c>
    </row>
    <row r="65" spans="1:14" ht="12.75">
      <c r="A65" s="445" t="s">
        <v>801</v>
      </c>
      <c r="B65" s="418" t="s">
        <v>862</v>
      </c>
      <c r="C65" s="446">
        <v>111781</v>
      </c>
      <c r="D65" s="446">
        <v>112958</v>
      </c>
      <c r="E65" s="510">
        <v>110165</v>
      </c>
      <c r="F65" s="627">
        <v>4502</v>
      </c>
      <c r="G65" s="446">
        <v>4438</v>
      </c>
      <c r="H65" s="447">
        <v>4484</v>
      </c>
      <c r="I65" s="622"/>
      <c r="J65" s="446"/>
      <c r="K65" s="510"/>
      <c r="L65" s="630">
        <f t="shared" si="19"/>
        <v>116283</v>
      </c>
      <c r="M65" s="609">
        <f t="shared" si="20"/>
        <v>117396</v>
      </c>
      <c r="N65" s="633">
        <f t="shared" si="20"/>
        <v>114649</v>
      </c>
    </row>
    <row r="66" spans="1:14" ht="12.75">
      <c r="A66" s="361" t="s">
        <v>803</v>
      </c>
      <c r="B66" s="420" t="s">
        <v>863</v>
      </c>
      <c r="C66" s="363">
        <v>31263</v>
      </c>
      <c r="D66" s="363">
        <v>31500</v>
      </c>
      <c r="E66" s="386">
        <v>31282</v>
      </c>
      <c r="F66" s="566">
        <v>1202</v>
      </c>
      <c r="G66" s="363">
        <v>1246</v>
      </c>
      <c r="H66" s="448">
        <v>1174</v>
      </c>
      <c r="I66" s="482"/>
      <c r="J66" s="363"/>
      <c r="K66" s="386"/>
      <c r="L66" s="631">
        <f t="shared" si="19"/>
        <v>32465</v>
      </c>
      <c r="M66" s="607">
        <f t="shared" si="20"/>
        <v>32746</v>
      </c>
      <c r="N66" s="634">
        <f t="shared" si="20"/>
        <v>32456</v>
      </c>
    </row>
    <row r="67" spans="1:14" ht="12.75">
      <c r="A67" s="361" t="s">
        <v>805</v>
      </c>
      <c r="B67" s="420" t="s">
        <v>864</v>
      </c>
      <c r="C67" s="366">
        <v>47946</v>
      </c>
      <c r="D67" s="366">
        <v>48245</v>
      </c>
      <c r="E67" s="387">
        <v>39591</v>
      </c>
      <c r="F67" s="567">
        <v>541</v>
      </c>
      <c r="G67" s="366">
        <v>821</v>
      </c>
      <c r="H67" s="449">
        <v>1173</v>
      </c>
      <c r="I67" s="483"/>
      <c r="J67" s="366"/>
      <c r="K67" s="387"/>
      <c r="L67" s="631">
        <f t="shared" si="19"/>
        <v>48487</v>
      </c>
      <c r="M67" s="607">
        <f t="shared" si="20"/>
        <v>49066</v>
      </c>
      <c r="N67" s="634">
        <f t="shared" si="20"/>
        <v>40764</v>
      </c>
    </row>
    <row r="68" spans="1:14" ht="12.75">
      <c r="A68" s="361" t="s">
        <v>955</v>
      </c>
      <c r="B68" s="450" t="s">
        <v>67</v>
      </c>
      <c r="C68" s="366"/>
      <c r="D68" s="366"/>
      <c r="E68" s="387"/>
      <c r="F68" s="567"/>
      <c r="G68" s="366"/>
      <c r="H68" s="449"/>
      <c r="I68" s="483"/>
      <c r="J68" s="366"/>
      <c r="K68" s="387"/>
      <c r="L68" s="631">
        <f t="shared" si="19"/>
        <v>0</v>
      </c>
      <c r="M68" s="607">
        <f t="shared" si="20"/>
        <v>0</v>
      </c>
      <c r="N68" s="634">
        <f t="shared" si="20"/>
        <v>0</v>
      </c>
    </row>
    <row r="69" spans="1:14" ht="12.75">
      <c r="A69" s="361" t="s">
        <v>956</v>
      </c>
      <c r="B69" s="420" t="s">
        <v>865</v>
      </c>
      <c r="C69" s="366">
        <f>SUM(C70:C72)</f>
        <v>0</v>
      </c>
      <c r="D69" s="366">
        <f aca="true" t="shared" si="21" ref="D69:N69">SUM(D70:D72)</f>
        <v>9549</v>
      </c>
      <c r="E69" s="387">
        <f t="shared" si="21"/>
        <v>9549</v>
      </c>
      <c r="F69" s="567">
        <f t="shared" si="21"/>
        <v>0</v>
      </c>
      <c r="G69" s="366">
        <f t="shared" si="21"/>
        <v>0</v>
      </c>
      <c r="H69" s="449">
        <f t="shared" si="21"/>
        <v>0</v>
      </c>
      <c r="I69" s="483">
        <f t="shared" si="21"/>
        <v>0</v>
      </c>
      <c r="J69" s="366">
        <f t="shared" si="21"/>
        <v>0</v>
      </c>
      <c r="K69" s="387">
        <f t="shared" si="21"/>
        <v>0</v>
      </c>
      <c r="L69" s="631">
        <f t="shared" si="21"/>
        <v>0</v>
      </c>
      <c r="M69" s="607">
        <f t="shared" si="21"/>
        <v>9549</v>
      </c>
      <c r="N69" s="634">
        <f t="shared" si="21"/>
        <v>9549</v>
      </c>
    </row>
    <row r="70" spans="1:14" ht="12.75">
      <c r="A70" s="361" t="s">
        <v>957</v>
      </c>
      <c r="B70" s="420" t="s">
        <v>967</v>
      </c>
      <c r="C70" s="366"/>
      <c r="D70" s="366">
        <v>9549</v>
      </c>
      <c r="E70" s="387">
        <v>9549</v>
      </c>
      <c r="F70" s="567"/>
      <c r="G70" s="366"/>
      <c r="H70" s="449"/>
      <c r="I70" s="483"/>
      <c r="J70" s="366"/>
      <c r="K70" s="387"/>
      <c r="L70" s="631">
        <f t="shared" si="19"/>
        <v>0</v>
      </c>
      <c r="M70" s="607">
        <f t="shared" si="20"/>
        <v>9549</v>
      </c>
      <c r="N70" s="634">
        <f t="shared" si="20"/>
        <v>9549</v>
      </c>
    </row>
    <row r="71" spans="1:14" ht="12.75">
      <c r="A71" s="361" t="s">
        <v>958</v>
      </c>
      <c r="B71" s="452" t="s">
        <v>869</v>
      </c>
      <c r="C71" s="366"/>
      <c r="D71" s="366"/>
      <c r="E71" s="387"/>
      <c r="F71" s="567"/>
      <c r="G71" s="366"/>
      <c r="H71" s="449"/>
      <c r="I71" s="483"/>
      <c r="J71" s="366"/>
      <c r="K71" s="387"/>
      <c r="L71" s="631">
        <f t="shared" si="19"/>
        <v>0</v>
      </c>
      <c r="M71" s="607">
        <f t="shared" si="20"/>
        <v>0</v>
      </c>
      <c r="N71" s="634">
        <f t="shared" si="20"/>
        <v>0</v>
      </c>
    </row>
    <row r="72" spans="1:14" ht="23.25" thickBot="1">
      <c r="A72" s="395" t="s">
        <v>959</v>
      </c>
      <c r="B72" s="456" t="s">
        <v>874</v>
      </c>
      <c r="C72" s="457"/>
      <c r="D72" s="457">
        <v>0</v>
      </c>
      <c r="E72" s="555"/>
      <c r="F72" s="628"/>
      <c r="G72" s="457"/>
      <c r="H72" s="458"/>
      <c r="I72" s="623"/>
      <c r="J72" s="457"/>
      <c r="K72" s="555"/>
      <c r="L72" s="632">
        <f t="shared" si="19"/>
        <v>0</v>
      </c>
      <c r="M72" s="614">
        <f t="shared" si="20"/>
        <v>0</v>
      </c>
      <c r="N72" s="635">
        <f t="shared" si="20"/>
        <v>0</v>
      </c>
    </row>
    <row r="73" spans="1:14" ht="13.5" thickBot="1">
      <c r="A73" s="355">
        <v>14</v>
      </c>
      <c r="B73" s="459" t="s">
        <v>968</v>
      </c>
      <c r="C73" s="357">
        <f>SUM(C74:C78)</f>
        <v>204</v>
      </c>
      <c r="D73" s="357">
        <f aca="true" t="shared" si="22" ref="D73:K73">SUM(D74:D78)</f>
        <v>1204</v>
      </c>
      <c r="E73" s="511">
        <f t="shared" si="22"/>
        <v>244</v>
      </c>
      <c r="F73" s="564">
        <f t="shared" si="22"/>
        <v>0</v>
      </c>
      <c r="G73" s="357">
        <f t="shared" si="22"/>
        <v>420</v>
      </c>
      <c r="H73" s="394">
        <f t="shared" si="22"/>
        <v>420</v>
      </c>
      <c r="I73" s="484">
        <f t="shared" si="22"/>
        <v>0</v>
      </c>
      <c r="J73" s="357">
        <f t="shared" si="22"/>
        <v>0</v>
      </c>
      <c r="K73" s="357">
        <f t="shared" si="22"/>
        <v>0</v>
      </c>
      <c r="L73" s="616">
        <f t="shared" si="19"/>
        <v>204</v>
      </c>
      <c r="M73" s="444">
        <f t="shared" si="20"/>
        <v>1624</v>
      </c>
      <c r="N73" s="595">
        <f t="shared" si="20"/>
        <v>664</v>
      </c>
    </row>
    <row r="74" spans="1:14" ht="12.75">
      <c r="A74" s="358" t="s">
        <v>960</v>
      </c>
      <c r="B74" s="420" t="s">
        <v>51</v>
      </c>
      <c r="C74" s="360">
        <v>204</v>
      </c>
      <c r="D74" s="360">
        <v>537</v>
      </c>
      <c r="E74" s="385">
        <v>244</v>
      </c>
      <c r="F74" s="565"/>
      <c r="G74" s="360">
        <v>420</v>
      </c>
      <c r="H74" s="461">
        <v>420</v>
      </c>
      <c r="I74" s="485"/>
      <c r="J74" s="360">
        <v>0</v>
      </c>
      <c r="K74" s="385">
        <v>0</v>
      </c>
      <c r="L74" s="608">
        <f t="shared" si="19"/>
        <v>204</v>
      </c>
      <c r="M74" s="609">
        <f t="shared" si="20"/>
        <v>957</v>
      </c>
      <c r="N74" s="610">
        <f t="shared" si="20"/>
        <v>664</v>
      </c>
    </row>
    <row r="75" spans="1:14" ht="12.75">
      <c r="A75" s="358" t="s">
        <v>961</v>
      </c>
      <c r="B75" s="462" t="s">
        <v>969</v>
      </c>
      <c r="C75" s="360"/>
      <c r="D75" s="360"/>
      <c r="E75" s="385"/>
      <c r="F75" s="565"/>
      <c r="G75" s="360"/>
      <c r="H75" s="461"/>
      <c r="I75" s="485"/>
      <c r="J75" s="360">
        <v>0</v>
      </c>
      <c r="K75" s="385">
        <v>0</v>
      </c>
      <c r="L75" s="611">
        <f t="shared" si="19"/>
        <v>0</v>
      </c>
      <c r="M75" s="607">
        <f t="shared" si="20"/>
        <v>0</v>
      </c>
      <c r="N75" s="612">
        <f t="shared" si="20"/>
        <v>0</v>
      </c>
    </row>
    <row r="76" spans="1:14" ht="12.75">
      <c r="A76" s="358" t="s">
        <v>962</v>
      </c>
      <c r="B76" s="462" t="s">
        <v>875</v>
      </c>
      <c r="C76" s="363"/>
      <c r="D76" s="363">
        <v>667</v>
      </c>
      <c r="E76" s="386"/>
      <c r="F76" s="566"/>
      <c r="G76" s="363"/>
      <c r="H76" s="448"/>
      <c r="I76" s="482"/>
      <c r="J76" s="363">
        <v>0</v>
      </c>
      <c r="K76" s="386">
        <v>0</v>
      </c>
      <c r="L76" s="611">
        <f t="shared" si="19"/>
        <v>0</v>
      </c>
      <c r="M76" s="607">
        <f t="shared" si="20"/>
        <v>667</v>
      </c>
      <c r="N76" s="612">
        <f t="shared" si="20"/>
        <v>0</v>
      </c>
    </row>
    <row r="77" spans="1:14" ht="12.75">
      <c r="A77" s="358" t="s">
        <v>963</v>
      </c>
      <c r="B77" s="462" t="s">
        <v>970</v>
      </c>
      <c r="C77" s="363"/>
      <c r="D77" s="363"/>
      <c r="E77" s="386"/>
      <c r="F77" s="566"/>
      <c r="G77" s="363"/>
      <c r="H77" s="448"/>
      <c r="I77" s="482"/>
      <c r="J77" s="363">
        <v>0</v>
      </c>
      <c r="K77" s="386">
        <v>0</v>
      </c>
      <c r="L77" s="611">
        <f t="shared" si="19"/>
        <v>0</v>
      </c>
      <c r="M77" s="607">
        <f t="shared" si="20"/>
        <v>0</v>
      </c>
      <c r="N77" s="612">
        <f t="shared" si="20"/>
        <v>0</v>
      </c>
    </row>
    <row r="78" spans="1:14" ht="12.75">
      <c r="A78" s="358" t="s">
        <v>964</v>
      </c>
      <c r="B78" s="368" t="s">
        <v>876</v>
      </c>
      <c r="C78" s="363"/>
      <c r="D78" s="363"/>
      <c r="E78" s="386"/>
      <c r="F78" s="566"/>
      <c r="G78" s="363"/>
      <c r="H78" s="448"/>
      <c r="I78" s="482"/>
      <c r="J78" s="363">
        <v>0</v>
      </c>
      <c r="K78" s="386">
        <v>0</v>
      </c>
      <c r="L78" s="611">
        <f t="shared" si="19"/>
        <v>0</v>
      </c>
      <c r="M78" s="607">
        <f t="shared" si="20"/>
        <v>0</v>
      </c>
      <c r="N78" s="612">
        <f t="shared" si="20"/>
        <v>0</v>
      </c>
    </row>
    <row r="79" spans="1:14" ht="22.5">
      <c r="A79" s="358" t="s">
        <v>965</v>
      </c>
      <c r="B79" s="453" t="s">
        <v>971</v>
      </c>
      <c r="C79" s="363"/>
      <c r="D79" s="363"/>
      <c r="E79" s="386"/>
      <c r="F79" s="566"/>
      <c r="G79" s="363"/>
      <c r="H79" s="448"/>
      <c r="I79" s="482"/>
      <c r="J79" s="363">
        <v>0</v>
      </c>
      <c r="K79" s="386">
        <v>0</v>
      </c>
      <c r="L79" s="611">
        <f t="shared" si="19"/>
        <v>0</v>
      </c>
      <c r="M79" s="607">
        <f t="shared" si="20"/>
        <v>0</v>
      </c>
      <c r="N79" s="612">
        <f t="shared" si="20"/>
        <v>0</v>
      </c>
    </row>
    <row r="80" spans="1:14" ht="23.25" thickBot="1">
      <c r="A80" s="454" t="s">
        <v>966</v>
      </c>
      <c r="B80" s="453" t="s">
        <v>881</v>
      </c>
      <c r="C80" s="366"/>
      <c r="D80" s="366"/>
      <c r="E80" s="387"/>
      <c r="F80" s="567"/>
      <c r="G80" s="366"/>
      <c r="H80" s="449"/>
      <c r="I80" s="483"/>
      <c r="J80" s="366">
        <v>0</v>
      </c>
      <c r="K80" s="387">
        <v>0</v>
      </c>
      <c r="L80" s="613">
        <f t="shared" si="19"/>
        <v>0</v>
      </c>
      <c r="M80" s="614">
        <f aca="true" t="shared" si="23" ref="M80:N83">SUM(D80+G80+J80)</f>
        <v>0</v>
      </c>
      <c r="N80" s="615">
        <f t="shared" si="23"/>
        <v>0</v>
      </c>
    </row>
    <row r="81" spans="1:14" ht="13.5" thickBot="1">
      <c r="A81" s="355">
        <v>15</v>
      </c>
      <c r="B81" s="464" t="s">
        <v>972</v>
      </c>
      <c r="C81" s="357">
        <f>SUM(C73+C64)</f>
        <v>191194</v>
      </c>
      <c r="D81" s="357">
        <f aca="true" t="shared" si="24" ref="D81:K81">SUM(D73+D64)</f>
        <v>203456</v>
      </c>
      <c r="E81" s="511">
        <f t="shared" si="24"/>
        <v>190831</v>
      </c>
      <c r="F81" s="564">
        <f t="shared" si="24"/>
        <v>6245</v>
      </c>
      <c r="G81" s="357">
        <f t="shared" si="24"/>
        <v>6925</v>
      </c>
      <c r="H81" s="394">
        <f t="shared" si="24"/>
        <v>7251</v>
      </c>
      <c r="I81" s="484">
        <f t="shared" si="24"/>
        <v>0</v>
      </c>
      <c r="J81" s="357">
        <f t="shared" si="24"/>
        <v>0</v>
      </c>
      <c r="K81" s="357">
        <f t="shared" si="24"/>
        <v>0</v>
      </c>
      <c r="L81" s="616">
        <f t="shared" si="19"/>
        <v>197439</v>
      </c>
      <c r="M81" s="444">
        <f t="shared" si="23"/>
        <v>210381</v>
      </c>
      <c r="N81" s="595">
        <f t="shared" si="23"/>
        <v>198082</v>
      </c>
    </row>
    <row r="82" spans="1:14" ht="13.5" thickBot="1">
      <c r="A82" s="355">
        <v>16</v>
      </c>
      <c r="B82" s="464" t="s">
        <v>973</v>
      </c>
      <c r="C82" s="468"/>
      <c r="D82" s="468">
        <v>0</v>
      </c>
      <c r="E82" s="556"/>
      <c r="F82" s="629"/>
      <c r="G82" s="468">
        <v>0</v>
      </c>
      <c r="H82" s="469"/>
      <c r="I82" s="624"/>
      <c r="J82" s="468"/>
      <c r="K82" s="556"/>
      <c r="L82" s="616">
        <f t="shared" si="19"/>
        <v>0</v>
      </c>
      <c r="M82" s="444">
        <f t="shared" si="23"/>
        <v>0</v>
      </c>
      <c r="N82" s="595">
        <f t="shared" si="23"/>
        <v>0</v>
      </c>
    </row>
    <row r="83" spans="1:14" ht="21.75" thickBot="1">
      <c r="A83" s="470">
        <v>17</v>
      </c>
      <c r="B83" s="381" t="s">
        <v>974</v>
      </c>
      <c r="C83" s="468">
        <f aca="true" t="shared" si="25" ref="C83:K83">SUM(C81:C82)</f>
        <v>191194</v>
      </c>
      <c r="D83" s="468">
        <f t="shared" si="25"/>
        <v>203456</v>
      </c>
      <c r="E83" s="642">
        <f t="shared" si="25"/>
        <v>190831</v>
      </c>
      <c r="F83" s="556">
        <f t="shared" si="25"/>
        <v>6245</v>
      </c>
      <c r="G83" s="518">
        <f t="shared" si="25"/>
        <v>6925</v>
      </c>
      <c r="H83" s="642">
        <f t="shared" si="25"/>
        <v>7251</v>
      </c>
      <c r="I83" s="556">
        <f t="shared" si="25"/>
        <v>0</v>
      </c>
      <c r="J83" s="518">
        <f t="shared" si="25"/>
        <v>0</v>
      </c>
      <c r="K83" s="518">
        <f t="shared" si="25"/>
        <v>0</v>
      </c>
      <c r="L83" s="602">
        <f t="shared" si="19"/>
        <v>197439</v>
      </c>
      <c r="M83" s="357">
        <f t="shared" si="23"/>
        <v>210381</v>
      </c>
      <c r="N83" s="578">
        <f t="shared" si="23"/>
        <v>198082</v>
      </c>
    </row>
    <row r="84" spans="1:14" ht="15.75">
      <c r="A84" s="549"/>
      <c r="B84" s="549"/>
      <c r="C84" s="550"/>
      <c r="D84" s="550"/>
      <c r="E84" s="550"/>
      <c r="F84" s="550"/>
      <c r="G84" s="550"/>
      <c r="H84" s="550"/>
      <c r="I84" s="550"/>
      <c r="J84" s="550"/>
      <c r="K84" s="550"/>
      <c r="L84" s="550"/>
      <c r="M84" s="550"/>
      <c r="N84" s="550"/>
    </row>
    <row r="85" spans="1:14" ht="15.75">
      <c r="A85" s="549"/>
      <c r="B85" s="549"/>
      <c r="C85" s="550"/>
      <c r="D85" s="550"/>
      <c r="E85" s="550"/>
      <c r="F85" s="550"/>
      <c r="G85" s="550"/>
      <c r="H85" s="550"/>
      <c r="I85" s="550"/>
      <c r="J85" s="550"/>
      <c r="K85" s="550"/>
      <c r="L85" s="550"/>
      <c r="M85" s="550"/>
      <c r="N85" s="550"/>
    </row>
    <row r="86" spans="1:14" ht="15.75">
      <c r="A86" s="549"/>
      <c r="B86" s="549"/>
      <c r="C86" s="550"/>
      <c r="D86" s="550"/>
      <c r="E86" s="550"/>
      <c r="F86" s="550"/>
      <c r="G86" s="550"/>
      <c r="H86" s="550"/>
      <c r="I86" s="550"/>
      <c r="J86" s="550"/>
      <c r="K86" s="550"/>
      <c r="L86" s="550"/>
      <c r="M86" s="550"/>
      <c r="N86" s="550"/>
    </row>
    <row r="87" spans="1:14" ht="15.75">
      <c r="A87" s="1213" t="s">
        <v>928</v>
      </c>
      <c r="B87" s="1213"/>
      <c r="C87" s="1213"/>
      <c r="D87" s="1213"/>
      <c r="E87" s="1213"/>
      <c r="F87" s="1213"/>
      <c r="G87" s="1213"/>
      <c r="H87" s="1213"/>
      <c r="I87" s="1213"/>
      <c r="J87" s="1213"/>
      <c r="K87" s="1213"/>
      <c r="L87" s="1213"/>
      <c r="M87" s="1213"/>
      <c r="N87" s="1213"/>
    </row>
    <row r="88" spans="1:14" ht="16.5" thickBot="1">
      <c r="A88" s="551"/>
      <c r="B88" s="551"/>
      <c r="C88" s="552"/>
      <c r="D88" s="550"/>
      <c r="E88" s="541"/>
      <c r="F88" s="552"/>
      <c r="G88" s="550"/>
      <c r="H88" s="541"/>
      <c r="I88" s="552"/>
      <c r="J88" s="550"/>
      <c r="K88" s="541"/>
      <c r="L88" s="552"/>
      <c r="M88" s="550"/>
      <c r="N88" s="541" t="s">
        <v>926</v>
      </c>
    </row>
    <row r="89" spans="1:14" ht="25.5" customHeight="1" thickBot="1">
      <c r="A89" s="355">
        <v>18</v>
      </c>
      <c r="B89" s="459" t="s">
        <v>929</v>
      </c>
      <c r="C89" s="394">
        <f>C48-C81</f>
        <v>-183051</v>
      </c>
      <c r="D89" s="394">
        <f aca="true" t="shared" si="26" ref="D89:K89">D48-D81</f>
        <v>-195236</v>
      </c>
      <c r="E89" s="394">
        <f t="shared" si="26"/>
        <v>-186818</v>
      </c>
      <c r="F89" s="394">
        <f t="shared" si="26"/>
        <v>-6245</v>
      </c>
      <c r="G89" s="394">
        <f t="shared" si="26"/>
        <v>-6925</v>
      </c>
      <c r="H89" s="394">
        <f t="shared" si="26"/>
        <v>-7251</v>
      </c>
      <c r="I89" s="394">
        <f t="shared" si="26"/>
        <v>0</v>
      </c>
      <c r="J89" s="394">
        <f t="shared" si="26"/>
        <v>0</v>
      </c>
      <c r="K89" s="394">
        <f t="shared" si="26"/>
        <v>0</v>
      </c>
      <c r="L89" s="602">
        <f aca="true" t="shared" si="27" ref="L89:N90">SUM(C89+F89+I89)</f>
        <v>-189296</v>
      </c>
      <c r="M89" s="357">
        <f t="shared" si="27"/>
        <v>-202161</v>
      </c>
      <c r="N89" s="578">
        <f t="shared" si="27"/>
        <v>-194069</v>
      </c>
    </row>
    <row r="90" spans="1:14" ht="27" customHeight="1" thickBot="1">
      <c r="A90" s="355">
        <v>19</v>
      </c>
      <c r="B90" s="459" t="s">
        <v>930</v>
      </c>
      <c r="C90" s="394">
        <f>C53-C82</f>
        <v>183051</v>
      </c>
      <c r="D90" s="394">
        <f aca="true" t="shared" si="28" ref="D90:K90">D53-D82</f>
        <v>195236</v>
      </c>
      <c r="E90" s="394">
        <f t="shared" si="28"/>
        <v>187183</v>
      </c>
      <c r="F90" s="394">
        <f t="shared" si="28"/>
        <v>6245</v>
      </c>
      <c r="G90" s="394">
        <f t="shared" si="28"/>
        <v>6925</v>
      </c>
      <c r="H90" s="394">
        <f t="shared" si="28"/>
        <v>6925</v>
      </c>
      <c r="I90" s="394">
        <f t="shared" si="28"/>
        <v>0</v>
      </c>
      <c r="J90" s="394">
        <f t="shared" si="28"/>
        <v>0</v>
      </c>
      <c r="K90" s="394">
        <f t="shared" si="28"/>
        <v>0</v>
      </c>
      <c r="L90" s="602">
        <f t="shared" si="27"/>
        <v>189296</v>
      </c>
      <c r="M90" s="357">
        <f t="shared" si="27"/>
        <v>202161</v>
      </c>
      <c r="N90" s="578">
        <f t="shared" si="27"/>
        <v>194108</v>
      </c>
    </row>
    <row r="95" spans="1:14" ht="15.75">
      <c r="A95" s="1213" t="s">
        <v>937</v>
      </c>
      <c r="B95" s="1213"/>
      <c r="C95" s="1213"/>
      <c r="D95" s="1213"/>
      <c r="E95" s="1213"/>
      <c r="F95" s="1213"/>
      <c r="G95" s="1213"/>
      <c r="H95" s="1213"/>
      <c r="I95" s="1213"/>
      <c r="J95" s="1213"/>
      <c r="K95" s="1213"/>
      <c r="L95" s="1213"/>
      <c r="M95" s="1213"/>
      <c r="N95" s="1213"/>
    </row>
    <row r="96" spans="1:14" ht="16.5" thickBot="1">
      <c r="A96" s="551"/>
      <c r="B96" s="551"/>
      <c r="C96" s="552"/>
      <c r="D96" s="550"/>
      <c r="E96" s="541"/>
      <c r="F96" s="552"/>
      <c r="G96" s="550"/>
      <c r="H96" s="541"/>
      <c r="I96" s="552"/>
      <c r="J96" s="550"/>
      <c r="K96" s="541"/>
      <c r="L96" s="552"/>
      <c r="M96" s="550"/>
      <c r="N96" s="541"/>
    </row>
    <row r="97" spans="1:14" s="348" customFormat="1" ht="13.5" thickBot="1">
      <c r="A97" s="838">
        <v>20</v>
      </c>
      <c r="B97" s="839" t="s">
        <v>935</v>
      </c>
      <c r="C97" s="836">
        <v>41</v>
      </c>
      <c r="D97" s="836">
        <v>44</v>
      </c>
      <c r="E97" s="836">
        <v>45</v>
      </c>
      <c r="F97" s="836">
        <v>0</v>
      </c>
      <c r="G97" s="836">
        <v>0</v>
      </c>
      <c r="H97" s="836">
        <v>0</v>
      </c>
      <c r="I97" s="836">
        <v>0</v>
      </c>
      <c r="J97" s="836">
        <v>0</v>
      </c>
      <c r="K97" s="836">
        <v>0</v>
      </c>
      <c r="L97" s="840">
        <f aca="true" t="shared" si="29" ref="L97:N98">SUM(C97+F97+I97)</f>
        <v>41</v>
      </c>
      <c r="M97" s="841">
        <f t="shared" si="29"/>
        <v>44</v>
      </c>
      <c r="N97" s="842">
        <f t="shared" si="29"/>
        <v>45</v>
      </c>
    </row>
    <row r="98" spans="1:14" s="348" customFormat="1" ht="13.5" thickBot="1">
      <c r="A98" s="838">
        <v>21</v>
      </c>
      <c r="B98" s="839" t="s">
        <v>936</v>
      </c>
      <c r="C98" s="836">
        <v>0</v>
      </c>
      <c r="D98" s="836">
        <v>0</v>
      </c>
      <c r="E98" s="836">
        <v>0</v>
      </c>
      <c r="F98" s="836">
        <v>0</v>
      </c>
      <c r="G98" s="836">
        <v>0</v>
      </c>
      <c r="H98" s="836">
        <v>0</v>
      </c>
      <c r="I98" s="836">
        <v>0</v>
      </c>
      <c r="J98" s="836">
        <v>0</v>
      </c>
      <c r="K98" s="836">
        <v>0</v>
      </c>
      <c r="L98" s="840">
        <f t="shared" si="29"/>
        <v>0</v>
      </c>
      <c r="M98" s="841">
        <f t="shared" si="29"/>
        <v>0</v>
      </c>
      <c r="N98" s="842">
        <f t="shared" si="29"/>
        <v>0</v>
      </c>
    </row>
  </sheetData>
  <sheetProtection/>
  <mergeCells count="26">
    <mergeCell ref="A95:N95"/>
    <mergeCell ref="F8:H8"/>
    <mergeCell ref="I8:K8"/>
    <mergeCell ref="L8:N8"/>
    <mergeCell ref="A58:N58"/>
    <mergeCell ref="A60:A62"/>
    <mergeCell ref="B60:B62"/>
    <mergeCell ref="C60:E60"/>
    <mergeCell ref="F60:H60"/>
    <mergeCell ref="I60:K60"/>
    <mergeCell ref="L60:N60"/>
    <mergeCell ref="C61:E61"/>
    <mergeCell ref="F61:H61"/>
    <mergeCell ref="I61:K61"/>
    <mergeCell ref="L61:N61"/>
    <mergeCell ref="A87:N87"/>
    <mergeCell ref="B3:N3"/>
    <mergeCell ref="B4:E4"/>
    <mergeCell ref="B5:N5"/>
    <mergeCell ref="A7:A9"/>
    <mergeCell ref="B7:B9"/>
    <mergeCell ref="C7:E7"/>
    <mergeCell ref="F7:H7"/>
    <mergeCell ref="I7:K7"/>
    <mergeCell ref="L7:N7"/>
    <mergeCell ref="C8:E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5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61"/>
  <sheetViews>
    <sheetView zoomScalePageLayoutView="0" workbookViewId="0" topLeftCell="A1">
      <selection activeCell="C2" sqref="C2:K2"/>
    </sheetView>
  </sheetViews>
  <sheetFormatPr defaultColWidth="8.875" defaultRowHeight="12.75"/>
  <cols>
    <col min="1" max="1" width="6.625" style="76" bestFit="1" customWidth="1"/>
    <col min="2" max="2" width="4.125" style="179" bestFit="1" customWidth="1"/>
    <col min="3" max="3" width="46.625" style="96" customWidth="1"/>
    <col min="4" max="5" width="10.75390625" style="76" customWidth="1"/>
    <col min="6" max="6" width="10.875" style="76" customWidth="1"/>
    <col min="7" max="7" width="9.75390625" style="76" customWidth="1"/>
    <col min="8" max="10" width="10.75390625" style="76" customWidth="1"/>
    <col min="11" max="11" width="9.75390625" style="76" customWidth="1"/>
    <col min="12" max="16384" width="8.875" style="76" customWidth="1"/>
  </cols>
  <sheetData>
    <row r="1" spans="3:11" ht="12.75">
      <c r="C1" s="94"/>
      <c r="D1" s="77"/>
      <c r="E1" s="77"/>
      <c r="F1" s="77"/>
      <c r="G1" s="77"/>
      <c r="H1" s="1218" t="s">
        <v>1473</v>
      </c>
      <c r="I1" s="1219"/>
      <c r="J1" s="1219"/>
      <c r="K1" s="1219"/>
    </row>
    <row r="2" spans="3:11" ht="12.75">
      <c r="C2" s="1220" t="s">
        <v>1428</v>
      </c>
      <c r="D2" s="1220"/>
      <c r="E2" s="1220"/>
      <c r="F2" s="1220"/>
      <c r="G2" s="1220"/>
      <c r="H2" s="1220"/>
      <c r="I2" s="1220"/>
      <c r="J2" s="1220"/>
      <c r="K2" s="1220"/>
    </row>
    <row r="3" spans="3:11" ht="12.75" thickBot="1">
      <c r="C3" s="94"/>
      <c r="D3" s="77"/>
      <c r="E3" s="77"/>
      <c r="F3" s="77"/>
      <c r="G3" s="77"/>
      <c r="H3" s="77"/>
      <c r="I3" s="77"/>
      <c r="J3" s="77"/>
      <c r="K3" s="77" t="s">
        <v>14</v>
      </c>
    </row>
    <row r="4" spans="2:11" s="78" customFormat="1" ht="12.75" customHeight="1">
      <c r="B4" s="1215" t="s">
        <v>220</v>
      </c>
      <c r="C4" s="1221" t="s">
        <v>11</v>
      </c>
      <c r="D4" s="1223" t="s">
        <v>13</v>
      </c>
      <c r="E4" s="1224"/>
      <c r="F4" s="1224"/>
      <c r="G4" s="1225"/>
      <c r="H4" s="1226" t="s">
        <v>39</v>
      </c>
      <c r="I4" s="1224"/>
      <c r="J4" s="1224"/>
      <c r="K4" s="1225"/>
    </row>
    <row r="5" spans="2:11" s="79" customFormat="1" ht="21">
      <c r="B5" s="1216"/>
      <c r="C5" s="1222"/>
      <c r="D5" s="80" t="s">
        <v>37</v>
      </c>
      <c r="E5" s="81" t="s">
        <v>38</v>
      </c>
      <c r="F5" s="81" t="s">
        <v>40</v>
      </c>
      <c r="G5" s="82" t="s">
        <v>41</v>
      </c>
      <c r="H5" s="80" t="s">
        <v>37</v>
      </c>
      <c r="I5" s="81" t="s">
        <v>38</v>
      </c>
      <c r="J5" s="81" t="s">
        <v>40</v>
      </c>
      <c r="K5" s="82" t="s">
        <v>42</v>
      </c>
    </row>
    <row r="6" spans="2:11" s="79" customFormat="1" ht="12">
      <c r="B6" s="1217"/>
      <c r="C6" s="95" t="s">
        <v>221</v>
      </c>
      <c r="D6" s="84" t="s">
        <v>222</v>
      </c>
      <c r="E6" s="84" t="s">
        <v>223</v>
      </c>
      <c r="F6" s="84" t="s">
        <v>224</v>
      </c>
      <c r="G6" s="85" t="s">
        <v>225</v>
      </c>
      <c r="H6" s="83" t="s">
        <v>226</v>
      </c>
      <c r="I6" s="84" t="s">
        <v>227</v>
      </c>
      <c r="J6" s="84" t="s">
        <v>228</v>
      </c>
      <c r="K6" s="85" t="s">
        <v>229</v>
      </c>
    </row>
    <row r="7" spans="2:11" s="79" customFormat="1" ht="12">
      <c r="B7" s="87">
        <v>1</v>
      </c>
      <c r="C7" s="648" t="s">
        <v>0</v>
      </c>
      <c r="D7" s="650">
        <v>63497</v>
      </c>
      <c r="E7" s="651">
        <f>194721+700</f>
        <v>195421</v>
      </c>
      <c r="F7" s="652">
        <f>130259+700</f>
        <v>130959</v>
      </c>
      <c r="G7" s="89">
        <f>F7/E7*100</f>
        <v>67.01378050465405</v>
      </c>
      <c r="H7" s="650">
        <v>42155</v>
      </c>
      <c r="I7" s="651">
        <f>297686+708</f>
        <v>298394</v>
      </c>
      <c r="J7" s="651">
        <f>272566+700</f>
        <v>273266</v>
      </c>
      <c r="K7" s="89">
        <f>J7/I7*100</f>
        <v>91.57891914716784</v>
      </c>
    </row>
    <row r="8" spans="2:11" s="79" customFormat="1" ht="12">
      <c r="B8" s="646">
        <v>2</v>
      </c>
      <c r="C8" s="648" t="s">
        <v>1059</v>
      </c>
      <c r="D8" s="650">
        <v>12456</v>
      </c>
      <c r="E8" s="651">
        <v>12456</v>
      </c>
      <c r="F8" s="651">
        <v>12409</v>
      </c>
      <c r="G8" s="89">
        <f>F8/E8*100</f>
        <v>99.62267180475273</v>
      </c>
      <c r="H8" s="650">
        <v>5818</v>
      </c>
      <c r="I8" s="651">
        <v>5820</v>
      </c>
      <c r="J8" s="651">
        <v>5605</v>
      </c>
      <c r="K8" s="89">
        <f aca="true" t="shared" si="0" ref="K8:K61">J8/I8*100</f>
        <v>96.30584192439862</v>
      </c>
    </row>
    <row r="9" spans="2:11" s="79" customFormat="1" ht="24">
      <c r="B9" s="646">
        <v>3</v>
      </c>
      <c r="C9" s="767" t="s">
        <v>1233</v>
      </c>
      <c r="D9" s="650">
        <v>168900</v>
      </c>
      <c r="E9" s="651">
        <v>172404</v>
      </c>
      <c r="F9" s="652">
        <v>191351</v>
      </c>
      <c r="G9" s="89">
        <f>F9/E9*100</f>
        <v>110.98988422542399</v>
      </c>
      <c r="H9" s="650">
        <v>0</v>
      </c>
      <c r="I9" s="651">
        <v>0</v>
      </c>
      <c r="J9" s="651">
        <v>0</v>
      </c>
      <c r="K9" s="88" t="s">
        <v>45</v>
      </c>
    </row>
    <row r="10" spans="2:11" s="79" customFormat="1" ht="12">
      <c r="B10" s="646">
        <v>4</v>
      </c>
      <c r="C10" s="763" t="s">
        <v>1186</v>
      </c>
      <c r="D10" s="650">
        <v>0</v>
      </c>
      <c r="E10" s="651">
        <v>0</v>
      </c>
      <c r="F10" s="651">
        <v>0</v>
      </c>
      <c r="G10" s="88" t="s">
        <v>45</v>
      </c>
      <c r="H10" s="650">
        <v>100</v>
      </c>
      <c r="I10" s="651">
        <v>100</v>
      </c>
      <c r="J10" s="651">
        <v>100</v>
      </c>
      <c r="K10" s="89">
        <f t="shared" si="0"/>
        <v>100</v>
      </c>
    </row>
    <row r="11" spans="2:11" s="79" customFormat="1" ht="12">
      <c r="B11" s="646">
        <v>5</v>
      </c>
      <c r="C11" s="181" t="s">
        <v>1</v>
      </c>
      <c r="D11" s="650">
        <v>57717</v>
      </c>
      <c r="E11" s="651">
        <v>55038</v>
      </c>
      <c r="F11" s="651">
        <v>27783</v>
      </c>
      <c r="G11" s="89">
        <f>F11/E11*100</f>
        <v>50.47966859260874</v>
      </c>
      <c r="H11" s="650">
        <v>73907</v>
      </c>
      <c r="I11" s="651">
        <v>67080</v>
      </c>
      <c r="J11" s="651">
        <v>53744</v>
      </c>
      <c r="K11" s="89">
        <f t="shared" si="0"/>
        <v>80.11926058437686</v>
      </c>
    </row>
    <row r="12" spans="2:11" s="79" customFormat="1" ht="12">
      <c r="B12" s="646">
        <v>6</v>
      </c>
      <c r="C12" s="181" t="s">
        <v>1045</v>
      </c>
      <c r="D12" s="650">
        <v>636</v>
      </c>
      <c r="E12" s="651">
        <v>636</v>
      </c>
      <c r="F12" s="651">
        <v>953</v>
      </c>
      <c r="G12" s="89">
        <f>F12/E12*100</f>
        <v>149.8427672955975</v>
      </c>
      <c r="H12" s="650">
        <v>37828</v>
      </c>
      <c r="I12" s="651">
        <v>44601</v>
      </c>
      <c r="J12" s="651">
        <v>34926</v>
      </c>
      <c r="K12" s="89">
        <f t="shared" si="0"/>
        <v>78.30766126320037</v>
      </c>
    </row>
    <row r="13" spans="2:11" s="79" customFormat="1" ht="12">
      <c r="B13" s="646">
        <v>7</v>
      </c>
      <c r="C13" s="181" t="s">
        <v>59</v>
      </c>
      <c r="D13" s="650">
        <v>0</v>
      </c>
      <c r="E13" s="651">
        <v>3218</v>
      </c>
      <c r="F13" s="651">
        <v>3218</v>
      </c>
      <c r="G13" s="89">
        <f>F13/E13*100</f>
        <v>100</v>
      </c>
      <c r="H13" s="650">
        <v>950</v>
      </c>
      <c r="I13" s="651">
        <v>10115</v>
      </c>
      <c r="J13" s="651">
        <v>7016</v>
      </c>
      <c r="K13" s="89">
        <f t="shared" si="0"/>
        <v>69.36233316856153</v>
      </c>
    </row>
    <row r="14" spans="2:11" s="79" customFormat="1" ht="12">
      <c r="B14" s="646">
        <v>8</v>
      </c>
      <c r="C14" s="181" t="s">
        <v>116</v>
      </c>
      <c r="D14" s="650">
        <v>525185</v>
      </c>
      <c r="E14" s="652">
        <v>553338</v>
      </c>
      <c r="F14" s="651">
        <v>570974</v>
      </c>
      <c r="G14" s="89">
        <f>F14/E14*100</f>
        <v>103.18720203564548</v>
      </c>
      <c r="H14" s="650">
        <v>0</v>
      </c>
      <c r="I14" s="652">
        <v>0</v>
      </c>
      <c r="J14" s="652">
        <v>0</v>
      </c>
      <c r="K14" s="88" t="s">
        <v>45</v>
      </c>
    </row>
    <row r="15" spans="2:11" s="79" customFormat="1" ht="12">
      <c r="B15" s="646">
        <v>9</v>
      </c>
      <c r="C15" s="181" t="s">
        <v>62</v>
      </c>
      <c r="D15" s="650">
        <v>0</v>
      </c>
      <c r="E15" s="651">
        <v>0</v>
      </c>
      <c r="F15" s="651">
        <v>0</v>
      </c>
      <c r="G15" s="88" t="s">
        <v>45</v>
      </c>
      <c r="H15" s="650">
        <v>0</v>
      </c>
      <c r="I15" s="652">
        <v>31717</v>
      </c>
      <c r="J15" s="652">
        <v>31426</v>
      </c>
      <c r="K15" s="89">
        <f t="shared" si="0"/>
        <v>99.08251095626952</v>
      </c>
    </row>
    <row r="16" spans="2:11" s="79" customFormat="1" ht="12">
      <c r="B16" s="646">
        <v>10</v>
      </c>
      <c r="C16" s="181" t="s">
        <v>1046</v>
      </c>
      <c r="D16" s="650">
        <v>3569</v>
      </c>
      <c r="E16" s="651">
        <f>125715+12783</f>
        <v>138498</v>
      </c>
      <c r="F16" s="651">
        <v>138498</v>
      </c>
      <c r="G16" s="89">
        <f>F16/E16*100</f>
        <v>100</v>
      </c>
      <c r="H16" s="764">
        <v>381587</v>
      </c>
      <c r="I16" s="651">
        <v>350683</v>
      </c>
      <c r="J16" s="651">
        <v>350682</v>
      </c>
      <c r="K16" s="89">
        <f t="shared" si="0"/>
        <v>99.9997148421794</v>
      </c>
    </row>
    <row r="17" spans="2:11" s="79" customFormat="1" ht="12">
      <c r="B17" s="646">
        <v>11</v>
      </c>
      <c r="C17" s="181" t="s">
        <v>1047</v>
      </c>
      <c r="D17" s="650">
        <v>0</v>
      </c>
      <c r="E17" s="651">
        <v>2609</v>
      </c>
      <c r="F17" s="651">
        <v>2608</v>
      </c>
      <c r="G17" s="89">
        <f>F17/E17*100</f>
        <v>99.9616711383672</v>
      </c>
      <c r="H17" s="650">
        <v>0</v>
      </c>
      <c r="I17" s="651">
        <v>0</v>
      </c>
      <c r="J17" s="651">
        <v>0</v>
      </c>
      <c r="K17" s="88" t="s">
        <v>45</v>
      </c>
    </row>
    <row r="18" spans="2:11" s="79" customFormat="1" ht="12">
      <c r="B18" s="646">
        <v>12</v>
      </c>
      <c r="C18" s="181" t="s">
        <v>1048</v>
      </c>
      <c r="D18" s="650">
        <v>29532</v>
      </c>
      <c r="E18" s="651">
        <v>29532</v>
      </c>
      <c r="F18" s="651">
        <v>29534</v>
      </c>
      <c r="G18" s="89">
        <f>F18/E18*100</f>
        <v>100.0067723147772</v>
      </c>
      <c r="H18" s="650">
        <v>37532</v>
      </c>
      <c r="I18" s="651">
        <v>37955</v>
      </c>
      <c r="J18" s="651">
        <v>36721</v>
      </c>
      <c r="K18" s="89">
        <f t="shared" si="0"/>
        <v>96.74878145171914</v>
      </c>
    </row>
    <row r="19" spans="2:11" s="79" customFormat="1" ht="12">
      <c r="B19" s="646">
        <v>13</v>
      </c>
      <c r="C19" s="181" t="s">
        <v>1049</v>
      </c>
      <c r="D19" s="650">
        <v>303</v>
      </c>
      <c r="E19" s="651">
        <v>303</v>
      </c>
      <c r="F19" s="651">
        <v>354</v>
      </c>
      <c r="G19" s="89">
        <f>F19/E19*100</f>
        <v>116.83168316831683</v>
      </c>
      <c r="H19" s="650">
        <v>303</v>
      </c>
      <c r="I19" s="651">
        <v>303</v>
      </c>
      <c r="J19" s="651">
        <v>295</v>
      </c>
      <c r="K19" s="89">
        <f t="shared" si="0"/>
        <v>97.35973597359737</v>
      </c>
    </row>
    <row r="20" spans="2:11" s="79" customFormat="1" ht="12">
      <c r="B20" s="87">
        <v>14</v>
      </c>
      <c r="C20" s="181" t="s">
        <v>1187</v>
      </c>
      <c r="D20" s="650">
        <v>24353</v>
      </c>
      <c r="E20" s="651">
        <v>18708</v>
      </c>
      <c r="F20" s="651">
        <v>19264</v>
      </c>
      <c r="G20" s="89">
        <f>F20/E20*100</f>
        <v>102.97199059225998</v>
      </c>
      <c r="H20" s="650">
        <v>24353</v>
      </c>
      <c r="I20" s="651">
        <v>24539</v>
      </c>
      <c r="J20" s="651">
        <v>23746</v>
      </c>
      <c r="K20" s="89">
        <f>J20/I20*100</f>
        <v>96.76840947063857</v>
      </c>
    </row>
    <row r="21" spans="2:11" s="79" customFormat="1" ht="12">
      <c r="B21" s="646">
        <v>15</v>
      </c>
      <c r="C21" s="181" t="s">
        <v>1188</v>
      </c>
      <c r="D21" s="650">
        <v>104957</v>
      </c>
      <c r="E21" s="651">
        <v>0</v>
      </c>
      <c r="F21" s="651">
        <v>0</v>
      </c>
      <c r="G21" s="88" t="s">
        <v>45</v>
      </c>
      <c r="H21" s="650">
        <v>105677</v>
      </c>
      <c r="I21" s="651">
        <v>0</v>
      </c>
      <c r="J21" s="651">
        <v>0</v>
      </c>
      <c r="K21" s="88" t="s">
        <v>45</v>
      </c>
    </row>
    <row r="22" spans="2:11" s="79" customFormat="1" ht="12">
      <c r="B22" s="646">
        <v>16</v>
      </c>
      <c r="C22" s="181" t="s">
        <v>33</v>
      </c>
      <c r="D22" s="650">
        <v>24756</v>
      </c>
      <c r="E22" s="651">
        <v>18294</v>
      </c>
      <c r="F22" s="651">
        <v>17778</v>
      </c>
      <c r="G22" s="89">
        <f>F22/E22*100</f>
        <v>97.17940308297803</v>
      </c>
      <c r="H22" s="650">
        <v>24756</v>
      </c>
      <c r="I22" s="651">
        <v>30250</v>
      </c>
      <c r="J22" s="651">
        <v>29624</v>
      </c>
      <c r="K22" s="89">
        <f t="shared" si="0"/>
        <v>97.93057851239669</v>
      </c>
    </row>
    <row r="23" spans="2:11" s="79" customFormat="1" ht="12">
      <c r="B23" s="646">
        <v>17</v>
      </c>
      <c r="C23" s="648" t="s">
        <v>170</v>
      </c>
      <c r="D23" s="650">
        <v>0</v>
      </c>
      <c r="E23" s="651">
        <v>0</v>
      </c>
      <c r="F23" s="651">
        <v>0</v>
      </c>
      <c r="G23" s="88" t="s">
        <v>45</v>
      </c>
      <c r="H23" s="650">
        <v>7817</v>
      </c>
      <c r="I23" s="651">
        <v>7817</v>
      </c>
      <c r="J23" s="651">
        <v>7817</v>
      </c>
      <c r="K23" s="89">
        <f t="shared" si="0"/>
        <v>100</v>
      </c>
    </row>
    <row r="24" spans="2:11" s="79" customFormat="1" ht="12">
      <c r="B24" s="646">
        <v>18</v>
      </c>
      <c r="C24" s="648" t="s">
        <v>1189</v>
      </c>
      <c r="D24" s="650">
        <v>0</v>
      </c>
      <c r="E24" s="651">
        <v>0</v>
      </c>
      <c r="F24" s="651">
        <v>0</v>
      </c>
      <c r="G24" s="88" t="s">
        <v>45</v>
      </c>
      <c r="H24" s="650">
        <v>250</v>
      </c>
      <c r="I24" s="651">
        <v>250</v>
      </c>
      <c r="J24" s="651">
        <v>0</v>
      </c>
      <c r="K24" s="89">
        <f>J24/I24*100</f>
        <v>0</v>
      </c>
    </row>
    <row r="25" spans="2:11" s="79" customFormat="1" ht="12">
      <c r="B25" s="646">
        <v>19</v>
      </c>
      <c r="C25" s="648" t="s">
        <v>87</v>
      </c>
      <c r="D25" s="650">
        <v>0</v>
      </c>
      <c r="E25" s="651">
        <v>0</v>
      </c>
      <c r="F25" s="651">
        <v>0</v>
      </c>
      <c r="G25" s="88" t="s">
        <v>45</v>
      </c>
      <c r="H25" s="650">
        <v>1000</v>
      </c>
      <c r="I25" s="651">
        <v>1000</v>
      </c>
      <c r="J25" s="651">
        <v>0</v>
      </c>
      <c r="K25" s="89">
        <f t="shared" si="0"/>
        <v>0</v>
      </c>
    </row>
    <row r="26" spans="2:11" s="79" customFormat="1" ht="24">
      <c r="B26" s="646">
        <v>20</v>
      </c>
      <c r="C26" s="649" t="s">
        <v>1050</v>
      </c>
      <c r="D26" s="650">
        <v>0</v>
      </c>
      <c r="E26" s="651">
        <v>0</v>
      </c>
      <c r="F26" s="651">
        <v>0</v>
      </c>
      <c r="G26" s="88" t="s">
        <v>45</v>
      </c>
      <c r="H26" s="650">
        <v>1850</v>
      </c>
      <c r="I26" s="651">
        <v>1850</v>
      </c>
      <c r="J26" s="651">
        <v>1850</v>
      </c>
      <c r="K26" s="89">
        <f t="shared" si="0"/>
        <v>100</v>
      </c>
    </row>
    <row r="27" spans="2:11" s="79" customFormat="1" ht="12">
      <c r="B27" s="646">
        <v>21</v>
      </c>
      <c r="C27" s="648" t="s">
        <v>56</v>
      </c>
      <c r="D27" s="650">
        <v>1007</v>
      </c>
      <c r="E27" s="651">
        <v>1007</v>
      </c>
      <c r="F27" s="651">
        <v>670</v>
      </c>
      <c r="G27" s="89">
        <f>F27/E27*100</f>
        <v>66.53426017874877</v>
      </c>
      <c r="H27" s="650">
        <v>9876</v>
      </c>
      <c r="I27" s="651">
        <v>12907</v>
      </c>
      <c r="J27" s="651">
        <v>12625</v>
      </c>
      <c r="K27" s="89">
        <f t="shared" si="0"/>
        <v>97.81513907182149</v>
      </c>
    </row>
    <row r="28" spans="2:11" s="79" customFormat="1" ht="12">
      <c r="B28" s="646">
        <v>22</v>
      </c>
      <c r="C28" s="181" t="s">
        <v>1051</v>
      </c>
      <c r="D28" s="650">
        <v>1017154</v>
      </c>
      <c r="E28" s="651">
        <v>732535</v>
      </c>
      <c r="F28" s="651">
        <f>615258+1</f>
        <v>615259</v>
      </c>
      <c r="G28" s="89">
        <f>F28/E28*100</f>
        <v>83.99038953770128</v>
      </c>
      <c r="H28" s="650">
        <v>1052835</v>
      </c>
      <c r="I28" s="651">
        <v>804954</v>
      </c>
      <c r="J28" s="651">
        <f>679856+1</f>
        <v>679857</v>
      </c>
      <c r="K28" s="89">
        <f t="shared" si="0"/>
        <v>84.45911194925424</v>
      </c>
    </row>
    <row r="29" spans="2:11" s="79" customFormat="1" ht="12">
      <c r="B29" s="646">
        <v>23</v>
      </c>
      <c r="C29" s="181" t="s">
        <v>1052</v>
      </c>
      <c r="D29" s="650">
        <v>0</v>
      </c>
      <c r="E29" s="651">
        <v>0</v>
      </c>
      <c r="F29" s="651">
        <v>0</v>
      </c>
      <c r="G29" s="88" t="s">
        <v>45</v>
      </c>
      <c r="H29" s="650">
        <v>0</v>
      </c>
      <c r="I29" s="651">
        <v>1364</v>
      </c>
      <c r="J29" s="651">
        <v>1364</v>
      </c>
      <c r="K29" s="89">
        <f t="shared" si="0"/>
        <v>100</v>
      </c>
    </row>
    <row r="30" spans="2:11" s="79" customFormat="1" ht="12">
      <c r="B30" s="646">
        <v>24</v>
      </c>
      <c r="C30" s="181" t="s">
        <v>60</v>
      </c>
      <c r="D30" s="650">
        <v>0</v>
      </c>
      <c r="E30" s="651">
        <v>0</v>
      </c>
      <c r="F30" s="651">
        <v>0</v>
      </c>
      <c r="G30" s="88" t="s">
        <v>45</v>
      </c>
      <c r="H30" s="650">
        <v>22048</v>
      </c>
      <c r="I30" s="651">
        <v>23797</v>
      </c>
      <c r="J30" s="651">
        <v>23381</v>
      </c>
      <c r="K30" s="89">
        <f t="shared" si="0"/>
        <v>98.25188048913729</v>
      </c>
    </row>
    <row r="31" spans="2:11" s="79" customFormat="1" ht="12">
      <c r="B31" s="646">
        <v>25</v>
      </c>
      <c r="C31" s="181" t="s">
        <v>58</v>
      </c>
      <c r="D31" s="650">
        <v>0</v>
      </c>
      <c r="E31" s="651">
        <v>0</v>
      </c>
      <c r="F31" s="651">
        <v>0</v>
      </c>
      <c r="G31" s="88" t="s">
        <v>45</v>
      </c>
      <c r="H31" s="650">
        <v>20653</v>
      </c>
      <c r="I31" s="651">
        <v>26153</v>
      </c>
      <c r="J31" s="651">
        <v>26117</v>
      </c>
      <c r="K31" s="89">
        <f t="shared" si="0"/>
        <v>99.8623484877452</v>
      </c>
    </row>
    <row r="32" spans="2:11" s="79" customFormat="1" ht="12">
      <c r="B32" s="646">
        <v>26</v>
      </c>
      <c r="C32" s="181" t="s">
        <v>61</v>
      </c>
      <c r="D32" s="650">
        <v>439127</v>
      </c>
      <c r="E32" s="651">
        <v>439524</v>
      </c>
      <c r="F32" s="651">
        <v>409683</v>
      </c>
      <c r="G32" s="89">
        <f>F32/E32*100</f>
        <v>93.21060965954078</v>
      </c>
      <c r="H32" s="650">
        <v>436730</v>
      </c>
      <c r="I32" s="651">
        <v>369724</v>
      </c>
      <c r="J32" s="651">
        <v>327652</v>
      </c>
      <c r="K32" s="89">
        <f t="shared" si="0"/>
        <v>88.6207008471184</v>
      </c>
    </row>
    <row r="33" spans="2:11" s="79" customFormat="1" ht="12">
      <c r="B33" s="87">
        <v>27</v>
      </c>
      <c r="C33" s="181" t="s">
        <v>63</v>
      </c>
      <c r="D33" s="650">
        <v>9130</v>
      </c>
      <c r="E33" s="651">
        <v>3721</v>
      </c>
      <c r="F33" s="651">
        <v>3720</v>
      </c>
      <c r="G33" s="89">
        <f>F33/E33*100</f>
        <v>99.9731255038968</v>
      </c>
      <c r="H33" s="650">
        <v>9609</v>
      </c>
      <c r="I33" s="651">
        <v>4203</v>
      </c>
      <c r="J33" s="651">
        <v>4118</v>
      </c>
      <c r="K33" s="89">
        <f t="shared" si="0"/>
        <v>97.97763502260291</v>
      </c>
    </row>
    <row r="34" spans="2:11" s="79" customFormat="1" ht="12">
      <c r="B34" s="646">
        <v>28</v>
      </c>
      <c r="C34" s="181" t="s">
        <v>64</v>
      </c>
      <c r="D34" s="650">
        <v>15752</v>
      </c>
      <c r="E34" s="651">
        <v>15752</v>
      </c>
      <c r="F34" s="651">
        <v>15717</v>
      </c>
      <c r="G34" s="89">
        <f>F34/E34*100</f>
        <v>99.7778059928898</v>
      </c>
      <c r="H34" s="650">
        <v>30866</v>
      </c>
      <c r="I34" s="651">
        <v>34104</v>
      </c>
      <c r="J34" s="651">
        <v>31821</v>
      </c>
      <c r="K34" s="89">
        <f t="shared" si="0"/>
        <v>93.30577058409571</v>
      </c>
    </row>
    <row r="35" spans="2:11" s="79" customFormat="1" ht="12">
      <c r="B35" s="646">
        <v>29</v>
      </c>
      <c r="C35" s="181" t="s">
        <v>65</v>
      </c>
      <c r="D35" s="650">
        <v>0</v>
      </c>
      <c r="E35" s="651">
        <v>0</v>
      </c>
      <c r="F35" s="651">
        <v>0</v>
      </c>
      <c r="G35" s="88" t="s">
        <v>45</v>
      </c>
      <c r="H35" s="650">
        <v>120</v>
      </c>
      <c r="I35" s="651">
        <v>120</v>
      </c>
      <c r="J35" s="651">
        <v>120</v>
      </c>
      <c r="K35" s="89">
        <f t="shared" si="0"/>
        <v>100</v>
      </c>
    </row>
    <row r="36" spans="2:11" s="79" customFormat="1" ht="12">
      <c r="B36" s="646">
        <v>30</v>
      </c>
      <c r="C36" s="181" t="s">
        <v>66</v>
      </c>
      <c r="D36" s="650">
        <v>18000</v>
      </c>
      <c r="E36" s="651">
        <v>18000</v>
      </c>
      <c r="F36" s="651">
        <v>18153</v>
      </c>
      <c r="G36" s="89">
        <f>F36/E36*100</f>
        <v>100.85</v>
      </c>
      <c r="H36" s="650">
        <v>16804</v>
      </c>
      <c r="I36" s="651">
        <v>17635</v>
      </c>
      <c r="J36" s="651">
        <v>16770</v>
      </c>
      <c r="K36" s="89">
        <f t="shared" si="0"/>
        <v>95.09498157074</v>
      </c>
    </row>
    <row r="37" spans="2:11" s="79" customFormat="1" ht="12">
      <c r="B37" s="646">
        <v>31</v>
      </c>
      <c r="C37" s="181" t="s">
        <v>141</v>
      </c>
      <c r="D37" s="650">
        <v>0</v>
      </c>
      <c r="E37" s="651">
        <v>0</v>
      </c>
      <c r="F37" s="651">
        <v>0</v>
      </c>
      <c r="G37" s="88" t="s">
        <v>45</v>
      </c>
      <c r="H37" s="650">
        <v>23917</v>
      </c>
      <c r="I37" s="651">
        <v>39320</v>
      </c>
      <c r="J37" s="651">
        <v>39317</v>
      </c>
      <c r="K37" s="89">
        <f t="shared" si="0"/>
        <v>99.99237029501526</v>
      </c>
    </row>
    <row r="38" spans="2:11" s="79" customFormat="1" ht="12">
      <c r="B38" s="646">
        <v>32</v>
      </c>
      <c r="C38" s="648" t="s">
        <v>57</v>
      </c>
      <c r="D38" s="650">
        <v>0</v>
      </c>
      <c r="E38" s="651">
        <v>0</v>
      </c>
      <c r="F38" s="651">
        <v>0</v>
      </c>
      <c r="G38" s="88" t="s">
        <v>45</v>
      </c>
      <c r="H38" s="650">
        <v>250</v>
      </c>
      <c r="I38" s="651">
        <v>250</v>
      </c>
      <c r="J38" s="651">
        <v>250</v>
      </c>
      <c r="K38" s="89">
        <f t="shared" si="0"/>
        <v>100</v>
      </c>
    </row>
    <row r="39" spans="2:11" s="79" customFormat="1" ht="12">
      <c r="B39" s="646">
        <v>33</v>
      </c>
      <c r="C39" s="181" t="s">
        <v>1190</v>
      </c>
      <c r="D39" s="650">
        <v>17223</v>
      </c>
      <c r="E39" s="651">
        <v>44702</v>
      </c>
      <c r="F39" s="651">
        <v>44706</v>
      </c>
      <c r="G39" s="89">
        <f>F39/E39*100</f>
        <v>100.00894814549686</v>
      </c>
      <c r="H39" s="650">
        <v>3940</v>
      </c>
      <c r="I39" s="651">
        <v>25037</v>
      </c>
      <c r="J39" s="651">
        <v>24826</v>
      </c>
      <c r="K39" s="89">
        <f t="shared" si="0"/>
        <v>99.15724727403443</v>
      </c>
    </row>
    <row r="40" spans="1:11" s="90" customFormat="1" ht="12">
      <c r="A40" s="86"/>
      <c r="B40" s="646">
        <v>34</v>
      </c>
      <c r="C40" s="648" t="s">
        <v>1053</v>
      </c>
      <c r="D40" s="650">
        <v>0</v>
      </c>
      <c r="E40" s="651">
        <v>0</v>
      </c>
      <c r="F40" s="651">
        <v>0</v>
      </c>
      <c r="G40" s="88" t="s">
        <v>45</v>
      </c>
      <c r="H40" s="768">
        <v>1070</v>
      </c>
      <c r="I40" s="768">
        <v>1070</v>
      </c>
      <c r="J40" s="768">
        <v>1070</v>
      </c>
      <c r="K40" s="770">
        <f t="shared" si="0"/>
        <v>100</v>
      </c>
    </row>
    <row r="41" spans="1:11" s="90" customFormat="1" ht="12">
      <c r="A41" s="86"/>
      <c r="B41" s="646">
        <v>35</v>
      </c>
      <c r="C41" s="181" t="s">
        <v>140</v>
      </c>
      <c r="D41" s="650">
        <v>0</v>
      </c>
      <c r="E41" s="651">
        <v>0</v>
      </c>
      <c r="F41" s="651">
        <v>0</v>
      </c>
      <c r="G41" s="88" t="s">
        <v>45</v>
      </c>
      <c r="H41" s="768">
        <v>8025</v>
      </c>
      <c r="I41" s="768">
        <v>8441</v>
      </c>
      <c r="J41" s="768">
        <v>8441</v>
      </c>
      <c r="K41" s="770">
        <f t="shared" si="0"/>
        <v>100</v>
      </c>
    </row>
    <row r="42" spans="1:11" s="90" customFormat="1" ht="12">
      <c r="A42" s="86"/>
      <c r="B42" s="646">
        <v>36</v>
      </c>
      <c r="C42" s="181" t="s">
        <v>1054</v>
      </c>
      <c r="D42" s="650">
        <v>0</v>
      </c>
      <c r="E42" s="651">
        <v>0</v>
      </c>
      <c r="F42" s="651">
        <v>0</v>
      </c>
      <c r="G42" s="88" t="s">
        <v>45</v>
      </c>
      <c r="H42" s="768">
        <v>47</v>
      </c>
      <c r="I42" s="768">
        <v>47</v>
      </c>
      <c r="J42" s="768">
        <v>28</v>
      </c>
      <c r="K42" s="770">
        <f t="shared" si="0"/>
        <v>59.57446808510638</v>
      </c>
    </row>
    <row r="43" spans="1:11" s="90" customFormat="1" ht="27" customHeight="1">
      <c r="A43" s="86"/>
      <c r="B43" s="646">
        <v>37</v>
      </c>
      <c r="C43" s="180" t="s">
        <v>1429</v>
      </c>
      <c r="D43" s="768">
        <v>11195</v>
      </c>
      <c r="E43" s="768">
        <v>14074</v>
      </c>
      <c r="F43" s="768">
        <v>13962</v>
      </c>
      <c r="G43" s="770">
        <f>F43/E43*100</f>
        <v>99.20420633792808</v>
      </c>
      <c r="H43" s="768">
        <v>8966</v>
      </c>
      <c r="I43" s="768">
        <v>22644</v>
      </c>
      <c r="J43" s="768">
        <v>21740</v>
      </c>
      <c r="K43" s="770">
        <f t="shared" si="0"/>
        <v>96.0077724783607</v>
      </c>
    </row>
    <row r="44" spans="1:11" s="90" customFormat="1" ht="12">
      <c r="A44" s="86"/>
      <c r="B44" s="646">
        <v>38</v>
      </c>
      <c r="C44" s="181" t="s">
        <v>1055</v>
      </c>
      <c r="D44" s="768">
        <v>6245</v>
      </c>
      <c r="E44" s="768">
        <v>6925</v>
      </c>
      <c r="F44" s="768">
        <v>6925</v>
      </c>
      <c r="G44" s="769" t="s">
        <v>45</v>
      </c>
      <c r="H44" s="768">
        <v>5500</v>
      </c>
      <c r="I44" s="768">
        <v>5500</v>
      </c>
      <c r="J44" s="768">
        <v>0</v>
      </c>
      <c r="K44" s="770">
        <f t="shared" si="0"/>
        <v>0</v>
      </c>
    </row>
    <row r="45" spans="1:11" s="90" customFormat="1" ht="12">
      <c r="A45" s="86"/>
      <c r="B45" s="646">
        <v>39</v>
      </c>
      <c r="C45" s="648" t="s">
        <v>171</v>
      </c>
      <c r="D45" s="768">
        <v>97395</v>
      </c>
      <c r="E45" s="768">
        <v>97395</v>
      </c>
      <c r="F45" s="768">
        <v>97906</v>
      </c>
      <c r="G45" s="770">
        <f>F45/E45*100</f>
        <v>100.52466759073874</v>
      </c>
      <c r="H45" s="768">
        <v>133812</v>
      </c>
      <c r="I45" s="768">
        <v>140111</v>
      </c>
      <c r="J45" s="768">
        <v>124601</v>
      </c>
      <c r="K45" s="770">
        <f>J45/I45*100</f>
        <v>88.93020533719694</v>
      </c>
    </row>
    <row r="46" spans="1:11" s="90" customFormat="1" ht="12">
      <c r="A46" s="86"/>
      <c r="B46" s="646">
        <v>40</v>
      </c>
      <c r="C46" s="181" t="s">
        <v>1191</v>
      </c>
      <c r="D46" s="768">
        <v>0</v>
      </c>
      <c r="E46" s="768">
        <v>345</v>
      </c>
      <c r="F46" s="768">
        <v>605</v>
      </c>
      <c r="G46" s="770">
        <f>F46/E46*100</f>
        <v>175.36231884057972</v>
      </c>
      <c r="H46" s="768">
        <v>32413</v>
      </c>
      <c r="I46" s="768">
        <v>26713</v>
      </c>
      <c r="J46" s="768">
        <v>24365</v>
      </c>
      <c r="K46" s="770">
        <f t="shared" si="0"/>
        <v>91.21027215213566</v>
      </c>
    </row>
    <row r="47" spans="1:11" s="90" customFormat="1" ht="12">
      <c r="A47" s="86"/>
      <c r="B47" s="646">
        <v>41</v>
      </c>
      <c r="C47" s="181" t="s">
        <v>1192</v>
      </c>
      <c r="D47" s="650">
        <v>0</v>
      </c>
      <c r="E47" s="651">
        <v>0</v>
      </c>
      <c r="F47" s="651">
        <v>0</v>
      </c>
      <c r="G47" s="88" t="s">
        <v>45</v>
      </c>
      <c r="H47" s="768">
        <v>6501</v>
      </c>
      <c r="I47" s="768">
        <v>6501</v>
      </c>
      <c r="J47" s="768">
        <v>6501</v>
      </c>
      <c r="K47" s="770">
        <f t="shared" si="0"/>
        <v>100</v>
      </c>
    </row>
    <row r="48" spans="1:11" s="90" customFormat="1" ht="12">
      <c r="A48" s="86"/>
      <c r="B48" s="646">
        <v>42</v>
      </c>
      <c r="C48" s="181" t="s">
        <v>138</v>
      </c>
      <c r="D48" s="650">
        <v>0</v>
      </c>
      <c r="E48" s="651">
        <v>0</v>
      </c>
      <c r="F48" s="651">
        <v>0</v>
      </c>
      <c r="G48" s="88" t="s">
        <v>45</v>
      </c>
      <c r="H48" s="768">
        <v>18174</v>
      </c>
      <c r="I48" s="768">
        <v>18174</v>
      </c>
      <c r="J48" s="768">
        <v>18174</v>
      </c>
      <c r="K48" s="770">
        <f t="shared" si="0"/>
        <v>100</v>
      </c>
    </row>
    <row r="49" spans="1:11" s="90" customFormat="1" ht="12">
      <c r="A49" s="86"/>
      <c r="B49" s="646">
        <v>43</v>
      </c>
      <c r="C49" s="181" t="s">
        <v>1057</v>
      </c>
      <c r="D49" s="650">
        <v>0</v>
      </c>
      <c r="E49" s="651">
        <v>0</v>
      </c>
      <c r="F49" s="651">
        <v>0</v>
      </c>
      <c r="G49" s="88" t="s">
        <v>45</v>
      </c>
      <c r="H49" s="768">
        <v>1509</v>
      </c>
      <c r="I49" s="768">
        <v>1509</v>
      </c>
      <c r="J49" s="768">
        <v>1509</v>
      </c>
      <c r="K49" s="770">
        <f t="shared" si="0"/>
        <v>100</v>
      </c>
    </row>
    <row r="50" spans="1:11" s="90" customFormat="1" ht="12">
      <c r="A50" s="86"/>
      <c r="B50" s="646">
        <v>44</v>
      </c>
      <c r="C50" s="181" t="s">
        <v>1058</v>
      </c>
      <c r="D50" s="650">
        <v>0</v>
      </c>
      <c r="E50" s="651">
        <v>0</v>
      </c>
      <c r="F50" s="651">
        <v>0</v>
      </c>
      <c r="G50" s="88" t="s">
        <v>45</v>
      </c>
      <c r="H50" s="768">
        <v>3405</v>
      </c>
      <c r="I50" s="768">
        <v>3405</v>
      </c>
      <c r="J50" s="768">
        <v>3405</v>
      </c>
      <c r="K50" s="770">
        <f t="shared" si="0"/>
        <v>100</v>
      </c>
    </row>
    <row r="51" spans="1:11" s="90" customFormat="1" ht="12">
      <c r="A51" s="86"/>
      <c r="B51" s="646">
        <v>45</v>
      </c>
      <c r="C51" s="181" t="s">
        <v>139</v>
      </c>
      <c r="D51" s="650">
        <v>0</v>
      </c>
      <c r="E51" s="651">
        <v>0</v>
      </c>
      <c r="F51" s="651">
        <v>0</v>
      </c>
      <c r="G51" s="88" t="s">
        <v>45</v>
      </c>
      <c r="H51" s="768">
        <v>7174</v>
      </c>
      <c r="I51" s="768">
        <v>7841</v>
      </c>
      <c r="J51" s="768">
        <v>7631</v>
      </c>
      <c r="K51" s="770">
        <f t="shared" si="0"/>
        <v>97.3217701823747</v>
      </c>
    </row>
    <row r="52" spans="1:11" s="90" customFormat="1" ht="12">
      <c r="A52" s="86"/>
      <c r="B52" s="646">
        <v>46</v>
      </c>
      <c r="C52" s="648" t="s">
        <v>34</v>
      </c>
      <c r="D52" s="650">
        <v>0</v>
      </c>
      <c r="E52" s="651">
        <v>0</v>
      </c>
      <c r="F52" s="651">
        <v>0</v>
      </c>
      <c r="G52" s="88" t="s">
        <v>45</v>
      </c>
      <c r="H52" s="768">
        <v>3017</v>
      </c>
      <c r="I52" s="768">
        <v>3032</v>
      </c>
      <c r="J52" s="768">
        <v>3032</v>
      </c>
      <c r="K52" s="770">
        <f t="shared" si="0"/>
        <v>100</v>
      </c>
    </row>
    <row r="53" spans="1:11" s="90" customFormat="1" ht="12">
      <c r="A53" s="86"/>
      <c r="B53" s="646">
        <v>47</v>
      </c>
      <c r="C53" s="648" t="s">
        <v>7</v>
      </c>
      <c r="D53" s="650">
        <v>0</v>
      </c>
      <c r="E53" s="651">
        <v>0</v>
      </c>
      <c r="F53" s="651">
        <v>0</v>
      </c>
      <c r="G53" s="88" t="s">
        <v>45</v>
      </c>
      <c r="H53" s="768">
        <v>9179</v>
      </c>
      <c r="I53" s="768">
        <v>11179</v>
      </c>
      <c r="J53" s="768">
        <v>9179</v>
      </c>
      <c r="K53" s="770">
        <f t="shared" si="0"/>
        <v>82.10931210305036</v>
      </c>
    </row>
    <row r="54" spans="1:11" s="90" customFormat="1" ht="12">
      <c r="A54" s="86"/>
      <c r="B54" s="646">
        <v>48</v>
      </c>
      <c r="C54" s="648" t="s">
        <v>1056</v>
      </c>
      <c r="D54" s="771">
        <v>12276</v>
      </c>
      <c r="E54" s="768">
        <v>8889</v>
      </c>
      <c r="F54" s="768">
        <v>8889</v>
      </c>
      <c r="G54" s="770">
        <f>F54/E54*100</f>
        <v>100</v>
      </c>
      <c r="H54" s="650">
        <v>0</v>
      </c>
      <c r="I54" s="651">
        <v>0</v>
      </c>
      <c r="J54" s="651">
        <v>0</v>
      </c>
      <c r="K54" s="88" t="s">
        <v>45</v>
      </c>
    </row>
    <row r="55" spans="1:11" s="90" customFormat="1" ht="12">
      <c r="A55" s="86"/>
      <c r="B55" s="646">
        <v>49</v>
      </c>
      <c r="C55" s="648" t="s">
        <v>1193</v>
      </c>
      <c r="D55" s="771">
        <v>270</v>
      </c>
      <c r="E55" s="768">
        <v>331</v>
      </c>
      <c r="F55" s="768">
        <v>778</v>
      </c>
      <c r="G55" s="770">
        <f>F55/E55*100</f>
        <v>235.04531722054384</v>
      </c>
      <c r="H55" s="768">
        <v>2800</v>
      </c>
      <c r="I55" s="768">
        <v>4130</v>
      </c>
      <c r="J55" s="768">
        <v>2751</v>
      </c>
      <c r="K55" s="770">
        <f t="shared" si="0"/>
        <v>66.61016949152543</v>
      </c>
    </row>
    <row r="56" spans="1:11" s="90" customFormat="1" ht="12">
      <c r="A56" s="86"/>
      <c r="B56" s="646">
        <v>50</v>
      </c>
      <c r="C56" s="181" t="s">
        <v>1194</v>
      </c>
      <c r="D56" s="774" t="s">
        <v>45</v>
      </c>
      <c r="E56" s="775" t="s">
        <v>45</v>
      </c>
      <c r="F56" s="775" t="s">
        <v>45</v>
      </c>
      <c r="G56" s="776" t="s">
        <v>45</v>
      </c>
      <c r="H56" s="772">
        <v>47131</v>
      </c>
      <c r="I56" s="773">
        <v>52193</v>
      </c>
      <c r="J56" s="774" t="s">
        <v>45</v>
      </c>
      <c r="K56" s="769" t="s">
        <v>45</v>
      </c>
    </row>
    <row r="57" spans="1:11" s="90" customFormat="1" ht="12">
      <c r="A57" s="86"/>
      <c r="B57" s="646">
        <v>51</v>
      </c>
      <c r="C57" s="181" t="s">
        <v>1195</v>
      </c>
      <c r="D57" s="772">
        <v>9302</v>
      </c>
      <c r="E57" s="772">
        <v>9386</v>
      </c>
      <c r="F57" s="772">
        <v>11306</v>
      </c>
      <c r="G57" s="770">
        <f>F57/E57*100</f>
        <v>120.45599829533347</v>
      </c>
      <c r="H57" s="772">
        <v>7683</v>
      </c>
      <c r="I57" s="773">
        <v>8509</v>
      </c>
      <c r="J57" s="773">
        <v>7403</v>
      </c>
      <c r="K57" s="770">
        <f>J57/I57*100</f>
        <v>87.00199788459278</v>
      </c>
    </row>
    <row r="58" spans="1:11" s="90" customFormat="1" ht="24">
      <c r="A58" s="86"/>
      <c r="B58" s="646">
        <v>52</v>
      </c>
      <c r="C58" s="649" t="s">
        <v>1430</v>
      </c>
      <c r="D58" s="771">
        <v>0</v>
      </c>
      <c r="E58" s="768">
        <v>123644</v>
      </c>
      <c r="F58" s="768">
        <v>123644</v>
      </c>
      <c r="G58" s="770">
        <f>F58/E58*100</f>
        <v>100</v>
      </c>
      <c r="H58" s="768">
        <v>0</v>
      </c>
      <c r="I58" s="768">
        <v>123644</v>
      </c>
      <c r="J58" s="768">
        <v>123644</v>
      </c>
      <c r="K58" s="770">
        <f t="shared" si="0"/>
        <v>100</v>
      </c>
    </row>
    <row r="59" spans="1:11" s="92" customFormat="1" ht="12">
      <c r="A59" s="91"/>
      <c r="B59" s="646">
        <v>53</v>
      </c>
      <c r="C59" s="181" t="s">
        <v>8</v>
      </c>
      <c r="D59" s="777">
        <f>SUM(D7:D58)</f>
        <v>2669937</v>
      </c>
      <c r="E59" s="777">
        <f>SUM(E7:E58)</f>
        <v>2716685</v>
      </c>
      <c r="F59" s="777">
        <f>SUM(F7:F58)</f>
        <v>2517606</v>
      </c>
      <c r="G59" s="770">
        <f>F59/E59*100</f>
        <v>92.67198810314777</v>
      </c>
      <c r="H59" s="778">
        <f>SUM(H7:H58)</f>
        <v>2669937</v>
      </c>
      <c r="I59" s="778">
        <f>SUM(I7:I58)</f>
        <v>2716685</v>
      </c>
      <c r="J59" s="778">
        <f>SUM(J7:J58)</f>
        <v>2408510</v>
      </c>
      <c r="K59" s="770">
        <f t="shared" si="0"/>
        <v>88.65621152249894</v>
      </c>
    </row>
    <row r="60" spans="1:11" s="90" customFormat="1" ht="12.75" thickBot="1">
      <c r="A60" s="86"/>
      <c r="B60" s="872">
        <v>54</v>
      </c>
      <c r="C60" s="182" t="s">
        <v>43</v>
      </c>
      <c r="D60" s="779"/>
      <c r="E60" s="779"/>
      <c r="F60" s="779"/>
      <c r="G60" s="770"/>
      <c r="H60" s="780">
        <v>-381587</v>
      </c>
      <c r="I60" s="779">
        <v>-350683</v>
      </c>
      <c r="J60" s="779">
        <v>-350682</v>
      </c>
      <c r="K60" s="781">
        <f t="shared" si="0"/>
        <v>99.9997148421794</v>
      </c>
    </row>
    <row r="61" spans="1:11" s="92" customFormat="1" ht="12.75" thickBot="1">
      <c r="A61" s="91"/>
      <c r="B61" s="93">
        <v>55</v>
      </c>
      <c r="C61" s="183" t="s">
        <v>9</v>
      </c>
      <c r="D61" s="782">
        <f>SUM(D59:D60)</f>
        <v>2669937</v>
      </c>
      <c r="E61" s="782">
        <f>SUM(E59:E60)</f>
        <v>2716685</v>
      </c>
      <c r="F61" s="782">
        <f>SUM(F59:F60)</f>
        <v>2517606</v>
      </c>
      <c r="G61" s="783">
        <f>F61/E61*100</f>
        <v>92.67198810314777</v>
      </c>
      <c r="H61" s="784">
        <f>SUM(H59:H60)</f>
        <v>2288350</v>
      </c>
      <c r="I61" s="782">
        <f>SUM(I59:I60)</f>
        <v>2366002</v>
      </c>
      <c r="J61" s="782">
        <f>SUM(J59:J60)</f>
        <v>2057828</v>
      </c>
      <c r="K61" s="785">
        <f t="shared" si="0"/>
        <v>86.97490534665651</v>
      </c>
    </row>
  </sheetData>
  <sheetProtection/>
  <mergeCells count="6">
    <mergeCell ref="B4:B6"/>
    <mergeCell ref="H1:K1"/>
    <mergeCell ref="C2:K2"/>
    <mergeCell ref="C4:C5"/>
    <mergeCell ref="D4:G4"/>
    <mergeCell ref="H4:K4"/>
  </mergeCells>
  <printOptions horizontalCentered="1"/>
  <pageMargins left="0.1968503937007874" right="0.1968503937007874" top="0.7874015748031497" bottom="0.3937007874015748" header="0.5118110236220472" footer="0"/>
  <pageSetup horizontalDpi="600" verticalDpi="600" orientation="landscape" paperSize="9" scale="95" r:id="rId1"/>
  <rowBreaks count="1" manualBreakCount="1">
    <brk id="42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4.125" style="159" bestFit="1" customWidth="1"/>
    <col min="2" max="2" width="27.875" style="15" bestFit="1" customWidth="1"/>
    <col min="3" max="3" width="15.375" style="15" customWidth="1"/>
    <col min="4" max="4" width="13.625" style="15" customWidth="1"/>
    <col min="5" max="5" width="12.00390625" style="15" customWidth="1"/>
    <col min="6" max="6" width="13.125" style="15" customWidth="1"/>
    <col min="7" max="16384" width="9.125" style="15" customWidth="1"/>
  </cols>
  <sheetData>
    <row r="1" spans="5:6" ht="15.75">
      <c r="E1" s="14"/>
      <c r="F1" s="178" t="s">
        <v>1474</v>
      </c>
    </row>
    <row r="2" spans="5:6" ht="31.5" customHeight="1">
      <c r="E2" s="14"/>
      <c r="F2" s="14"/>
    </row>
    <row r="3" spans="1:6" ht="15.75">
      <c r="A3" s="1230" t="s">
        <v>136</v>
      </c>
      <c r="B3" s="1230"/>
      <c r="C3" s="1230"/>
      <c r="D3" s="1230"/>
      <c r="E3" s="1230"/>
      <c r="F3" s="1230"/>
    </row>
    <row r="4" spans="1:6" ht="15.75">
      <c r="A4" s="1230" t="s">
        <v>1196</v>
      </c>
      <c r="B4" s="1230"/>
      <c r="C4" s="1230"/>
      <c r="D4" s="1230"/>
      <c r="E4" s="1230"/>
      <c r="F4" s="1230"/>
    </row>
    <row r="5" spans="2:6" ht="31.5" customHeight="1">
      <c r="B5" s="42"/>
      <c r="C5" s="42"/>
      <c r="D5" s="42"/>
      <c r="E5" s="42"/>
      <c r="F5" s="42"/>
    </row>
    <row r="6" spans="2:6" ht="17.25" customHeight="1" thickBot="1">
      <c r="B6" s="42"/>
      <c r="C6" s="42"/>
      <c r="D6" s="42"/>
      <c r="E6" s="1227" t="s">
        <v>23</v>
      </c>
      <c r="F6" s="1227"/>
    </row>
    <row r="7" spans="1:6" ht="31.5">
      <c r="A7" s="1228" t="s">
        <v>220</v>
      </c>
      <c r="B7" s="168" t="s">
        <v>24</v>
      </c>
      <c r="C7" s="169" t="s">
        <v>37</v>
      </c>
      <c r="D7" s="169" t="s">
        <v>25</v>
      </c>
      <c r="E7" s="168" t="s">
        <v>20</v>
      </c>
      <c r="F7" s="170" t="s">
        <v>26</v>
      </c>
    </row>
    <row r="8" spans="1:6" s="158" customFormat="1" ht="12">
      <c r="A8" s="1229"/>
      <c r="B8" s="160" t="s">
        <v>221</v>
      </c>
      <c r="C8" s="167" t="s">
        <v>222</v>
      </c>
      <c r="D8" s="167" t="s">
        <v>223</v>
      </c>
      <c r="E8" s="160" t="s">
        <v>224</v>
      </c>
      <c r="F8" s="172" t="s">
        <v>225</v>
      </c>
    </row>
    <row r="9" spans="1:6" ht="49.5" customHeight="1">
      <c r="A9" s="171">
        <v>1</v>
      </c>
      <c r="B9" s="289" t="s">
        <v>2</v>
      </c>
      <c r="C9" s="66">
        <v>193572</v>
      </c>
      <c r="D9" s="67">
        <v>159352</v>
      </c>
      <c r="E9" s="67">
        <v>159352</v>
      </c>
      <c r="F9" s="173">
        <f>E9/D9*100</f>
        <v>100</v>
      </c>
    </row>
    <row r="10" spans="1:6" ht="31.5">
      <c r="A10" s="171">
        <v>2</v>
      </c>
      <c r="B10" s="43" t="s">
        <v>17</v>
      </c>
      <c r="C10" s="66">
        <v>188015</v>
      </c>
      <c r="D10" s="67">
        <v>191331</v>
      </c>
      <c r="E10" s="67">
        <v>191330</v>
      </c>
      <c r="F10" s="173">
        <f>E10/D10*100</f>
        <v>99.99947734554254</v>
      </c>
    </row>
    <row r="11" spans="1:6" s="6" customFormat="1" ht="16.5" thickBot="1">
      <c r="A11" s="174">
        <v>3</v>
      </c>
      <c r="B11" s="175" t="s">
        <v>8</v>
      </c>
      <c r="C11" s="176">
        <f>SUM(C9:C10)</f>
        <v>381587</v>
      </c>
      <c r="D11" s="176">
        <f>SUM(D9:D10)</f>
        <v>350683</v>
      </c>
      <c r="E11" s="176">
        <f>SUM(E9:E10)</f>
        <v>350682</v>
      </c>
      <c r="F11" s="177">
        <f>E11/D11*100</f>
        <v>99.9997148421794</v>
      </c>
    </row>
    <row r="12" spans="1:6" s="6" customFormat="1" ht="15.75">
      <c r="A12" s="159"/>
      <c r="B12" s="44"/>
      <c r="C12" s="45"/>
      <c r="D12" s="45"/>
      <c r="E12" s="45"/>
      <c r="F12" s="46"/>
    </row>
  </sheetData>
  <sheetProtection/>
  <mergeCells count="4">
    <mergeCell ref="E6:F6"/>
    <mergeCell ref="A7:A8"/>
    <mergeCell ref="A3:F3"/>
    <mergeCell ref="A4:F4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H80"/>
  <sheetViews>
    <sheetView view="pageBreakPreview" zoomScaleSheetLayoutView="100" zoomScalePageLayoutView="0" workbookViewId="0" topLeftCell="A1">
      <selection activeCell="A2" sqref="A2:G2"/>
    </sheetView>
  </sheetViews>
  <sheetFormatPr defaultColWidth="8.875" defaultRowHeight="12.75"/>
  <cols>
    <col min="1" max="1" width="4.125" style="677" bestFit="1" customWidth="1"/>
    <col min="2" max="2" width="2.375" style="65" customWidth="1"/>
    <col min="3" max="3" width="93.00390625" style="65" bestFit="1" customWidth="1"/>
    <col min="4" max="4" width="12.625" style="65" customWidth="1"/>
    <col min="5" max="6" width="11.00390625" style="215" bestFit="1" customWidth="1"/>
    <col min="7" max="7" width="10.25390625" style="215" customWidth="1"/>
    <col min="8" max="16384" width="8.875" style="215" customWidth="1"/>
  </cols>
  <sheetData>
    <row r="1" spans="1:8" ht="15">
      <c r="A1" s="1249" t="s">
        <v>1475</v>
      </c>
      <c r="B1" s="1249"/>
      <c r="C1" s="1249"/>
      <c r="D1" s="1249"/>
      <c r="E1" s="1249"/>
      <c r="F1" s="1249"/>
      <c r="G1" s="1249"/>
      <c r="H1" s="178"/>
    </row>
    <row r="2" spans="1:8" ht="15">
      <c r="A2" s="1250" t="s">
        <v>136</v>
      </c>
      <c r="B2" s="1250"/>
      <c r="C2" s="1250"/>
      <c r="D2" s="1250"/>
      <c r="E2" s="1250"/>
      <c r="F2" s="1250"/>
      <c r="G2" s="1250"/>
      <c r="H2" s="178"/>
    </row>
    <row r="3" spans="1:7" ht="15">
      <c r="A3" s="1250" t="s">
        <v>1197</v>
      </c>
      <c r="B3" s="1250"/>
      <c r="C3" s="1250"/>
      <c r="D3" s="1250"/>
      <c r="E3" s="1250"/>
      <c r="F3" s="1250"/>
      <c r="G3" s="1250"/>
    </row>
    <row r="4" spans="1:7" ht="15">
      <c r="A4" s="653"/>
      <c r="B4" s="653"/>
      <c r="C4" s="653"/>
      <c r="D4" s="653"/>
      <c r="E4" s="653"/>
      <c r="F4" s="653"/>
      <c r="G4" s="653"/>
    </row>
    <row r="5" spans="1:5" ht="6" customHeight="1" thickBot="1">
      <c r="A5" s="1110"/>
      <c r="C5" s="1250"/>
      <c r="D5" s="1250"/>
      <c r="E5" s="1250"/>
    </row>
    <row r="6" spans="1:8" ht="28.5" customHeight="1">
      <c r="A6" s="1239" t="s">
        <v>220</v>
      </c>
      <c r="B6" s="1235" t="s">
        <v>11</v>
      </c>
      <c r="C6" s="1236"/>
      <c r="D6" s="1243" t="s">
        <v>52</v>
      </c>
      <c r="E6" s="1244"/>
      <c r="F6" s="1251" t="s">
        <v>20</v>
      </c>
      <c r="G6" s="1253" t="s">
        <v>137</v>
      </c>
      <c r="H6" s="740"/>
    </row>
    <row r="7" spans="1:8" ht="15">
      <c r="A7" s="1240"/>
      <c r="B7" s="1175"/>
      <c r="C7" s="1237"/>
      <c r="D7" s="700" t="s">
        <v>53</v>
      </c>
      <c r="E7" s="695" t="s">
        <v>54</v>
      </c>
      <c r="F7" s="1252"/>
      <c r="G7" s="1254"/>
      <c r="H7" s="740"/>
    </row>
    <row r="8" spans="1:8" ht="15" customHeight="1" thickBot="1">
      <c r="A8" s="1241"/>
      <c r="B8" s="1242" t="s">
        <v>221</v>
      </c>
      <c r="C8" s="1242"/>
      <c r="D8" s="702" t="s">
        <v>222</v>
      </c>
      <c r="E8" s="696" t="s">
        <v>223</v>
      </c>
      <c r="F8" s="697" t="s">
        <v>224</v>
      </c>
      <c r="G8" s="727" t="s">
        <v>225</v>
      </c>
      <c r="H8" s="740"/>
    </row>
    <row r="9" spans="1:8" ht="15" customHeight="1">
      <c r="A9" s="694">
        <v>1</v>
      </c>
      <c r="B9" s="698" t="s">
        <v>51</v>
      </c>
      <c r="C9" s="699"/>
      <c r="D9" s="708"/>
      <c r="E9" s="704"/>
      <c r="F9" s="704"/>
      <c r="G9" s="728"/>
      <c r="H9" s="740"/>
    </row>
    <row r="10" spans="1:8" s="220" customFormat="1" ht="15" customHeight="1">
      <c r="A10" s="678">
        <v>2</v>
      </c>
      <c r="B10" s="679" t="s">
        <v>77</v>
      </c>
      <c r="C10" s="680"/>
      <c r="D10" s="709"/>
      <c r="E10" s="703"/>
      <c r="F10" s="341"/>
      <c r="G10" s="729"/>
      <c r="H10" s="741"/>
    </row>
    <row r="11" spans="1:8" s="216" customFormat="1" ht="15">
      <c r="A11" s="678">
        <v>3</v>
      </c>
      <c r="B11" s="320" t="s">
        <v>27</v>
      </c>
      <c r="C11" s="701" t="s">
        <v>1097</v>
      </c>
      <c r="D11" s="710">
        <v>5500</v>
      </c>
      <c r="E11" s="34">
        <v>5500</v>
      </c>
      <c r="F11" s="218">
        <v>0</v>
      </c>
      <c r="G11" s="731" t="s">
        <v>27</v>
      </c>
      <c r="H11" s="742"/>
    </row>
    <row r="12" spans="1:8" s="217" customFormat="1" ht="15">
      <c r="A12" s="678">
        <v>4</v>
      </c>
      <c r="B12" s="320" t="s">
        <v>27</v>
      </c>
      <c r="C12" s="701" t="s">
        <v>1221</v>
      </c>
      <c r="D12" s="710">
        <v>216</v>
      </c>
      <c r="E12" s="34">
        <v>216</v>
      </c>
      <c r="F12" s="218">
        <v>15</v>
      </c>
      <c r="G12" s="732">
        <f aca="true" t="shared" si="0" ref="G12:G47">F12/E12</f>
        <v>0.06944444444444445</v>
      </c>
      <c r="H12" s="743"/>
    </row>
    <row r="13" spans="1:8" ht="15">
      <c r="A13" s="678">
        <v>5</v>
      </c>
      <c r="B13" s="320" t="s">
        <v>27</v>
      </c>
      <c r="C13" s="701" t="s">
        <v>1198</v>
      </c>
      <c r="D13" s="710">
        <v>250</v>
      </c>
      <c r="E13" s="34">
        <v>250</v>
      </c>
      <c r="F13" s="218">
        <v>0</v>
      </c>
      <c r="G13" s="731" t="s">
        <v>27</v>
      </c>
      <c r="H13" s="740"/>
    </row>
    <row r="14" spans="1:8" ht="30">
      <c r="A14" s="678">
        <v>6</v>
      </c>
      <c r="B14" s="320" t="s">
        <v>27</v>
      </c>
      <c r="C14" s="705" t="s">
        <v>1207</v>
      </c>
      <c r="D14" s="710">
        <v>420421</v>
      </c>
      <c r="E14" s="34">
        <v>349831</v>
      </c>
      <c r="F14" s="218">
        <v>310391</v>
      </c>
      <c r="G14" s="732">
        <f t="shared" si="0"/>
        <v>0.8872598483267635</v>
      </c>
      <c r="H14" s="740"/>
    </row>
    <row r="15" spans="1:8" ht="30">
      <c r="A15" s="678">
        <v>7</v>
      </c>
      <c r="B15" s="320" t="s">
        <v>27</v>
      </c>
      <c r="C15" s="705" t="s">
        <v>1432</v>
      </c>
      <c r="D15" s="710">
        <v>0</v>
      </c>
      <c r="E15" s="34">
        <v>108</v>
      </c>
      <c r="F15" s="218">
        <v>0</v>
      </c>
      <c r="G15" s="731" t="s">
        <v>27</v>
      </c>
      <c r="H15" s="740"/>
    </row>
    <row r="16" spans="1:8" ht="30" customHeight="1">
      <c r="A16" s="678">
        <v>8</v>
      </c>
      <c r="B16" s="320" t="s">
        <v>27</v>
      </c>
      <c r="C16" s="705" t="s">
        <v>1431</v>
      </c>
      <c r="D16" s="710">
        <v>768006</v>
      </c>
      <c r="E16" s="34">
        <v>803894</v>
      </c>
      <c r="F16" s="218">
        <f>679473+1</f>
        <v>679474</v>
      </c>
      <c r="G16" s="732">
        <f t="shared" si="0"/>
        <v>0.8452283510015002</v>
      </c>
      <c r="H16" s="740"/>
    </row>
    <row r="17" spans="1:8" ht="15">
      <c r="A17" s="678">
        <v>9</v>
      </c>
      <c r="B17" s="320" t="s">
        <v>27</v>
      </c>
      <c r="C17" s="701" t="s">
        <v>1230</v>
      </c>
      <c r="D17" s="710">
        <v>161</v>
      </c>
      <c r="E17" s="34">
        <v>204</v>
      </c>
      <c r="F17" s="218">
        <v>204</v>
      </c>
      <c r="G17" s="732">
        <f t="shared" si="0"/>
        <v>1</v>
      </c>
      <c r="H17" s="740"/>
    </row>
    <row r="18" spans="1:8" ht="15">
      <c r="A18" s="678">
        <v>10</v>
      </c>
      <c r="B18" s="320" t="s">
        <v>27</v>
      </c>
      <c r="C18" s="701" t="s">
        <v>1199</v>
      </c>
      <c r="D18" s="710">
        <v>127</v>
      </c>
      <c r="E18" s="34">
        <v>127</v>
      </c>
      <c r="F18" s="218">
        <v>79</v>
      </c>
      <c r="G18" s="732">
        <f t="shared" si="0"/>
        <v>0.6220472440944882</v>
      </c>
      <c r="H18" s="740"/>
    </row>
    <row r="19" spans="1:8" ht="30">
      <c r="A19" s="678">
        <v>11</v>
      </c>
      <c r="B19" s="320" t="s">
        <v>27</v>
      </c>
      <c r="C19" s="701" t="s">
        <v>1208</v>
      </c>
      <c r="D19" s="710">
        <v>490</v>
      </c>
      <c r="E19" s="34">
        <v>591</v>
      </c>
      <c r="F19" s="218">
        <v>590</v>
      </c>
      <c r="G19" s="732">
        <f t="shared" si="0"/>
        <v>0.9983079526226735</v>
      </c>
      <c r="H19" s="740"/>
    </row>
    <row r="20" spans="1:8" ht="15">
      <c r="A20" s="678">
        <v>12</v>
      </c>
      <c r="B20" s="320" t="s">
        <v>27</v>
      </c>
      <c r="C20" s="706" t="s">
        <v>1200</v>
      </c>
      <c r="D20" s="710">
        <v>8184</v>
      </c>
      <c r="E20" s="34">
        <v>0</v>
      </c>
      <c r="F20" s="218">
        <v>0</v>
      </c>
      <c r="G20" s="731" t="s">
        <v>27</v>
      </c>
      <c r="H20" s="740"/>
    </row>
    <row r="21" spans="1:8" ht="15">
      <c r="A21" s="678">
        <v>13</v>
      </c>
      <c r="B21" s="320" t="s">
        <v>27</v>
      </c>
      <c r="C21" s="701" t="s">
        <v>1201</v>
      </c>
      <c r="D21" s="710">
        <v>586</v>
      </c>
      <c r="E21" s="34">
        <v>586</v>
      </c>
      <c r="F21" s="218">
        <v>586</v>
      </c>
      <c r="G21" s="732">
        <f t="shared" si="0"/>
        <v>1</v>
      </c>
      <c r="H21" s="740"/>
    </row>
    <row r="22" spans="1:8" ht="18" customHeight="1">
      <c r="A22" s="678">
        <v>14</v>
      </c>
      <c r="B22" s="320" t="s">
        <v>27</v>
      </c>
      <c r="C22" s="701" t="s">
        <v>1202</v>
      </c>
      <c r="D22" s="710">
        <v>6000</v>
      </c>
      <c r="E22" s="34">
        <v>0</v>
      </c>
      <c r="F22" s="218">
        <v>0</v>
      </c>
      <c r="G22" s="731" t="s">
        <v>27</v>
      </c>
      <c r="H22" s="740"/>
    </row>
    <row r="23" spans="1:8" ht="30">
      <c r="A23" s="678">
        <v>15</v>
      </c>
      <c r="B23" s="320" t="s">
        <v>27</v>
      </c>
      <c r="C23" s="701" t="s">
        <v>1209</v>
      </c>
      <c r="D23" s="710">
        <v>0</v>
      </c>
      <c r="E23" s="34">
        <v>10379</v>
      </c>
      <c r="F23" s="218">
        <v>10395</v>
      </c>
      <c r="G23" s="732">
        <f t="shared" si="0"/>
        <v>1.0015415743327873</v>
      </c>
      <c r="H23" s="740"/>
    </row>
    <row r="24" spans="1:8" ht="15">
      <c r="A24" s="678">
        <v>16</v>
      </c>
      <c r="B24" s="320" t="s">
        <v>27</v>
      </c>
      <c r="C24" s="706" t="s">
        <v>1224</v>
      </c>
      <c r="D24" s="710">
        <v>0</v>
      </c>
      <c r="E24" s="34">
        <v>70</v>
      </c>
      <c r="F24" s="218">
        <v>67</v>
      </c>
      <c r="G24" s="732">
        <f t="shared" si="0"/>
        <v>0.9571428571428572</v>
      </c>
      <c r="H24" s="740"/>
    </row>
    <row r="25" spans="1:8" ht="15">
      <c r="A25" s="678">
        <v>17</v>
      </c>
      <c r="B25" s="320" t="s">
        <v>27</v>
      </c>
      <c r="C25" s="706" t="s">
        <v>1203</v>
      </c>
      <c r="D25" s="710">
        <v>3000</v>
      </c>
      <c r="E25" s="34">
        <v>3000</v>
      </c>
      <c r="F25" s="218">
        <v>3000</v>
      </c>
      <c r="G25" s="732">
        <f t="shared" si="0"/>
        <v>1</v>
      </c>
      <c r="H25" s="740"/>
    </row>
    <row r="26" spans="1:8" ht="15">
      <c r="A26" s="681">
        <v>18</v>
      </c>
      <c r="B26" s="682" t="s">
        <v>27</v>
      </c>
      <c r="C26" s="707" t="s">
        <v>1222</v>
      </c>
      <c r="D26" s="710">
        <v>0</v>
      </c>
      <c r="E26" s="34">
        <v>8319</v>
      </c>
      <c r="F26" s="218">
        <v>3556</v>
      </c>
      <c r="G26" s="732">
        <f t="shared" si="0"/>
        <v>0.42745522298353167</v>
      </c>
      <c r="H26" s="740"/>
    </row>
    <row r="27" spans="1:8" ht="15">
      <c r="A27" s="681">
        <v>19</v>
      </c>
      <c r="B27" s="673" t="s">
        <v>27</v>
      </c>
      <c r="C27" s="321" t="s">
        <v>1227</v>
      </c>
      <c r="D27" s="711">
        <v>0</v>
      </c>
      <c r="E27" s="673">
        <v>127</v>
      </c>
      <c r="F27" s="218">
        <v>127</v>
      </c>
      <c r="G27" s="732">
        <f t="shared" si="0"/>
        <v>1</v>
      </c>
      <c r="H27" s="740"/>
    </row>
    <row r="28" spans="1:8" ht="30">
      <c r="A28" s="681">
        <v>20</v>
      </c>
      <c r="B28" s="673" t="s">
        <v>27</v>
      </c>
      <c r="C28" s="766" t="s">
        <v>1433</v>
      </c>
      <c r="D28" s="711">
        <v>0</v>
      </c>
      <c r="E28" s="673">
        <v>300</v>
      </c>
      <c r="F28" s="218">
        <v>300</v>
      </c>
      <c r="G28" s="732">
        <f t="shared" si="0"/>
        <v>1</v>
      </c>
      <c r="H28" s="740"/>
    </row>
    <row r="29" spans="1:8" ht="15">
      <c r="A29" s="678">
        <v>21</v>
      </c>
      <c r="B29" s="673" t="s">
        <v>27</v>
      </c>
      <c r="C29" s="321" t="s">
        <v>1226</v>
      </c>
      <c r="D29" s="711">
        <v>0</v>
      </c>
      <c r="E29" s="673">
        <v>360</v>
      </c>
      <c r="F29" s="218">
        <v>358</v>
      </c>
      <c r="G29" s="732">
        <f t="shared" si="0"/>
        <v>0.9944444444444445</v>
      </c>
      <c r="H29" s="740"/>
    </row>
    <row r="30" spans="1:8" ht="15.75" customHeight="1">
      <c r="A30" s="678">
        <v>22</v>
      </c>
      <c r="B30" s="673" t="s">
        <v>27</v>
      </c>
      <c r="C30" s="321" t="s">
        <v>1096</v>
      </c>
      <c r="D30" s="711">
        <v>0</v>
      </c>
      <c r="E30" s="673">
        <v>248</v>
      </c>
      <c r="F30" s="218">
        <v>248</v>
      </c>
      <c r="G30" s="732">
        <f t="shared" si="0"/>
        <v>1</v>
      </c>
      <c r="H30" s="740"/>
    </row>
    <row r="31" spans="1:8" ht="15.75" customHeight="1">
      <c r="A31" s="678">
        <v>23</v>
      </c>
      <c r="B31" s="673" t="s">
        <v>27</v>
      </c>
      <c r="C31" s="321" t="s">
        <v>1210</v>
      </c>
      <c r="D31" s="711">
        <v>0</v>
      </c>
      <c r="E31" s="673">
        <v>920</v>
      </c>
      <c r="F31" s="218">
        <v>0</v>
      </c>
      <c r="G31" s="731" t="s">
        <v>27</v>
      </c>
      <c r="H31" s="740"/>
    </row>
    <row r="32" spans="1:8" ht="15.75" customHeight="1">
      <c r="A32" s="678">
        <v>24</v>
      </c>
      <c r="B32" s="673" t="s">
        <v>27</v>
      </c>
      <c r="C32" s="321" t="s">
        <v>1223</v>
      </c>
      <c r="D32" s="711">
        <v>0</v>
      </c>
      <c r="E32" s="673">
        <v>111</v>
      </c>
      <c r="F32" s="218">
        <v>102</v>
      </c>
      <c r="G32" s="732">
        <f t="shared" si="0"/>
        <v>0.918918918918919</v>
      </c>
      <c r="H32" s="740"/>
    </row>
    <row r="33" spans="1:8" ht="15.75" customHeight="1">
      <c r="A33" s="678">
        <v>25</v>
      </c>
      <c r="B33" s="673" t="s">
        <v>27</v>
      </c>
      <c r="C33" s="321" t="s">
        <v>1229</v>
      </c>
      <c r="D33" s="711">
        <v>0</v>
      </c>
      <c r="E33" s="673">
        <v>880</v>
      </c>
      <c r="F33" s="218">
        <v>880</v>
      </c>
      <c r="G33" s="732">
        <f t="shared" si="0"/>
        <v>1</v>
      </c>
      <c r="H33" s="740"/>
    </row>
    <row r="34" spans="1:8" ht="15.75" customHeight="1">
      <c r="A34" s="678">
        <v>26</v>
      </c>
      <c r="B34" s="673" t="s">
        <v>27</v>
      </c>
      <c r="C34" s="321" t="s">
        <v>1212</v>
      </c>
      <c r="D34" s="711">
        <v>0</v>
      </c>
      <c r="E34" s="34">
        <v>2000</v>
      </c>
      <c r="F34" s="218">
        <v>0</v>
      </c>
      <c r="G34" s="731" t="s">
        <v>27</v>
      </c>
      <c r="H34" s="740"/>
    </row>
    <row r="35" spans="1:8" s="217" customFormat="1" ht="15">
      <c r="A35" s="678">
        <v>27</v>
      </c>
      <c r="B35" s="673" t="s">
        <v>27</v>
      </c>
      <c r="C35" s="321" t="s">
        <v>1211</v>
      </c>
      <c r="D35" s="711">
        <v>0</v>
      </c>
      <c r="E35" s="673">
        <v>35</v>
      </c>
      <c r="F35" s="219">
        <v>35</v>
      </c>
      <c r="G35" s="732">
        <f t="shared" si="0"/>
        <v>1</v>
      </c>
      <c r="H35" s="743"/>
    </row>
    <row r="36" spans="1:8" s="217" customFormat="1" ht="15">
      <c r="A36" s="683">
        <v>28</v>
      </c>
      <c r="B36" s="684"/>
      <c r="C36" s="713" t="s">
        <v>78</v>
      </c>
      <c r="D36" s="714">
        <f>SUM(D11:D35)</f>
        <v>1212941</v>
      </c>
      <c r="E36" s="715">
        <f>SUM(E11:E35)</f>
        <v>1188056</v>
      </c>
      <c r="F36" s="715">
        <f>SUM(F11:F35)</f>
        <v>1010407</v>
      </c>
      <c r="G36" s="733">
        <f t="shared" si="0"/>
        <v>0.8504708532257739</v>
      </c>
      <c r="H36" s="743"/>
    </row>
    <row r="37" spans="1:8" s="217" customFormat="1" ht="15">
      <c r="A37" s="683">
        <v>29</v>
      </c>
      <c r="B37" s="1247" t="s">
        <v>2</v>
      </c>
      <c r="C37" s="1248"/>
      <c r="D37" s="1248"/>
      <c r="E37" s="1248"/>
      <c r="F37" s="1248"/>
      <c r="G37" s="1248"/>
      <c r="H37" s="743"/>
    </row>
    <row r="38" spans="1:8" s="217" customFormat="1" ht="30">
      <c r="A38" s="683">
        <v>30</v>
      </c>
      <c r="B38" s="320" t="s">
        <v>27</v>
      </c>
      <c r="C38" s="1107" t="s">
        <v>1434</v>
      </c>
      <c r="D38" s="716">
        <v>445</v>
      </c>
      <c r="E38" s="218">
        <v>445</v>
      </c>
      <c r="F38" s="218">
        <v>336</v>
      </c>
      <c r="G38" s="730">
        <f t="shared" si="0"/>
        <v>0.755056179775281</v>
      </c>
      <c r="H38" s="743"/>
    </row>
    <row r="39" spans="1:8" s="217" customFormat="1" ht="15">
      <c r="A39" s="683">
        <v>31</v>
      </c>
      <c r="B39" s="320" t="s">
        <v>27</v>
      </c>
      <c r="C39" s="691" t="s">
        <v>1213</v>
      </c>
      <c r="D39" s="716">
        <v>0</v>
      </c>
      <c r="E39" s="218">
        <v>170</v>
      </c>
      <c r="F39" s="218">
        <v>169</v>
      </c>
      <c r="G39" s="730">
        <f t="shared" si="0"/>
        <v>0.9941176470588236</v>
      </c>
      <c r="H39" s="743"/>
    </row>
    <row r="40" spans="1:8" s="217" customFormat="1" ht="15">
      <c r="A40" s="683">
        <v>32</v>
      </c>
      <c r="B40" s="685"/>
      <c r="C40" s="712" t="s">
        <v>55</v>
      </c>
      <c r="D40" s="714">
        <f>SUM(D38:D39)</f>
        <v>445</v>
      </c>
      <c r="E40" s="1037">
        <f>SUM(E38:E39)</f>
        <v>615</v>
      </c>
      <c r="F40" s="715">
        <f>SUM(F38:F39)</f>
        <v>505</v>
      </c>
      <c r="G40" s="733">
        <f t="shared" si="0"/>
        <v>0.8211382113821138</v>
      </c>
      <c r="H40" s="743"/>
    </row>
    <row r="41" spans="1:8" s="217" customFormat="1" ht="15">
      <c r="A41" s="678">
        <v>33</v>
      </c>
      <c r="B41" s="1233" t="s">
        <v>17</v>
      </c>
      <c r="C41" s="1234"/>
      <c r="D41" s="1234"/>
      <c r="E41" s="1234"/>
      <c r="F41" s="1234"/>
      <c r="G41" s="1234"/>
      <c r="H41" s="743"/>
    </row>
    <row r="42" spans="1:8" ht="15">
      <c r="A42" s="678">
        <v>34</v>
      </c>
      <c r="B42" s="320" t="s">
        <v>27</v>
      </c>
      <c r="C42" s="321" t="s">
        <v>1232</v>
      </c>
      <c r="D42" s="716">
        <v>204</v>
      </c>
      <c r="E42" s="718">
        <v>204</v>
      </c>
      <c r="F42" s="718">
        <v>244</v>
      </c>
      <c r="G42" s="730">
        <f t="shared" si="0"/>
        <v>1.196078431372549</v>
      </c>
      <c r="H42" s="740"/>
    </row>
    <row r="43" spans="1:8" ht="15">
      <c r="A43" s="683">
        <v>35</v>
      </c>
      <c r="B43" s="320" t="s">
        <v>27</v>
      </c>
      <c r="C43" s="321" t="s">
        <v>1214</v>
      </c>
      <c r="D43" s="716">
        <v>0</v>
      </c>
      <c r="E43" s="718">
        <v>333</v>
      </c>
      <c r="F43" s="718">
        <v>0</v>
      </c>
      <c r="G43" s="731" t="s">
        <v>27</v>
      </c>
      <c r="H43" s="740"/>
    </row>
    <row r="44" spans="1:8" ht="30">
      <c r="A44" s="683">
        <v>36</v>
      </c>
      <c r="B44" s="320" t="s">
        <v>27</v>
      </c>
      <c r="C44" s="766" t="s">
        <v>1231</v>
      </c>
      <c r="D44" s="716">
        <v>0</v>
      </c>
      <c r="E44" s="718">
        <v>400</v>
      </c>
      <c r="F44" s="718">
        <v>330</v>
      </c>
      <c r="G44" s="730">
        <f t="shared" si="0"/>
        <v>0.825</v>
      </c>
      <c r="H44" s="740"/>
    </row>
    <row r="45" spans="1:8" ht="15">
      <c r="A45" s="683">
        <v>37</v>
      </c>
      <c r="B45" s="320" t="s">
        <v>27</v>
      </c>
      <c r="C45" s="321" t="s">
        <v>1215</v>
      </c>
      <c r="D45" s="716">
        <v>0</v>
      </c>
      <c r="E45" s="718">
        <v>20</v>
      </c>
      <c r="F45" s="718">
        <v>90</v>
      </c>
      <c r="G45" s="730">
        <f t="shared" si="0"/>
        <v>4.5</v>
      </c>
      <c r="H45" s="740"/>
    </row>
    <row r="46" spans="1:8" s="217" customFormat="1" ht="15">
      <c r="A46" s="683">
        <v>38</v>
      </c>
      <c r="B46" s="685"/>
      <c r="C46" s="713" t="s">
        <v>17</v>
      </c>
      <c r="D46" s="714">
        <f>SUM(D42:D45)</f>
        <v>204</v>
      </c>
      <c r="E46" s="1037">
        <f>SUM(E42:E45)</f>
        <v>957</v>
      </c>
      <c r="F46" s="715">
        <f>SUM(F42:F45)</f>
        <v>664</v>
      </c>
      <c r="G46" s="733">
        <f t="shared" si="0"/>
        <v>0.6938349007314525</v>
      </c>
      <c r="H46" s="743"/>
    </row>
    <row r="47" spans="1:8" ht="15.75" thickBot="1">
      <c r="A47" s="678">
        <v>39</v>
      </c>
      <c r="B47" s="686" t="s">
        <v>8</v>
      </c>
      <c r="C47" s="717"/>
      <c r="D47" s="719">
        <f>SUM(D36+D46+D40)</f>
        <v>1213590</v>
      </c>
      <c r="E47" s="720">
        <f>SUM(E36+E46+E40)</f>
        <v>1189628</v>
      </c>
      <c r="F47" s="720">
        <f>SUM(F36+F46+F40)</f>
        <v>1011576</v>
      </c>
      <c r="G47" s="734">
        <f t="shared" si="0"/>
        <v>0.8503296828924672</v>
      </c>
      <c r="H47" s="740"/>
    </row>
    <row r="48" spans="1:8" ht="15">
      <c r="A48" s="678">
        <v>40</v>
      </c>
      <c r="B48" s="1231" t="s">
        <v>3</v>
      </c>
      <c r="C48" s="1232"/>
      <c r="D48" s="1232"/>
      <c r="E48" s="1232"/>
      <c r="F48" s="1232"/>
      <c r="G48" s="1232"/>
      <c r="H48" s="740"/>
    </row>
    <row r="49" spans="1:8" ht="15">
      <c r="A49" s="678">
        <v>41</v>
      </c>
      <c r="B49" s="1247" t="s">
        <v>77</v>
      </c>
      <c r="C49" s="1248"/>
      <c r="D49" s="1248"/>
      <c r="E49" s="1248"/>
      <c r="F49" s="1248"/>
      <c r="G49" s="1248"/>
      <c r="H49" s="740"/>
    </row>
    <row r="50" spans="1:8" ht="15">
      <c r="A50" s="678">
        <v>42</v>
      </c>
      <c r="B50" s="320" t="s">
        <v>27</v>
      </c>
      <c r="C50" s="705" t="s">
        <v>1205</v>
      </c>
      <c r="D50" s="710">
        <v>350</v>
      </c>
      <c r="E50" s="34">
        <v>350</v>
      </c>
      <c r="F50" s="218">
        <v>0</v>
      </c>
      <c r="G50" s="731" t="s">
        <v>27</v>
      </c>
      <c r="H50" s="740"/>
    </row>
    <row r="51" spans="1:8" ht="15">
      <c r="A51" s="678">
        <v>43</v>
      </c>
      <c r="B51" s="320" t="s">
        <v>27</v>
      </c>
      <c r="C51" s="705" t="s">
        <v>1206</v>
      </c>
      <c r="D51" s="710">
        <v>301</v>
      </c>
      <c r="E51" s="34">
        <v>0</v>
      </c>
      <c r="F51" s="218">
        <v>0</v>
      </c>
      <c r="G51" s="731" t="s">
        <v>27</v>
      </c>
      <c r="H51" s="740"/>
    </row>
    <row r="52" spans="1:8" s="217" customFormat="1" ht="17.25" customHeight="1">
      <c r="A52" s="678">
        <v>44</v>
      </c>
      <c r="B52" s="320" t="s">
        <v>27</v>
      </c>
      <c r="C52" s="706" t="s">
        <v>1204</v>
      </c>
      <c r="D52" s="710">
        <v>579</v>
      </c>
      <c r="E52" s="34">
        <v>579</v>
      </c>
      <c r="F52" s="218">
        <v>579</v>
      </c>
      <c r="G52" s="730">
        <f>F52/E52</f>
        <v>1</v>
      </c>
      <c r="H52" s="743"/>
    </row>
    <row r="53" spans="1:8" s="217" customFormat="1" ht="17.25" customHeight="1">
      <c r="A53" s="678">
        <v>45</v>
      </c>
      <c r="B53" s="320" t="s">
        <v>27</v>
      </c>
      <c r="C53" s="706" t="s">
        <v>1225</v>
      </c>
      <c r="D53" s="710">
        <v>0</v>
      </c>
      <c r="E53" s="34">
        <v>15000</v>
      </c>
      <c r="F53" s="218">
        <v>15000</v>
      </c>
      <c r="G53" s="730">
        <f>F53/E53</f>
        <v>1</v>
      </c>
      <c r="H53" s="743"/>
    </row>
    <row r="54" spans="1:8" s="217" customFormat="1" ht="17.25" customHeight="1">
      <c r="A54" s="678">
        <v>46</v>
      </c>
      <c r="B54" s="320" t="s">
        <v>27</v>
      </c>
      <c r="C54" s="706" t="s">
        <v>1216</v>
      </c>
      <c r="D54" s="710">
        <v>0</v>
      </c>
      <c r="E54" s="34">
        <v>357</v>
      </c>
      <c r="F54" s="218">
        <v>357</v>
      </c>
      <c r="G54" s="730">
        <f>F54/E54</f>
        <v>1</v>
      </c>
      <c r="H54" s="743"/>
    </row>
    <row r="55" spans="1:8" ht="30">
      <c r="A55" s="678">
        <v>47</v>
      </c>
      <c r="B55" s="320" t="s">
        <v>27</v>
      </c>
      <c r="C55" s="706" t="s">
        <v>1435</v>
      </c>
      <c r="D55" s="710">
        <v>0</v>
      </c>
      <c r="E55" s="34">
        <v>94076</v>
      </c>
      <c r="F55" s="218">
        <v>93648</v>
      </c>
      <c r="G55" s="730">
        <f>F55/E55</f>
        <v>0.9954504868404269</v>
      </c>
      <c r="H55" s="740"/>
    </row>
    <row r="56" spans="1:8" ht="15">
      <c r="A56" s="678">
        <v>48</v>
      </c>
      <c r="B56" s="1255" t="s">
        <v>78</v>
      </c>
      <c r="C56" s="1256"/>
      <c r="D56" s="714">
        <f>SUM(D50:D55)</f>
        <v>1230</v>
      </c>
      <c r="E56" s="1037">
        <f>SUM(E50:E55)</f>
        <v>110362</v>
      </c>
      <c r="F56" s="715">
        <f>SUM(F50:F55)</f>
        <v>109584</v>
      </c>
      <c r="G56" s="733">
        <f>F56/E56</f>
        <v>0.9929504720827821</v>
      </c>
      <c r="H56" s="740"/>
    </row>
    <row r="57" spans="1:8" s="217" customFormat="1" ht="15">
      <c r="A57" s="678">
        <v>49</v>
      </c>
      <c r="B57" s="1233" t="s">
        <v>17</v>
      </c>
      <c r="C57" s="1234"/>
      <c r="D57" s="1234"/>
      <c r="E57" s="1234"/>
      <c r="F57" s="1234"/>
      <c r="G57" s="1234"/>
      <c r="H57" s="743"/>
    </row>
    <row r="58" spans="1:8" s="217" customFormat="1" ht="17.25" customHeight="1">
      <c r="A58" s="678">
        <v>50</v>
      </c>
      <c r="B58" s="320" t="s">
        <v>27</v>
      </c>
      <c r="C58" s="706" t="s">
        <v>1217</v>
      </c>
      <c r="D58" s="710">
        <v>0</v>
      </c>
      <c r="E58" s="34">
        <v>667</v>
      </c>
      <c r="F58" s="218">
        <v>0</v>
      </c>
      <c r="G58" s="731" t="s">
        <v>27</v>
      </c>
      <c r="H58" s="743"/>
    </row>
    <row r="59" spans="1:8" s="217" customFormat="1" ht="15">
      <c r="A59" s="683">
        <v>51</v>
      </c>
      <c r="B59" s="685"/>
      <c r="C59" s="713" t="s">
        <v>17</v>
      </c>
      <c r="D59" s="714">
        <f>SUM(D58)</f>
        <v>0</v>
      </c>
      <c r="E59" s="1037">
        <f>SUM(E58)</f>
        <v>667</v>
      </c>
      <c r="F59" s="715">
        <f>SUM(F58)</f>
        <v>0</v>
      </c>
      <c r="G59" s="731" t="s">
        <v>27</v>
      </c>
      <c r="H59" s="743"/>
    </row>
    <row r="60" spans="1:8" ht="15.75" thickBot="1">
      <c r="A60" s="678">
        <v>52</v>
      </c>
      <c r="B60" s="686" t="s">
        <v>8</v>
      </c>
      <c r="C60" s="717"/>
      <c r="D60" s="719">
        <f>SUM(D56+D59)</f>
        <v>1230</v>
      </c>
      <c r="E60" s="720">
        <f>SUM(E56+E59)</f>
        <v>111029</v>
      </c>
      <c r="F60" s="720">
        <f>SUM(F56+F59)</f>
        <v>109584</v>
      </c>
      <c r="G60" s="734">
        <f>F60/E60</f>
        <v>0.9869853821974439</v>
      </c>
      <c r="H60" s="740"/>
    </row>
    <row r="61" spans="1:8" ht="15">
      <c r="A61" s="678">
        <v>53</v>
      </c>
      <c r="B61" s="1231" t="s">
        <v>1218</v>
      </c>
      <c r="C61" s="1232"/>
      <c r="D61" s="1232"/>
      <c r="E61" s="1232"/>
      <c r="F61" s="1232"/>
      <c r="G61" s="1232"/>
      <c r="H61" s="740"/>
    </row>
    <row r="62" spans="1:8" ht="15">
      <c r="A62" s="678">
        <v>54</v>
      </c>
      <c r="B62" s="1247" t="s">
        <v>77</v>
      </c>
      <c r="C62" s="1248"/>
      <c r="D62" s="1248"/>
      <c r="E62" s="1248"/>
      <c r="F62" s="1248"/>
      <c r="G62" s="1248"/>
      <c r="H62" s="740"/>
    </row>
    <row r="63" spans="1:8" ht="15">
      <c r="A63" s="678">
        <v>55</v>
      </c>
      <c r="B63" s="320" t="s">
        <v>27</v>
      </c>
      <c r="C63" s="691" t="s">
        <v>173</v>
      </c>
      <c r="D63" s="723">
        <v>399</v>
      </c>
      <c r="E63" s="41">
        <v>399</v>
      </c>
      <c r="F63" s="41">
        <v>398</v>
      </c>
      <c r="G63" s="730">
        <f aca="true" t="shared" si="1" ref="G63:G68">F63/E63</f>
        <v>0.9974937343358395</v>
      </c>
      <c r="H63" s="740"/>
    </row>
    <row r="64" spans="1:8" ht="30">
      <c r="A64" s="678">
        <v>56</v>
      </c>
      <c r="B64" s="320" t="s">
        <v>27</v>
      </c>
      <c r="C64" s="705" t="s">
        <v>1436</v>
      </c>
      <c r="D64" s="723">
        <v>1830</v>
      </c>
      <c r="E64" s="41">
        <v>15693</v>
      </c>
      <c r="F64" s="41">
        <v>15693</v>
      </c>
      <c r="G64" s="730">
        <f t="shared" si="1"/>
        <v>1</v>
      </c>
      <c r="H64" s="740"/>
    </row>
    <row r="65" spans="1:8" ht="30">
      <c r="A65" s="678">
        <v>57</v>
      </c>
      <c r="B65" s="320" t="s">
        <v>27</v>
      </c>
      <c r="C65" s="705" t="s">
        <v>1219</v>
      </c>
      <c r="D65" s="723">
        <v>0</v>
      </c>
      <c r="E65" s="41">
        <v>260</v>
      </c>
      <c r="F65" s="41">
        <v>255</v>
      </c>
      <c r="G65" s="730">
        <f t="shared" si="1"/>
        <v>0.9807692307692307</v>
      </c>
      <c r="H65" s="740"/>
    </row>
    <row r="66" spans="1:8" ht="30">
      <c r="A66" s="678">
        <v>58</v>
      </c>
      <c r="B66" s="320" t="s">
        <v>27</v>
      </c>
      <c r="C66" s="765" t="s">
        <v>1228</v>
      </c>
      <c r="D66" s="723">
        <v>0</v>
      </c>
      <c r="E66" s="41">
        <v>2199</v>
      </c>
      <c r="F66" s="41">
        <v>2199</v>
      </c>
      <c r="G66" s="730">
        <f t="shared" si="1"/>
        <v>1</v>
      </c>
      <c r="H66" s="740"/>
    </row>
    <row r="67" spans="1:8" s="217" customFormat="1" ht="15" customHeight="1">
      <c r="A67" s="678">
        <v>59</v>
      </c>
      <c r="B67" s="320" t="s">
        <v>27</v>
      </c>
      <c r="C67" s="691" t="s">
        <v>1437</v>
      </c>
      <c r="D67" s="723">
        <v>500</v>
      </c>
      <c r="E67" s="41">
        <v>0</v>
      </c>
      <c r="F67" s="41">
        <v>0</v>
      </c>
      <c r="G67" s="731" t="s">
        <v>27</v>
      </c>
      <c r="H67" s="743"/>
    </row>
    <row r="68" spans="1:8" s="216" customFormat="1" ht="15" thickBot="1">
      <c r="A68" s="678">
        <v>60</v>
      </c>
      <c r="B68" s="688" t="s">
        <v>8</v>
      </c>
      <c r="C68" s="717"/>
      <c r="D68" s="719">
        <f>SUM(D63:D67)</f>
        <v>2729</v>
      </c>
      <c r="E68" s="720">
        <f>SUM(E63:E67)</f>
        <v>18551</v>
      </c>
      <c r="F68" s="720">
        <f>SUM(F63:F67)</f>
        <v>18545</v>
      </c>
      <c r="G68" s="734">
        <f t="shared" si="1"/>
        <v>0.9996765673009541</v>
      </c>
      <c r="H68" s="742"/>
    </row>
    <row r="69" spans="1:8" ht="15.75" customHeight="1" hidden="1" thickBot="1">
      <c r="A69" s="678">
        <v>39</v>
      </c>
      <c r="B69" s="1245" t="s">
        <v>174</v>
      </c>
      <c r="C69" s="1245"/>
      <c r="D69" s="1246"/>
      <c r="E69" s="722"/>
      <c r="F69" s="721"/>
      <c r="G69" s="735"/>
      <c r="H69" s="740"/>
    </row>
    <row r="70" spans="1:8" s="217" customFormat="1" ht="15.75" customHeight="1" hidden="1" thickBot="1">
      <c r="A70" s="678">
        <v>40</v>
      </c>
      <c r="B70" s="320"/>
      <c r="C70" s="690"/>
      <c r="D70" s="687"/>
      <c r="E70" s="221"/>
      <c r="F70" s="222"/>
      <c r="G70" s="736"/>
      <c r="H70" s="743"/>
    </row>
    <row r="71" spans="1:8" s="216" customFormat="1" ht="15" customHeight="1" hidden="1" thickBot="1">
      <c r="A71" s="678">
        <v>41</v>
      </c>
      <c r="B71" s="688" t="s">
        <v>8</v>
      </c>
      <c r="C71" s="686"/>
      <c r="D71" s="689">
        <f>SUM(D70:D70)</f>
        <v>0</v>
      </c>
      <c r="E71" s="290"/>
      <c r="F71" s="223"/>
      <c r="G71" s="737"/>
      <c r="H71" s="742"/>
    </row>
    <row r="72" spans="1:8" ht="21.75" customHeight="1">
      <c r="A72" s="678">
        <v>61</v>
      </c>
      <c r="B72" s="1231" t="s">
        <v>175</v>
      </c>
      <c r="C72" s="1232"/>
      <c r="D72" s="1232"/>
      <c r="E72" s="1232"/>
      <c r="F72" s="1232"/>
      <c r="G72" s="1232"/>
      <c r="H72" s="740"/>
    </row>
    <row r="73" spans="1:8" s="216" customFormat="1" ht="15">
      <c r="A73" s="678">
        <v>62</v>
      </c>
      <c r="B73" s="1247" t="s">
        <v>77</v>
      </c>
      <c r="C73" s="1248"/>
      <c r="D73" s="1248"/>
      <c r="E73" s="1248"/>
      <c r="F73" s="1248"/>
      <c r="G73" s="1248"/>
      <c r="H73" s="742"/>
    </row>
    <row r="74" spans="1:8" s="216" customFormat="1" ht="15">
      <c r="A74" s="678">
        <v>63</v>
      </c>
      <c r="B74" s="320" t="s">
        <v>27</v>
      </c>
      <c r="C74" s="1108" t="s">
        <v>1462</v>
      </c>
      <c r="D74" s="710">
        <v>40540</v>
      </c>
      <c r="E74" s="724">
        <v>40540</v>
      </c>
      <c r="F74" s="726">
        <v>0</v>
      </c>
      <c r="G74" s="731" t="s">
        <v>27</v>
      </c>
      <c r="H74" s="742"/>
    </row>
    <row r="75" spans="1:8" ht="30.75" customHeight="1">
      <c r="A75" s="678">
        <v>64</v>
      </c>
      <c r="B75" s="320" t="s">
        <v>27</v>
      </c>
      <c r="C75" s="1109" t="s">
        <v>1220</v>
      </c>
      <c r="D75" s="711">
        <v>195</v>
      </c>
      <c r="E75" s="724">
        <v>4260</v>
      </c>
      <c r="F75" s="726">
        <v>0</v>
      </c>
      <c r="G75" s="731" t="s">
        <v>27</v>
      </c>
      <c r="H75" s="740"/>
    </row>
    <row r="76" spans="1:8" s="217" customFormat="1" ht="15.75" thickBot="1">
      <c r="A76" s="678">
        <v>65</v>
      </c>
      <c r="B76" s="688" t="s">
        <v>8</v>
      </c>
      <c r="C76" s="717"/>
      <c r="D76" s="1038">
        <f>SUM(D74:D75)</f>
        <v>40735</v>
      </c>
      <c r="E76" s="720">
        <f>SUM(E74:E75)</f>
        <v>44800</v>
      </c>
      <c r="F76" s="1039">
        <f>SUM(F74:F75)</f>
        <v>0</v>
      </c>
      <c r="G76" s="738" t="s">
        <v>27</v>
      </c>
      <c r="H76" s="743"/>
    </row>
    <row r="77" spans="1:8" s="216" customFormat="1" ht="23.25" customHeight="1" thickBot="1">
      <c r="A77" s="692">
        <v>66</v>
      </c>
      <c r="B77" s="693" t="s">
        <v>9</v>
      </c>
      <c r="C77" s="693"/>
      <c r="D77" s="1111">
        <f>SUM(D47+D56+D68+D76)</f>
        <v>1258284</v>
      </c>
      <c r="E77" s="1113">
        <f>SUM(E47+E60+E68+E76)</f>
        <v>1364008</v>
      </c>
      <c r="F77" s="1112">
        <f>SUM(F47+F56+F68+F76)</f>
        <v>1139705</v>
      </c>
      <c r="G77" s="739">
        <f>F77/E77*100</f>
        <v>83.55559498184762</v>
      </c>
      <c r="H77" s="742"/>
    </row>
    <row r="80" spans="1:4" ht="15">
      <c r="A80" s="215"/>
      <c r="B80" s="1238"/>
      <c r="C80" s="1238"/>
      <c r="D80" s="1238"/>
    </row>
  </sheetData>
  <sheetProtection/>
  <mergeCells count="22">
    <mergeCell ref="B49:G49"/>
    <mergeCell ref="B37:G37"/>
    <mergeCell ref="B61:G61"/>
    <mergeCell ref="B62:G62"/>
    <mergeCell ref="A1:G1"/>
    <mergeCell ref="A3:G3"/>
    <mergeCell ref="C5:E5"/>
    <mergeCell ref="F6:F7"/>
    <mergeCell ref="G6:G7"/>
    <mergeCell ref="B56:C56"/>
    <mergeCell ref="A2:G2"/>
    <mergeCell ref="B48:G48"/>
    <mergeCell ref="B72:G72"/>
    <mergeCell ref="B57:G57"/>
    <mergeCell ref="B41:G41"/>
    <mergeCell ref="B6:C7"/>
    <mergeCell ref="B80:D80"/>
    <mergeCell ref="A6:A8"/>
    <mergeCell ref="B8:C8"/>
    <mergeCell ref="D6:E6"/>
    <mergeCell ref="B69:D69"/>
    <mergeCell ref="B73:G73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J57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.875" style="0" customWidth="1"/>
    <col min="2" max="2" width="56.125" style="0" customWidth="1"/>
    <col min="3" max="3" width="11.875" style="0" customWidth="1"/>
    <col min="4" max="4" width="11.75390625" style="0" customWidth="1"/>
    <col min="5" max="5" width="10.875" style="0" customWidth="1"/>
    <col min="6" max="6" width="56.25390625" style="0" customWidth="1"/>
    <col min="7" max="7" width="11.625" style="0" customWidth="1"/>
    <col min="8" max="8" width="11.125" style="0" customWidth="1"/>
    <col min="9" max="9" width="11.75390625" style="0" customWidth="1"/>
  </cols>
  <sheetData>
    <row r="1" spans="1:10" s="747" customFormat="1" ht="12.75">
      <c r="A1" s="162"/>
      <c r="B1" s="179"/>
      <c r="H1" s="228"/>
      <c r="I1" s="178" t="s">
        <v>1476</v>
      </c>
      <c r="J1" s="228"/>
    </row>
    <row r="2" spans="1:10" s="747" customFormat="1" ht="12.75">
      <c r="A2" s="162"/>
      <c r="B2" s="179"/>
      <c r="H2" s="228"/>
      <c r="I2" s="178"/>
      <c r="J2" s="228"/>
    </row>
    <row r="3" spans="1:9" s="109" customFormat="1" ht="15">
      <c r="A3" s="162"/>
      <c r="B3" s="1257" t="s">
        <v>1342</v>
      </c>
      <c r="C3" s="1257"/>
      <c r="D3" s="1257"/>
      <c r="E3" s="1257"/>
      <c r="F3" s="1257"/>
      <c r="G3" s="1257"/>
      <c r="H3" s="1257"/>
      <c r="I3" s="746"/>
    </row>
    <row r="4" s="109" customFormat="1" ht="15">
      <c r="A4" s="162"/>
    </row>
    <row r="6" ht="12.75">
      <c r="I6" s="149" t="s">
        <v>4</v>
      </c>
    </row>
    <row r="7" spans="1:9" ht="15.75">
      <c r="A7" s="1169" t="s">
        <v>220</v>
      </c>
      <c r="B7" s="1171" t="s">
        <v>216</v>
      </c>
      <c r="C7" s="1171"/>
      <c r="D7" s="1171"/>
      <c r="E7" s="1171"/>
      <c r="F7" s="1171" t="s">
        <v>50</v>
      </c>
      <c r="G7" s="1171"/>
      <c r="H7" s="1171"/>
      <c r="I7" s="1171"/>
    </row>
    <row r="8" spans="1:9" ht="19.5" customHeight="1">
      <c r="A8" s="1169"/>
      <c r="B8" s="111" t="s">
        <v>11</v>
      </c>
      <c r="C8" s="112" t="s">
        <v>88</v>
      </c>
      <c r="D8" s="112" t="s">
        <v>89</v>
      </c>
      <c r="E8" s="112" t="s">
        <v>90</v>
      </c>
      <c r="F8" s="111" t="s">
        <v>11</v>
      </c>
      <c r="G8" s="112" t="s">
        <v>88</v>
      </c>
      <c r="H8" s="112" t="s">
        <v>89</v>
      </c>
      <c r="I8" s="112" t="s">
        <v>90</v>
      </c>
    </row>
    <row r="9" spans="1:9" ht="12.75">
      <c r="A9" s="1169"/>
      <c r="B9" s="161" t="s">
        <v>221</v>
      </c>
      <c r="C9" s="161" t="s">
        <v>222</v>
      </c>
      <c r="D9" s="161" t="s">
        <v>223</v>
      </c>
      <c r="E9" s="161" t="s">
        <v>224</v>
      </c>
      <c r="F9" s="161" t="s">
        <v>225</v>
      </c>
      <c r="G9" s="161" t="s">
        <v>226</v>
      </c>
      <c r="H9" s="161" t="s">
        <v>227</v>
      </c>
      <c r="I9" s="161" t="s">
        <v>228</v>
      </c>
    </row>
    <row r="10" spans="1:9" ht="23.25" customHeight="1">
      <c r="A10" s="161">
        <v>1</v>
      </c>
      <c r="B10" s="114" t="s">
        <v>668</v>
      </c>
      <c r="C10" s="115">
        <f>SUM(C36+C11)</f>
        <v>1076559</v>
      </c>
      <c r="D10" s="115">
        <f>SUM(D36+D11)</f>
        <v>1186882</v>
      </c>
      <c r="E10" s="115">
        <f>SUM(E36+E11)</f>
        <v>2263441</v>
      </c>
      <c r="F10" s="114" t="s">
        <v>669</v>
      </c>
      <c r="G10" s="115">
        <f>SUM(G36+G11)</f>
        <v>1146743</v>
      </c>
      <c r="H10" s="115">
        <f>SUM(H36+H11)</f>
        <v>1139705</v>
      </c>
      <c r="I10" s="115">
        <f>SUM(I36+I11)</f>
        <v>2286448</v>
      </c>
    </row>
    <row r="11" spans="1:9" ht="12.75">
      <c r="A11" s="164">
        <v>2</v>
      </c>
      <c r="B11" s="117" t="s">
        <v>142</v>
      </c>
      <c r="C11" s="118">
        <f>SUM(C33+C21+C17+C12)</f>
        <v>1076559</v>
      </c>
      <c r="D11" s="118">
        <f>SUM(D33+D21+D17+D12)</f>
        <v>0</v>
      </c>
      <c r="E11" s="118">
        <f>SUM(C11:D11)</f>
        <v>1076559</v>
      </c>
      <c r="F11" s="119" t="s">
        <v>143</v>
      </c>
      <c r="G11" s="118">
        <f>SUM(G21+G15+G14+G13+G12)</f>
        <v>1146743</v>
      </c>
      <c r="H11" s="118">
        <f>SUM(H21+H15+H14+H13+H12)</f>
        <v>0</v>
      </c>
      <c r="I11" s="118">
        <f>SUM(G11:H11)</f>
        <v>1146743</v>
      </c>
    </row>
    <row r="12" spans="1:9" ht="12.75">
      <c r="A12" s="164">
        <v>3</v>
      </c>
      <c r="B12" s="121" t="s">
        <v>593</v>
      </c>
      <c r="C12" s="122">
        <f>SUM(C13:C16)</f>
        <v>738714</v>
      </c>
      <c r="D12" s="122">
        <f>SUM(D13:D16)</f>
        <v>0</v>
      </c>
      <c r="E12" s="122">
        <f aca="true" t="shared" si="0" ref="E12:E35">SUM(C12:D12)</f>
        <v>738714</v>
      </c>
      <c r="F12" s="123" t="s">
        <v>144</v>
      </c>
      <c r="G12" s="122">
        <v>349376</v>
      </c>
      <c r="H12" s="122">
        <v>0</v>
      </c>
      <c r="I12" s="122">
        <f aca="true" t="shared" si="1" ref="I12:I27">SUM(G12:H12)</f>
        <v>349376</v>
      </c>
    </row>
    <row r="13" spans="1:9" ht="12.75">
      <c r="A13" s="161">
        <v>4</v>
      </c>
      <c r="B13" s="125" t="s">
        <v>594</v>
      </c>
      <c r="C13" s="126">
        <v>537190</v>
      </c>
      <c r="D13" s="126">
        <v>0</v>
      </c>
      <c r="E13" s="126">
        <f t="shared" si="0"/>
        <v>537190</v>
      </c>
      <c r="F13" s="123" t="s">
        <v>595</v>
      </c>
      <c r="G13" s="122">
        <v>92753</v>
      </c>
      <c r="H13" s="122">
        <v>0</v>
      </c>
      <c r="I13" s="122">
        <f t="shared" si="1"/>
        <v>92753</v>
      </c>
    </row>
    <row r="14" spans="1:9" ht="12.75">
      <c r="A14" s="164">
        <v>5</v>
      </c>
      <c r="B14" s="125" t="s">
        <v>596</v>
      </c>
      <c r="C14" s="126">
        <v>42041</v>
      </c>
      <c r="D14" s="126">
        <v>0</v>
      </c>
      <c r="E14" s="126">
        <f t="shared" si="0"/>
        <v>42041</v>
      </c>
      <c r="F14" s="123" t="s">
        <v>146</v>
      </c>
      <c r="G14" s="122">
        <v>357946</v>
      </c>
      <c r="H14" s="351"/>
      <c r="I14" s="122">
        <f t="shared" si="1"/>
        <v>357946</v>
      </c>
    </row>
    <row r="15" spans="1:9" ht="12.75">
      <c r="A15" s="164">
        <v>6</v>
      </c>
      <c r="B15" s="125" t="s">
        <v>597</v>
      </c>
      <c r="C15" s="126">
        <v>146700</v>
      </c>
      <c r="D15" s="126">
        <v>0</v>
      </c>
      <c r="E15" s="126">
        <f t="shared" si="0"/>
        <v>146700</v>
      </c>
      <c r="F15" s="123" t="s">
        <v>145</v>
      </c>
      <c r="G15" s="122">
        <f>SUM(G16:G20)</f>
        <v>53356</v>
      </c>
      <c r="H15" s="122">
        <f>SUM(H16:H20)</f>
        <v>0</v>
      </c>
      <c r="I15" s="122">
        <f t="shared" si="1"/>
        <v>53356</v>
      </c>
    </row>
    <row r="16" spans="1:9" ht="12.75">
      <c r="A16" s="164">
        <v>7</v>
      </c>
      <c r="B16" s="125" t="s">
        <v>598</v>
      </c>
      <c r="C16" s="126">
        <v>12783</v>
      </c>
      <c r="D16" s="126">
        <v>0</v>
      </c>
      <c r="E16" s="126">
        <f t="shared" si="0"/>
        <v>12783</v>
      </c>
      <c r="F16" s="129" t="s">
        <v>663</v>
      </c>
      <c r="G16" s="126">
        <v>9089</v>
      </c>
      <c r="H16" s="126">
        <v>0</v>
      </c>
      <c r="I16" s="126">
        <f t="shared" si="1"/>
        <v>9089</v>
      </c>
    </row>
    <row r="17" spans="1:9" ht="12.75">
      <c r="A17" s="161">
        <v>8</v>
      </c>
      <c r="B17" s="121" t="s">
        <v>599</v>
      </c>
      <c r="C17" s="122">
        <f>SUM(C18:C20)</f>
        <v>191361</v>
      </c>
      <c r="D17" s="122">
        <f>SUM(D18:D20)</f>
        <v>0</v>
      </c>
      <c r="E17" s="122">
        <f t="shared" si="0"/>
        <v>191361</v>
      </c>
      <c r="F17" s="129" t="s">
        <v>664</v>
      </c>
      <c r="G17" s="126">
        <v>4</v>
      </c>
      <c r="H17" s="126">
        <v>0</v>
      </c>
      <c r="I17" s="126">
        <f t="shared" si="1"/>
        <v>4</v>
      </c>
    </row>
    <row r="18" spans="1:9" ht="12.75">
      <c r="A18" s="164">
        <v>9</v>
      </c>
      <c r="B18" s="125" t="s">
        <v>601</v>
      </c>
      <c r="C18" s="126">
        <v>170415</v>
      </c>
      <c r="D18" s="126">
        <v>0</v>
      </c>
      <c r="E18" s="126">
        <f t="shared" si="0"/>
        <v>170415</v>
      </c>
      <c r="F18" s="129" t="s">
        <v>665</v>
      </c>
      <c r="G18" s="126">
        <v>24800</v>
      </c>
      <c r="H18" s="126">
        <v>0</v>
      </c>
      <c r="I18" s="126">
        <f t="shared" si="1"/>
        <v>24800</v>
      </c>
    </row>
    <row r="19" spans="1:9" ht="12.75">
      <c r="A19" s="164">
        <v>10</v>
      </c>
      <c r="B19" s="128" t="s">
        <v>603</v>
      </c>
      <c r="C19" s="126">
        <v>20075</v>
      </c>
      <c r="D19" s="126">
        <v>0</v>
      </c>
      <c r="E19" s="126">
        <f t="shared" si="0"/>
        <v>20075</v>
      </c>
      <c r="F19" s="129" t="s">
        <v>666</v>
      </c>
      <c r="G19" s="126">
        <v>11919</v>
      </c>
      <c r="H19" s="126">
        <v>0</v>
      </c>
      <c r="I19" s="126">
        <f t="shared" si="1"/>
        <v>11919</v>
      </c>
    </row>
    <row r="20" spans="1:9" ht="12.75">
      <c r="A20" s="161">
        <v>11</v>
      </c>
      <c r="B20" s="125" t="s">
        <v>605</v>
      </c>
      <c r="C20" s="126">
        <v>871</v>
      </c>
      <c r="D20" s="126">
        <v>0</v>
      </c>
      <c r="E20" s="126">
        <f t="shared" si="0"/>
        <v>871</v>
      </c>
      <c r="F20" s="129" t="s">
        <v>667</v>
      </c>
      <c r="G20" s="126">
        <v>7544</v>
      </c>
      <c r="H20" s="126">
        <v>0</v>
      </c>
      <c r="I20" s="126">
        <f t="shared" si="1"/>
        <v>7544</v>
      </c>
    </row>
    <row r="21" spans="1:9" ht="12.75">
      <c r="A21" s="164">
        <v>12</v>
      </c>
      <c r="B21" s="121" t="s">
        <v>607</v>
      </c>
      <c r="C21" s="122">
        <f>SUM(C22:C32)</f>
        <v>143374</v>
      </c>
      <c r="D21" s="122">
        <f>SUM(D22:D32)</f>
        <v>0</v>
      </c>
      <c r="E21" s="122">
        <f t="shared" si="0"/>
        <v>143374</v>
      </c>
      <c r="F21" s="130" t="s">
        <v>147</v>
      </c>
      <c r="G21" s="122">
        <f>SUM(G22:G27)</f>
        <v>293312</v>
      </c>
      <c r="H21" s="122">
        <f>SUM(H22:H27)</f>
        <v>0</v>
      </c>
      <c r="I21" s="122">
        <f t="shared" si="1"/>
        <v>293312</v>
      </c>
    </row>
    <row r="22" spans="1:9" ht="12.75">
      <c r="A22" s="164">
        <v>13</v>
      </c>
      <c r="B22" s="125" t="s">
        <v>1176</v>
      </c>
      <c r="C22" s="126">
        <v>10911</v>
      </c>
      <c r="D22" s="126">
        <v>0</v>
      </c>
      <c r="E22" s="126">
        <f t="shared" si="0"/>
        <v>10911</v>
      </c>
      <c r="F22" s="129" t="s">
        <v>600</v>
      </c>
      <c r="G22" s="126">
        <v>999</v>
      </c>
      <c r="H22" s="126">
        <v>0</v>
      </c>
      <c r="I22" s="126">
        <f t="shared" si="1"/>
        <v>999</v>
      </c>
    </row>
    <row r="23" spans="1:9" ht="12.75">
      <c r="A23" s="164">
        <v>14</v>
      </c>
      <c r="B23" s="125" t="s">
        <v>610</v>
      </c>
      <c r="C23" s="126">
        <v>88588</v>
      </c>
      <c r="D23" s="126">
        <v>0</v>
      </c>
      <c r="E23" s="126">
        <f t="shared" si="0"/>
        <v>88588</v>
      </c>
      <c r="F23" s="129" t="s">
        <v>602</v>
      </c>
      <c r="G23" s="126">
        <v>41355</v>
      </c>
      <c r="H23" s="126">
        <v>0</v>
      </c>
      <c r="I23" s="126">
        <f t="shared" si="1"/>
        <v>41355</v>
      </c>
    </row>
    <row r="24" spans="1:9" ht="12.75">
      <c r="A24" s="161">
        <v>15</v>
      </c>
      <c r="B24" s="125" t="s">
        <v>611</v>
      </c>
      <c r="C24" s="126">
        <v>8892</v>
      </c>
      <c r="D24" s="126">
        <v>0</v>
      </c>
      <c r="E24" s="126">
        <f t="shared" si="0"/>
        <v>8892</v>
      </c>
      <c r="F24" s="129" t="s">
        <v>604</v>
      </c>
      <c r="G24" s="126">
        <v>199202</v>
      </c>
      <c r="H24" s="126">
        <v>0</v>
      </c>
      <c r="I24" s="126">
        <f t="shared" si="1"/>
        <v>199202</v>
      </c>
    </row>
    <row r="25" spans="1:9" ht="12.75">
      <c r="A25" s="164">
        <v>16</v>
      </c>
      <c r="B25" s="125" t="s">
        <v>612</v>
      </c>
      <c r="C25" s="126">
        <v>1006</v>
      </c>
      <c r="D25" s="126">
        <v>0</v>
      </c>
      <c r="E25" s="126">
        <f t="shared" si="0"/>
        <v>1006</v>
      </c>
      <c r="F25" s="129" t="s">
        <v>606</v>
      </c>
      <c r="G25" s="126">
        <v>24547</v>
      </c>
      <c r="H25" s="126">
        <v>0</v>
      </c>
      <c r="I25" s="126">
        <f t="shared" si="1"/>
        <v>24547</v>
      </c>
    </row>
    <row r="26" spans="1:9" ht="12.75">
      <c r="A26" s="164">
        <v>17</v>
      </c>
      <c r="B26" s="125" t="s">
        <v>613</v>
      </c>
      <c r="C26" s="126">
        <v>7008</v>
      </c>
      <c r="D26" s="126">
        <v>0</v>
      </c>
      <c r="E26" s="126">
        <f t="shared" si="0"/>
        <v>7008</v>
      </c>
      <c r="F26" s="129" t="s">
        <v>608</v>
      </c>
      <c r="G26" s="126">
        <v>0</v>
      </c>
      <c r="H26" s="126">
        <v>0</v>
      </c>
      <c r="I26" s="126">
        <f t="shared" si="1"/>
        <v>0</v>
      </c>
    </row>
    <row r="27" spans="1:9" ht="12.75">
      <c r="A27" s="161">
        <v>18</v>
      </c>
      <c r="B27" s="125" t="s">
        <v>614</v>
      </c>
      <c r="C27" s="126">
        <v>23135</v>
      </c>
      <c r="D27" s="126">
        <v>0</v>
      </c>
      <c r="E27" s="126">
        <f t="shared" si="0"/>
        <v>23135</v>
      </c>
      <c r="F27" s="129" t="s">
        <v>609</v>
      </c>
      <c r="G27" s="126">
        <v>27209</v>
      </c>
      <c r="H27" s="126">
        <v>0</v>
      </c>
      <c r="I27" s="126">
        <f t="shared" si="1"/>
        <v>27209</v>
      </c>
    </row>
    <row r="28" spans="1:9" ht="12.75">
      <c r="A28" s="164">
        <v>19</v>
      </c>
      <c r="B28" s="125" t="s">
        <v>615</v>
      </c>
      <c r="C28" s="126">
        <v>0</v>
      </c>
      <c r="D28" s="126">
        <v>0</v>
      </c>
      <c r="E28" s="126">
        <f t="shared" si="0"/>
        <v>0</v>
      </c>
      <c r="F28" s="129"/>
      <c r="G28" s="126"/>
      <c r="H28" s="126"/>
      <c r="I28" s="126"/>
    </row>
    <row r="29" spans="1:9" ht="12.75">
      <c r="A29" s="164">
        <v>20</v>
      </c>
      <c r="B29" s="125" t="s">
        <v>1177</v>
      </c>
      <c r="C29" s="126">
        <v>304</v>
      </c>
      <c r="D29" s="126">
        <v>0</v>
      </c>
      <c r="E29" s="126">
        <f t="shared" si="0"/>
        <v>304</v>
      </c>
      <c r="F29" s="131"/>
      <c r="G29" s="126"/>
      <c r="H29" s="132"/>
      <c r="I29" s="132"/>
    </row>
    <row r="30" spans="1:9" ht="12.75">
      <c r="A30" s="164">
        <v>21</v>
      </c>
      <c r="B30" s="125" t="s">
        <v>1178</v>
      </c>
      <c r="C30" s="126">
        <v>104</v>
      </c>
      <c r="D30" s="126">
        <v>0</v>
      </c>
      <c r="E30" s="126">
        <f t="shared" si="0"/>
        <v>104</v>
      </c>
      <c r="F30" s="131"/>
      <c r="G30" s="126"/>
      <c r="H30" s="132"/>
      <c r="I30" s="132"/>
    </row>
    <row r="31" spans="1:9" ht="12.75">
      <c r="A31" s="164"/>
      <c r="B31" s="125" t="s">
        <v>1343</v>
      </c>
      <c r="C31" s="126">
        <v>104</v>
      </c>
      <c r="D31" s="126">
        <v>0</v>
      </c>
      <c r="E31" s="126">
        <f t="shared" si="0"/>
        <v>104</v>
      </c>
      <c r="F31" s="131"/>
      <c r="G31" s="126"/>
      <c r="H31" s="132"/>
      <c r="I31" s="132"/>
    </row>
    <row r="32" spans="1:9" ht="12.75">
      <c r="A32" s="164">
        <v>22</v>
      </c>
      <c r="B32" s="125" t="s">
        <v>1180</v>
      </c>
      <c r="C32" s="126">
        <v>3322</v>
      </c>
      <c r="D32" s="126">
        <v>0</v>
      </c>
      <c r="E32" s="126">
        <f t="shared" si="0"/>
        <v>3322</v>
      </c>
      <c r="F32" s="131"/>
      <c r="G32" s="132"/>
      <c r="H32" s="132"/>
      <c r="I32" s="132"/>
    </row>
    <row r="33" spans="1:9" ht="12.75">
      <c r="A33" s="161">
        <v>23</v>
      </c>
      <c r="B33" s="121" t="s">
        <v>166</v>
      </c>
      <c r="C33" s="122">
        <f>SUM(C34:C35)</f>
        <v>3110</v>
      </c>
      <c r="D33" s="122">
        <f>SUM(D34:D35)</f>
        <v>0</v>
      </c>
      <c r="E33" s="122">
        <f t="shared" si="0"/>
        <v>3110</v>
      </c>
      <c r="F33" s="131"/>
      <c r="G33" s="132"/>
      <c r="H33" s="132"/>
      <c r="I33" s="132"/>
    </row>
    <row r="34" spans="1:9" ht="12.75">
      <c r="A34" s="164">
        <v>24</v>
      </c>
      <c r="B34" s="125" t="s">
        <v>616</v>
      </c>
      <c r="C34" s="126">
        <v>2879</v>
      </c>
      <c r="D34" s="126">
        <v>0</v>
      </c>
      <c r="E34" s="126">
        <f t="shared" si="0"/>
        <v>2879</v>
      </c>
      <c r="F34" s="131"/>
      <c r="G34" s="132"/>
      <c r="H34" s="132"/>
      <c r="I34" s="132"/>
    </row>
    <row r="35" spans="1:9" ht="12.75">
      <c r="A35" s="164">
        <v>25</v>
      </c>
      <c r="B35" s="125" t="s">
        <v>617</v>
      </c>
      <c r="C35" s="126">
        <v>231</v>
      </c>
      <c r="D35" s="126">
        <v>0</v>
      </c>
      <c r="E35" s="126">
        <f t="shared" si="0"/>
        <v>231</v>
      </c>
      <c r="F35" s="131"/>
      <c r="G35" s="132"/>
      <c r="H35" s="132"/>
      <c r="I35" s="132"/>
    </row>
    <row r="36" spans="1:9" ht="20.25" customHeight="1">
      <c r="A36" s="164">
        <v>26</v>
      </c>
      <c r="B36" s="135" t="s">
        <v>151</v>
      </c>
      <c r="C36" s="118">
        <f>SUM(C45+C40+C37)</f>
        <v>0</v>
      </c>
      <c r="D36" s="118">
        <f>SUM(D45+D40+D37)</f>
        <v>1186882</v>
      </c>
      <c r="E36" s="118">
        <f>SUM(C36:D36)</f>
        <v>1186882</v>
      </c>
      <c r="F36" s="119" t="s">
        <v>152</v>
      </c>
      <c r="G36" s="118">
        <f>SUM(G37:G39)</f>
        <v>0</v>
      </c>
      <c r="H36" s="118">
        <f>SUM(H37:H39)</f>
        <v>1139705</v>
      </c>
      <c r="I36" s="118">
        <f>SUM(G36:H36)</f>
        <v>1139705</v>
      </c>
    </row>
    <row r="37" spans="1:9" ht="12.75">
      <c r="A37" s="164">
        <v>27</v>
      </c>
      <c r="B37" s="121" t="s">
        <v>618</v>
      </c>
      <c r="C37" s="122">
        <f>SUM(C38:C39)</f>
        <v>0</v>
      </c>
      <c r="D37" s="122">
        <f>SUM(D38:D39)</f>
        <v>1154140</v>
      </c>
      <c r="E37" s="122">
        <f aca="true" t="shared" si="2" ref="E37:E47">SUM(C37:D37)</f>
        <v>1154140</v>
      </c>
      <c r="F37" s="123" t="s">
        <v>619</v>
      </c>
      <c r="G37" s="122">
        <v>0</v>
      </c>
      <c r="H37" s="122">
        <f>1011575+1</f>
        <v>1011576</v>
      </c>
      <c r="I37" s="122">
        <f aca="true" t="shared" si="3" ref="I37:I44">SUM(G37:H37)</f>
        <v>1011576</v>
      </c>
    </row>
    <row r="38" spans="1:9" ht="12.75">
      <c r="A38" s="164">
        <v>28</v>
      </c>
      <c r="B38" s="125" t="s">
        <v>620</v>
      </c>
      <c r="C38" s="126">
        <v>0</v>
      </c>
      <c r="D38" s="126">
        <v>16148</v>
      </c>
      <c r="E38" s="126">
        <f t="shared" si="2"/>
        <v>16148</v>
      </c>
      <c r="F38" s="123" t="s">
        <v>621</v>
      </c>
      <c r="G38" s="122">
        <v>0</v>
      </c>
      <c r="H38" s="122">
        <v>109584</v>
      </c>
      <c r="I38" s="122">
        <f t="shared" si="3"/>
        <v>109584</v>
      </c>
    </row>
    <row r="39" spans="1:9" ht="12.75">
      <c r="A39" s="161">
        <v>29</v>
      </c>
      <c r="B39" s="125" t="s">
        <v>622</v>
      </c>
      <c r="C39" s="126">
        <v>0</v>
      </c>
      <c r="D39" s="126">
        <f>1137991+1</f>
        <v>1137992</v>
      </c>
      <c r="E39" s="126">
        <f t="shared" si="2"/>
        <v>1137992</v>
      </c>
      <c r="F39" s="123" t="s">
        <v>148</v>
      </c>
      <c r="G39" s="122">
        <f>SUM(G40:G44)</f>
        <v>0</v>
      </c>
      <c r="H39" s="122">
        <f>SUM(H40:H44)</f>
        <v>18545</v>
      </c>
      <c r="I39" s="122">
        <f t="shared" si="3"/>
        <v>18545</v>
      </c>
    </row>
    <row r="40" spans="1:9" ht="12.75">
      <c r="A40" s="164">
        <v>30</v>
      </c>
      <c r="B40" s="121" t="s">
        <v>623</v>
      </c>
      <c r="C40" s="122">
        <f>SUM(C41:C44)</f>
        <v>0</v>
      </c>
      <c r="D40" s="122">
        <f>SUM(D41:D44)</f>
        <v>8036</v>
      </c>
      <c r="E40" s="122">
        <f t="shared" si="2"/>
        <v>8036</v>
      </c>
      <c r="F40" s="129" t="s">
        <v>624</v>
      </c>
      <c r="G40" s="126">
        <v>0</v>
      </c>
      <c r="H40" s="126">
        <v>2199</v>
      </c>
      <c r="I40" s="126">
        <f t="shared" si="3"/>
        <v>2199</v>
      </c>
    </row>
    <row r="41" spans="1:9" ht="12.75">
      <c r="A41" s="164">
        <v>31</v>
      </c>
      <c r="B41" s="125" t="s">
        <v>625</v>
      </c>
      <c r="C41" s="126">
        <v>0</v>
      </c>
      <c r="D41" s="126">
        <f>SUM(C41:C41)</f>
        <v>0</v>
      </c>
      <c r="E41" s="126">
        <f t="shared" si="2"/>
        <v>0</v>
      </c>
      <c r="F41" s="129" t="s">
        <v>626</v>
      </c>
      <c r="G41" s="126">
        <v>0</v>
      </c>
      <c r="H41" s="126">
        <f>SUM(F41:G41)</f>
        <v>0</v>
      </c>
      <c r="I41" s="126">
        <f t="shared" si="3"/>
        <v>0</v>
      </c>
    </row>
    <row r="42" spans="1:9" ht="12.75">
      <c r="A42" s="161">
        <v>32</v>
      </c>
      <c r="B42" s="125" t="s">
        <v>627</v>
      </c>
      <c r="C42" s="126">
        <v>0</v>
      </c>
      <c r="D42" s="126">
        <v>8026</v>
      </c>
      <c r="E42" s="126">
        <f t="shared" si="2"/>
        <v>8026</v>
      </c>
      <c r="F42" s="129" t="s">
        <v>628</v>
      </c>
      <c r="G42" s="126">
        <v>0</v>
      </c>
      <c r="H42" s="126">
        <v>255</v>
      </c>
      <c r="I42" s="126">
        <f t="shared" si="3"/>
        <v>255</v>
      </c>
    </row>
    <row r="43" spans="1:9" ht="12.75">
      <c r="A43" s="164">
        <v>33</v>
      </c>
      <c r="B43" s="125" t="s">
        <v>629</v>
      </c>
      <c r="C43" s="126">
        <v>0</v>
      </c>
      <c r="D43" s="126">
        <v>0</v>
      </c>
      <c r="E43" s="126">
        <f t="shared" si="2"/>
        <v>0</v>
      </c>
      <c r="F43" s="129" t="s">
        <v>630</v>
      </c>
      <c r="G43" s="126">
        <v>0</v>
      </c>
      <c r="H43" s="126">
        <f>SUM(F43:G43)</f>
        <v>0</v>
      </c>
      <c r="I43" s="126">
        <f t="shared" si="3"/>
        <v>0</v>
      </c>
    </row>
    <row r="44" spans="1:9" ht="12.75">
      <c r="A44" s="164">
        <v>34</v>
      </c>
      <c r="B44" s="125" t="s">
        <v>631</v>
      </c>
      <c r="C44" s="126">
        <v>0</v>
      </c>
      <c r="D44" s="126">
        <v>10</v>
      </c>
      <c r="E44" s="126">
        <f t="shared" si="2"/>
        <v>10</v>
      </c>
      <c r="F44" s="129" t="s">
        <v>632</v>
      </c>
      <c r="G44" s="126">
        <v>0</v>
      </c>
      <c r="H44" s="126">
        <v>16091</v>
      </c>
      <c r="I44" s="126">
        <f t="shared" si="3"/>
        <v>16091</v>
      </c>
    </row>
    <row r="45" spans="1:9" ht="12.75">
      <c r="A45" s="164">
        <v>35</v>
      </c>
      <c r="B45" s="121" t="s">
        <v>633</v>
      </c>
      <c r="C45" s="122">
        <f>SUM(C46:C47)</f>
        <v>0</v>
      </c>
      <c r="D45" s="122">
        <f>SUM(D46:D47)</f>
        <v>24706</v>
      </c>
      <c r="E45" s="122">
        <f t="shared" si="2"/>
        <v>24706</v>
      </c>
      <c r="F45" s="129"/>
      <c r="G45" s="126"/>
      <c r="H45" s="126"/>
      <c r="I45" s="126"/>
    </row>
    <row r="46" spans="1:9" ht="12.75">
      <c r="A46" s="161">
        <v>36</v>
      </c>
      <c r="B46" s="125" t="s">
        <v>634</v>
      </c>
      <c r="C46" s="126">
        <v>0</v>
      </c>
      <c r="D46" s="126">
        <v>0</v>
      </c>
      <c r="E46" s="126">
        <f t="shared" si="2"/>
        <v>0</v>
      </c>
      <c r="F46" s="350"/>
      <c r="G46" s="126"/>
      <c r="H46" s="126"/>
      <c r="I46" s="126"/>
    </row>
    <row r="47" spans="1:9" ht="12.75">
      <c r="A47" s="164">
        <v>37</v>
      </c>
      <c r="B47" s="125" t="s">
        <v>635</v>
      </c>
      <c r="C47" s="126">
        <v>0</v>
      </c>
      <c r="D47" s="126">
        <v>24706</v>
      </c>
      <c r="E47" s="126">
        <f t="shared" si="2"/>
        <v>24706</v>
      </c>
      <c r="F47" s="350"/>
      <c r="G47" s="126"/>
      <c r="H47" s="126"/>
      <c r="I47" s="126"/>
    </row>
    <row r="48" spans="1:9" ht="12.75">
      <c r="A48" s="1258"/>
      <c r="B48" s="1259"/>
      <c r="C48" s="1259"/>
      <c r="D48" s="1259"/>
      <c r="E48" s="1259"/>
      <c r="F48" s="1259"/>
      <c r="G48" s="1259"/>
      <c r="H48" s="1259"/>
      <c r="I48" s="1260"/>
    </row>
    <row r="49" spans="1:9" ht="14.25">
      <c r="A49" s="164">
        <v>38</v>
      </c>
      <c r="B49" s="1161" t="s">
        <v>149</v>
      </c>
      <c r="C49" s="1162"/>
      <c r="D49" s="1162"/>
      <c r="E49" s="1162"/>
      <c r="F49" s="1162"/>
      <c r="G49" s="147">
        <f>C10-G10</f>
        <v>-70184</v>
      </c>
      <c r="H49" s="147">
        <f>D10-H10</f>
        <v>47177</v>
      </c>
      <c r="I49" s="147">
        <f>SUM(G49:H49)</f>
        <v>-23007</v>
      </c>
    </row>
    <row r="50" spans="1:9" ht="12.75">
      <c r="A50" s="1163"/>
      <c r="B50" s="1164"/>
      <c r="C50" s="1164"/>
      <c r="D50" s="1164"/>
      <c r="E50" s="1164"/>
      <c r="F50" s="1164"/>
      <c r="G50" s="1164"/>
      <c r="H50" s="1164"/>
      <c r="I50" s="1165"/>
    </row>
    <row r="51" spans="1:9" ht="39" customHeight="1">
      <c r="A51" s="164">
        <v>39</v>
      </c>
      <c r="B51" s="114" t="s">
        <v>660</v>
      </c>
      <c r="C51" s="139">
        <f>SUM(C52)</f>
        <v>67010</v>
      </c>
      <c r="D51" s="139">
        <f>SUM(D52)</f>
        <v>64717</v>
      </c>
      <c r="E51" s="139">
        <f>SUM(C51:D51)</f>
        <v>131727</v>
      </c>
      <c r="F51" s="140"/>
      <c r="G51" s="139"/>
      <c r="H51" s="139"/>
      <c r="I51" s="139"/>
    </row>
    <row r="52" spans="1:9" ht="24" customHeight="1">
      <c r="A52" s="161">
        <v>40</v>
      </c>
      <c r="B52" s="142" t="s">
        <v>150</v>
      </c>
      <c r="C52" s="849">
        <v>67010</v>
      </c>
      <c r="D52" s="849">
        <v>64717</v>
      </c>
      <c r="E52" s="139">
        <f aca="true" t="shared" si="4" ref="E52:E57">SUM(C52:D52)</f>
        <v>131727</v>
      </c>
      <c r="F52" s="119"/>
      <c r="G52" s="118"/>
      <c r="H52" s="118"/>
      <c r="I52" s="118"/>
    </row>
    <row r="53" spans="1:9" ht="30" customHeight="1">
      <c r="A53" s="164">
        <v>41</v>
      </c>
      <c r="B53" s="114" t="s">
        <v>661</v>
      </c>
      <c r="C53" s="139">
        <f>SUM(C54:C56)</f>
        <v>141280</v>
      </c>
      <c r="D53" s="139">
        <f>SUM(D54:D56)</f>
        <v>0</v>
      </c>
      <c r="E53" s="139">
        <f t="shared" si="4"/>
        <v>141280</v>
      </c>
      <c r="F53" s="143" t="s">
        <v>662</v>
      </c>
      <c r="G53" s="139">
        <f>SUM(G54:G56)</f>
        <v>139882</v>
      </c>
      <c r="H53" s="139">
        <f>SUM(H54:H56)</f>
        <v>0</v>
      </c>
      <c r="I53" s="139">
        <f>SUM(G53:H53)</f>
        <v>139882</v>
      </c>
    </row>
    <row r="54" spans="1:9" ht="14.25">
      <c r="A54" s="164">
        <v>42</v>
      </c>
      <c r="B54" s="136" t="s">
        <v>670</v>
      </c>
      <c r="C54" s="118">
        <v>0</v>
      </c>
      <c r="D54" s="118">
        <v>0</v>
      </c>
      <c r="E54" s="139">
        <f t="shared" si="4"/>
        <v>0</v>
      </c>
      <c r="F54" s="119" t="s">
        <v>671</v>
      </c>
      <c r="G54" s="118">
        <v>0</v>
      </c>
      <c r="H54" s="118">
        <v>0</v>
      </c>
      <c r="I54" s="139">
        <f>SUM(G54:H54)</f>
        <v>0</v>
      </c>
    </row>
    <row r="55" spans="1:9" ht="14.25">
      <c r="A55" s="164">
        <v>43</v>
      </c>
      <c r="B55" s="136" t="s">
        <v>672</v>
      </c>
      <c r="C55" s="118">
        <v>123644</v>
      </c>
      <c r="D55" s="118">
        <v>0</v>
      </c>
      <c r="E55" s="139">
        <f t="shared" si="4"/>
        <v>123644</v>
      </c>
      <c r="F55" s="119" t="s">
        <v>673</v>
      </c>
      <c r="G55" s="118">
        <v>123644</v>
      </c>
      <c r="H55" s="118">
        <v>0</v>
      </c>
      <c r="I55" s="139">
        <f>SUM(G55:H55)</f>
        <v>123644</v>
      </c>
    </row>
    <row r="56" spans="1:9" ht="14.25">
      <c r="A56" s="164">
        <v>44</v>
      </c>
      <c r="B56" s="136" t="s">
        <v>674</v>
      </c>
      <c r="C56" s="118">
        <v>17636</v>
      </c>
      <c r="D56" s="118">
        <f>65000-65000</f>
        <v>0</v>
      </c>
      <c r="E56" s="139">
        <f t="shared" si="4"/>
        <v>17636</v>
      </c>
      <c r="F56" s="119" t="s">
        <v>675</v>
      </c>
      <c r="G56" s="118">
        <v>16238</v>
      </c>
      <c r="H56" s="118">
        <v>0</v>
      </c>
      <c r="I56" s="139">
        <f>SUM(G56:H56)</f>
        <v>16238</v>
      </c>
    </row>
    <row r="57" spans="1:9" ht="15.75">
      <c r="A57" s="164">
        <v>45</v>
      </c>
      <c r="B57" s="226" t="s">
        <v>31</v>
      </c>
      <c r="C57" s="227">
        <f>SUM(C51+C53+C10)</f>
        <v>1284849</v>
      </c>
      <c r="D57" s="227">
        <f>SUM(D51+D53+D10)</f>
        <v>1251599</v>
      </c>
      <c r="E57" s="139">
        <f t="shared" si="4"/>
        <v>2536448</v>
      </c>
      <c r="F57" s="226" t="s">
        <v>32</v>
      </c>
      <c r="G57" s="227">
        <f>SUM(G53+G10)</f>
        <v>1286625</v>
      </c>
      <c r="H57" s="227">
        <f>SUM(H53+H10)</f>
        <v>1139705</v>
      </c>
      <c r="I57" s="139">
        <f>SUM(G57:H57)</f>
        <v>2426330</v>
      </c>
    </row>
  </sheetData>
  <sheetProtection/>
  <mergeCells count="7">
    <mergeCell ref="B49:F49"/>
    <mergeCell ref="A50:I50"/>
    <mergeCell ref="B3:H3"/>
    <mergeCell ref="A7:A9"/>
    <mergeCell ref="B7:E7"/>
    <mergeCell ref="F7:I7"/>
    <mergeCell ref="A48:I4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5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8"/>
  <sheetViews>
    <sheetView zoomScalePageLayoutView="0" workbookViewId="0" topLeftCell="A1">
      <selection activeCell="B2" sqref="B2:G2"/>
    </sheetView>
  </sheetViews>
  <sheetFormatPr defaultColWidth="8.875" defaultRowHeight="12.75"/>
  <cols>
    <col min="1" max="1" width="4.125" style="179" bestFit="1" customWidth="1"/>
    <col min="2" max="2" width="58.625" style="191" customWidth="1"/>
    <col min="3" max="4" width="13.125" style="191" customWidth="1"/>
    <col min="5" max="5" width="54.75390625" style="191" customWidth="1"/>
    <col min="6" max="7" width="13.125" style="191" customWidth="1"/>
    <col min="8" max="8" width="38.375" style="191" customWidth="1"/>
    <col min="9" max="16384" width="8.875" style="191" customWidth="1"/>
  </cols>
  <sheetData>
    <row r="1" spans="5:7" ht="12.75">
      <c r="E1" s="1127" t="s">
        <v>1477</v>
      </c>
      <c r="F1" s="1128"/>
      <c r="G1" s="1128"/>
    </row>
    <row r="2" spans="1:7" s="186" customFormat="1" ht="15.75">
      <c r="A2" s="179"/>
      <c r="B2" s="1129" t="s">
        <v>82</v>
      </c>
      <c r="C2" s="1129"/>
      <c r="D2" s="1129"/>
      <c r="E2" s="1129"/>
      <c r="F2" s="1129"/>
      <c r="G2" s="1129"/>
    </row>
    <row r="3" spans="1:7" s="186" customFormat="1" ht="14.25">
      <c r="A3" s="179"/>
      <c r="B3" s="1265" t="s">
        <v>1457</v>
      </c>
      <c r="C3" s="1265"/>
      <c r="D3" s="1265"/>
      <c r="E3" s="1265"/>
      <c r="F3" s="1265"/>
      <c r="G3" s="1265"/>
    </row>
    <row r="4" spans="6:7" ht="13.5" thickBot="1">
      <c r="F4" s="178"/>
      <c r="G4" s="178" t="s">
        <v>14</v>
      </c>
    </row>
    <row r="5" spans="1:7" s="192" customFormat="1" ht="15.75" customHeight="1">
      <c r="A5" s="1261" t="s">
        <v>220</v>
      </c>
      <c r="B5" s="1263" t="s">
        <v>72</v>
      </c>
      <c r="C5" s="1266" t="s">
        <v>217</v>
      </c>
      <c r="D5" s="1266"/>
      <c r="E5" s="1263" t="s">
        <v>73</v>
      </c>
      <c r="F5" s="1266" t="s">
        <v>217</v>
      </c>
      <c r="G5" s="1267"/>
    </row>
    <row r="6" spans="1:7" s="192" customFormat="1" ht="12.75">
      <c r="A6" s="1262"/>
      <c r="B6" s="1264"/>
      <c r="C6" s="193" t="s">
        <v>218</v>
      </c>
      <c r="D6" s="193" t="s">
        <v>219</v>
      </c>
      <c r="E6" s="1264"/>
      <c r="F6" s="193" t="s">
        <v>218</v>
      </c>
      <c r="G6" s="208" t="s">
        <v>219</v>
      </c>
    </row>
    <row r="7" spans="1:7" s="179" customFormat="1" ht="12">
      <c r="A7" s="1262"/>
      <c r="B7" s="190" t="s">
        <v>221</v>
      </c>
      <c r="C7" s="190" t="s">
        <v>222</v>
      </c>
      <c r="D7" s="190" t="s">
        <v>223</v>
      </c>
      <c r="E7" s="190" t="s">
        <v>224</v>
      </c>
      <c r="F7" s="190" t="s">
        <v>225</v>
      </c>
      <c r="G7" s="212" t="s">
        <v>226</v>
      </c>
    </row>
    <row r="8" spans="1:7" ht="24" customHeight="1">
      <c r="A8" s="204">
        <v>1</v>
      </c>
      <c r="B8" s="195" t="s">
        <v>83</v>
      </c>
      <c r="C8" s="194">
        <v>339</v>
      </c>
      <c r="D8" s="194">
        <v>122</v>
      </c>
      <c r="E8" s="200" t="s">
        <v>1081</v>
      </c>
      <c r="F8" s="196">
        <v>6429241</v>
      </c>
      <c r="G8" s="210">
        <v>6429241</v>
      </c>
    </row>
    <row r="9" spans="1:7" ht="24" customHeight="1">
      <c r="A9" s="204">
        <v>2</v>
      </c>
      <c r="B9" s="195" t="s">
        <v>84</v>
      </c>
      <c r="C9" s="194">
        <v>4243</v>
      </c>
      <c r="D9" s="194">
        <v>1455</v>
      </c>
      <c r="E9" s="200" t="s">
        <v>1082</v>
      </c>
      <c r="F9" s="196">
        <v>0</v>
      </c>
      <c r="G9" s="210">
        <v>265101</v>
      </c>
    </row>
    <row r="10" spans="1:7" ht="24" customHeight="1">
      <c r="A10" s="204">
        <v>3</v>
      </c>
      <c r="B10" s="200" t="s">
        <v>1064</v>
      </c>
      <c r="C10" s="196">
        <f>SUM(C8:C9)</f>
        <v>4582</v>
      </c>
      <c r="D10" s="196">
        <f>SUM(D8:D9)</f>
        <v>1577</v>
      </c>
      <c r="E10" s="200" t="s">
        <v>1083</v>
      </c>
      <c r="F10" s="196">
        <v>135392</v>
      </c>
      <c r="G10" s="210">
        <v>135392</v>
      </c>
    </row>
    <row r="11" spans="1:7" ht="24" customHeight="1">
      <c r="A11" s="204">
        <v>4</v>
      </c>
      <c r="B11" s="195" t="s">
        <v>85</v>
      </c>
      <c r="C11" s="194">
        <v>3142682</v>
      </c>
      <c r="D11" s="194">
        <v>6029189</v>
      </c>
      <c r="E11" s="200" t="s">
        <v>1084</v>
      </c>
      <c r="F11" s="196">
        <v>-1720315</v>
      </c>
      <c r="G11" s="210">
        <v>-1396928</v>
      </c>
    </row>
    <row r="12" spans="1:7" ht="24" customHeight="1">
      <c r="A12" s="204">
        <v>5</v>
      </c>
      <c r="B12" s="195" t="s">
        <v>1060</v>
      </c>
      <c r="C12" s="194">
        <v>93787</v>
      </c>
      <c r="D12" s="870">
        <v>362395</v>
      </c>
      <c r="E12" s="200" t="s">
        <v>1085</v>
      </c>
      <c r="F12" s="196">
        <v>0</v>
      </c>
      <c r="G12" s="210">
        <v>0</v>
      </c>
    </row>
    <row r="13" spans="1:7" ht="24" customHeight="1">
      <c r="A13" s="204">
        <v>6</v>
      </c>
      <c r="B13" s="195" t="s">
        <v>1061</v>
      </c>
      <c r="C13" s="194">
        <v>0</v>
      </c>
      <c r="D13" s="194">
        <v>0</v>
      </c>
      <c r="E13" s="200" t="s">
        <v>1086</v>
      </c>
      <c r="F13" s="725">
        <v>346154</v>
      </c>
      <c r="G13" s="871">
        <f>-62548-523</f>
        <v>-63071</v>
      </c>
    </row>
    <row r="14" spans="1:7" ht="24" customHeight="1">
      <c r="A14" s="204">
        <v>7</v>
      </c>
      <c r="B14" s="195" t="s">
        <v>86</v>
      </c>
      <c r="C14" s="194">
        <v>2844982</v>
      </c>
      <c r="D14" s="194">
        <v>19018</v>
      </c>
      <c r="E14" s="656" t="s">
        <v>1087</v>
      </c>
      <c r="F14" s="657">
        <f>SUM(F8:F13)</f>
        <v>5190472</v>
      </c>
      <c r="G14" s="668">
        <f>SUM(G8:G13)</f>
        <v>5369735</v>
      </c>
    </row>
    <row r="15" spans="1:7" ht="24" customHeight="1">
      <c r="A15" s="204">
        <v>8</v>
      </c>
      <c r="B15" s="195" t="s">
        <v>1062</v>
      </c>
      <c r="C15" s="194">
        <v>0</v>
      </c>
      <c r="D15" s="194">
        <v>0</v>
      </c>
      <c r="E15" s="322" t="s">
        <v>1088</v>
      </c>
      <c r="F15" s="323">
        <v>467398</v>
      </c>
      <c r="G15" s="324">
        <v>4526</v>
      </c>
    </row>
    <row r="16" spans="1:8" ht="24" customHeight="1">
      <c r="A16" s="204">
        <v>9</v>
      </c>
      <c r="B16" s="200" t="s">
        <v>1065</v>
      </c>
      <c r="C16" s="196">
        <f>SUM(C11:C15)</f>
        <v>6081451</v>
      </c>
      <c r="D16" s="196">
        <f>SUM(D11:D15)</f>
        <v>6410602</v>
      </c>
      <c r="E16" s="322" t="s">
        <v>1089</v>
      </c>
      <c r="F16" s="323">
        <v>31951</v>
      </c>
      <c r="G16" s="324">
        <v>22794</v>
      </c>
      <c r="H16" s="199"/>
    </row>
    <row r="17" spans="1:8" ht="24" customHeight="1">
      <c r="A17" s="204">
        <v>10</v>
      </c>
      <c r="B17" s="195" t="s">
        <v>1063</v>
      </c>
      <c r="C17" s="194">
        <v>61487</v>
      </c>
      <c r="D17" s="194">
        <v>61437</v>
      </c>
      <c r="E17" s="322" t="s">
        <v>1091</v>
      </c>
      <c r="F17" s="323">
        <v>12445</v>
      </c>
      <c r="G17" s="324">
        <v>14381</v>
      </c>
      <c r="H17" s="199"/>
    </row>
    <row r="18" spans="1:8" ht="24" customHeight="1">
      <c r="A18" s="204">
        <v>11</v>
      </c>
      <c r="B18" s="200" t="s">
        <v>1066</v>
      </c>
      <c r="C18" s="196">
        <v>61487</v>
      </c>
      <c r="D18" s="196">
        <v>61437</v>
      </c>
      <c r="E18" s="656" t="s">
        <v>1090</v>
      </c>
      <c r="F18" s="657">
        <f>SUM(F15:F17)</f>
        <v>511794</v>
      </c>
      <c r="G18" s="668">
        <f>SUM(G15:G17)</f>
        <v>41701</v>
      </c>
      <c r="H18" s="199"/>
    </row>
    <row r="19" spans="1:8" ht="24" customHeight="1">
      <c r="A19" s="204">
        <v>12</v>
      </c>
      <c r="B19" s="207" t="s">
        <v>1067</v>
      </c>
      <c r="C19" s="196">
        <v>1088659</v>
      </c>
      <c r="D19" s="196">
        <v>1367555</v>
      </c>
      <c r="E19" s="667" t="s">
        <v>1339</v>
      </c>
      <c r="F19" s="323">
        <v>0</v>
      </c>
      <c r="G19" s="324">
        <v>0</v>
      </c>
      <c r="H19" s="199"/>
    </row>
    <row r="20" spans="1:8" ht="31.5" customHeight="1">
      <c r="A20" s="204">
        <v>13</v>
      </c>
      <c r="B20" s="656" t="s">
        <v>1069</v>
      </c>
      <c r="C20" s="657">
        <f>SUM(C10+C16+C18+C19)</f>
        <v>7236179</v>
      </c>
      <c r="D20" s="657">
        <f>SUM(D10+D16+D18+D19)</f>
        <v>7841171</v>
      </c>
      <c r="E20" s="667" t="s">
        <v>1340</v>
      </c>
      <c r="F20" s="323">
        <v>20940</v>
      </c>
      <c r="G20" s="324">
        <v>21760</v>
      </c>
      <c r="H20" s="199"/>
    </row>
    <row r="21" spans="1:8" ht="24" customHeight="1">
      <c r="A21" s="204">
        <v>14</v>
      </c>
      <c r="B21" s="200" t="s">
        <v>1068</v>
      </c>
      <c r="C21" s="196">
        <v>1740</v>
      </c>
      <c r="D21" s="196">
        <v>3020</v>
      </c>
      <c r="E21" s="667" t="s">
        <v>1341</v>
      </c>
      <c r="F21" s="323">
        <v>1744216</v>
      </c>
      <c r="G21" s="324">
        <v>2659690</v>
      </c>
      <c r="H21" s="199"/>
    </row>
    <row r="22" spans="1:8" ht="24.75" customHeight="1">
      <c r="A22" s="204">
        <v>15</v>
      </c>
      <c r="B22" s="656" t="s">
        <v>1070</v>
      </c>
      <c r="C22" s="657">
        <f>SUM(C21)</f>
        <v>1740</v>
      </c>
      <c r="D22" s="657">
        <f>SUM(D21)</f>
        <v>3020</v>
      </c>
      <c r="E22" s="666" t="s">
        <v>1338</v>
      </c>
      <c r="F22" s="657">
        <f>SUM(F19:F21)</f>
        <v>1765156</v>
      </c>
      <c r="G22" s="668">
        <f>SUM(G19:G21)</f>
        <v>2681450</v>
      </c>
      <c r="H22" s="199"/>
    </row>
    <row r="23" spans="1:8" ht="25.5" customHeight="1">
      <c r="A23" s="204">
        <v>16</v>
      </c>
      <c r="B23" s="656" t="s">
        <v>1071</v>
      </c>
      <c r="C23" s="657">
        <v>117362</v>
      </c>
      <c r="D23" s="657">
        <v>123683</v>
      </c>
      <c r="E23" s="666"/>
      <c r="F23" s="657"/>
      <c r="G23" s="668"/>
      <c r="H23" s="199"/>
    </row>
    <row r="24" spans="1:11" s="198" customFormat="1" ht="24.75" customHeight="1">
      <c r="A24" s="204">
        <v>17</v>
      </c>
      <c r="B24" s="200" t="s">
        <v>1072</v>
      </c>
      <c r="C24" s="196">
        <v>55366</v>
      </c>
      <c r="D24" s="196">
        <v>111015</v>
      </c>
      <c r="E24" s="666"/>
      <c r="F24" s="657"/>
      <c r="G24" s="668"/>
      <c r="H24" s="199"/>
      <c r="I24" s="191"/>
      <c r="J24" s="191"/>
      <c r="K24" s="191"/>
    </row>
    <row r="25" spans="1:8" ht="24.75" customHeight="1">
      <c r="A25" s="204">
        <v>18</v>
      </c>
      <c r="B25" s="200" t="s">
        <v>1073</v>
      </c>
      <c r="C25" s="196">
        <v>40540</v>
      </c>
      <c r="D25" s="196">
        <v>12175</v>
      </c>
      <c r="E25" s="213"/>
      <c r="F25" s="201"/>
      <c r="G25" s="211"/>
      <c r="H25" s="199"/>
    </row>
    <row r="26" spans="1:8" ht="24.75" customHeight="1">
      <c r="A26" s="204">
        <v>19</v>
      </c>
      <c r="B26" s="659" t="s">
        <v>1074</v>
      </c>
      <c r="C26" s="660">
        <v>3929</v>
      </c>
      <c r="D26" s="660">
        <v>200</v>
      </c>
      <c r="E26" s="195"/>
      <c r="F26" s="194"/>
      <c r="G26" s="209"/>
      <c r="H26" s="199"/>
    </row>
    <row r="27" spans="1:8" ht="24" customHeight="1">
      <c r="A27" s="204">
        <v>20</v>
      </c>
      <c r="B27" s="656" t="s">
        <v>1075</v>
      </c>
      <c r="C27" s="664">
        <f>SUM(C24:C26)</f>
        <v>99835</v>
      </c>
      <c r="D27" s="664">
        <f>SUM(D24:D26)</f>
        <v>123390</v>
      </c>
      <c r="E27" s="200"/>
      <c r="F27" s="196"/>
      <c r="G27" s="210"/>
      <c r="H27" s="199"/>
    </row>
    <row r="28" spans="1:8" ht="24" customHeight="1">
      <c r="A28" s="204">
        <v>21</v>
      </c>
      <c r="B28" s="665" t="s">
        <v>1076</v>
      </c>
      <c r="C28" s="664">
        <v>3915</v>
      </c>
      <c r="D28" s="833">
        <v>615</v>
      </c>
      <c r="E28" s="200"/>
      <c r="F28" s="196"/>
      <c r="G28" s="210"/>
      <c r="H28" s="199"/>
    </row>
    <row r="29" spans="1:8" ht="24" customHeight="1">
      <c r="A29" s="204">
        <v>22</v>
      </c>
      <c r="B29" s="200" t="s">
        <v>1077</v>
      </c>
      <c r="C29" s="196">
        <v>8250</v>
      </c>
      <c r="D29" s="196">
        <v>0</v>
      </c>
      <c r="E29" s="187"/>
      <c r="F29" s="197"/>
      <c r="G29" s="188"/>
      <c r="H29" s="199"/>
    </row>
    <row r="30" spans="1:8" ht="24" customHeight="1">
      <c r="A30" s="658">
        <v>23</v>
      </c>
      <c r="B30" s="200" t="s">
        <v>1078</v>
      </c>
      <c r="C30" s="196">
        <v>141</v>
      </c>
      <c r="D30" s="196">
        <v>1007</v>
      </c>
      <c r="E30" s="661"/>
      <c r="F30" s="662"/>
      <c r="G30" s="663"/>
      <c r="H30" s="199"/>
    </row>
    <row r="31" spans="1:8" ht="24" customHeight="1">
      <c r="A31" s="658">
        <v>24</v>
      </c>
      <c r="B31" s="200" t="s">
        <v>1079</v>
      </c>
      <c r="C31" s="196">
        <v>0</v>
      </c>
      <c r="D31" s="196">
        <v>0</v>
      </c>
      <c r="E31" s="661"/>
      <c r="F31" s="662"/>
      <c r="G31" s="663"/>
      <c r="H31" s="199"/>
    </row>
    <row r="32" spans="1:8" ht="24" customHeight="1">
      <c r="A32" s="658">
        <v>25</v>
      </c>
      <c r="B32" s="665" t="s">
        <v>1080</v>
      </c>
      <c r="C32" s="664">
        <f>SUM(C29:C31)</f>
        <v>8391</v>
      </c>
      <c r="D32" s="664">
        <f>SUM(D29:D31)</f>
        <v>1007</v>
      </c>
      <c r="E32" s="661"/>
      <c r="F32" s="662"/>
      <c r="G32" s="663"/>
      <c r="H32" s="199"/>
    </row>
    <row r="33" spans="1:8" ht="24" customHeight="1" thickBot="1">
      <c r="A33" s="1040">
        <v>26</v>
      </c>
      <c r="B33" s="189" t="s">
        <v>81</v>
      </c>
      <c r="C33" s="202">
        <f>SUM(C20+C22+C23+C27+C28+C32)</f>
        <v>7467422</v>
      </c>
      <c r="D33" s="202">
        <f>SUM(D20+D22+D23+D27+D28+D32)</f>
        <v>8092886</v>
      </c>
      <c r="E33" s="189" t="s">
        <v>80</v>
      </c>
      <c r="F33" s="202">
        <f>SUM(F14+F18+F22)</f>
        <v>7467422</v>
      </c>
      <c r="G33" s="850">
        <f>SUM(G14+G18+G22)</f>
        <v>8092886</v>
      </c>
      <c r="H33" s="199"/>
    </row>
    <row r="34" spans="1:8" ht="18" customHeight="1">
      <c r="A34" s="206"/>
      <c r="H34" s="199"/>
    </row>
    <row r="35" spans="1:8" ht="18" customHeight="1">
      <c r="A35" s="206"/>
      <c r="H35" s="199"/>
    </row>
    <row r="36" spans="1:8" s="186" customFormat="1" ht="18" customHeight="1">
      <c r="A36" s="206"/>
      <c r="B36" s="191"/>
      <c r="C36" s="191"/>
      <c r="D36" s="191"/>
      <c r="E36" s="191"/>
      <c r="F36" s="191"/>
      <c r="G36" s="191"/>
      <c r="H36" s="203"/>
    </row>
    <row r="37" spans="1:8" s="186" customFormat="1" ht="23.25" customHeight="1">
      <c r="A37" s="206"/>
      <c r="B37" s="191"/>
      <c r="C37" s="191"/>
      <c r="D37" s="191"/>
      <c r="E37" s="191"/>
      <c r="F37" s="191"/>
      <c r="G37" s="191"/>
      <c r="H37" s="203"/>
    </row>
    <row r="38" ht="12.75">
      <c r="A38" s="205"/>
    </row>
  </sheetData>
  <sheetProtection/>
  <mergeCells count="8">
    <mergeCell ref="A5:A7"/>
    <mergeCell ref="E5:E6"/>
    <mergeCell ref="B5:B6"/>
    <mergeCell ref="E1:G1"/>
    <mergeCell ref="B2:G2"/>
    <mergeCell ref="B3:G3"/>
    <mergeCell ref="F5:G5"/>
    <mergeCell ref="C5:D5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5.625" style="225" customWidth="1"/>
    <col min="2" max="2" width="6.875" style="225" customWidth="1"/>
    <col min="3" max="3" width="39.625" style="225" bestFit="1" customWidth="1"/>
    <col min="4" max="4" width="12.00390625" style="225" bestFit="1" customWidth="1"/>
    <col min="5" max="10" width="10.75390625" style="225" customWidth="1"/>
    <col min="11" max="16384" width="9.125" style="225" customWidth="1"/>
  </cols>
  <sheetData>
    <row r="1" spans="9:10" ht="15">
      <c r="I1" s="148"/>
      <c r="J1" s="148" t="s">
        <v>1478</v>
      </c>
    </row>
    <row r="2" spans="9:10" ht="15">
      <c r="I2" s="148"/>
      <c r="J2" s="148"/>
    </row>
    <row r="3" spans="1:10" ht="14.25">
      <c r="A3" s="1268" t="s">
        <v>1234</v>
      </c>
      <c r="B3" s="1268"/>
      <c r="C3" s="1268"/>
      <c r="D3" s="1268"/>
      <c r="E3" s="1268"/>
      <c r="F3" s="1268"/>
      <c r="G3" s="1268"/>
      <c r="H3" s="1268"/>
      <c r="I3" s="1268"/>
      <c r="J3" s="1268"/>
    </row>
    <row r="4" spans="1:2" ht="15">
      <c r="A4" s="101"/>
      <c r="B4" s="224"/>
    </row>
    <row r="5" spans="1:10" ht="12.75">
      <c r="A5" s="1271" t="s">
        <v>188</v>
      </c>
      <c r="B5" s="1270" t="s">
        <v>11</v>
      </c>
      <c r="C5" s="1270"/>
      <c r="D5" s="1269" t="s">
        <v>187</v>
      </c>
      <c r="E5" s="1269"/>
      <c r="F5" s="1269"/>
      <c r="G5" s="1269"/>
      <c r="H5" s="1269"/>
      <c r="I5" s="1269"/>
      <c r="J5" s="1269"/>
    </row>
    <row r="6" spans="1:10" ht="12.75">
      <c r="A6" s="1271"/>
      <c r="B6" s="1270"/>
      <c r="C6" s="1270"/>
      <c r="D6" s="1270" t="s">
        <v>185</v>
      </c>
      <c r="E6" s="1270"/>
      <c r="F6" s="1270"/>
      <c r="G6" s="1270" t="s">
        <v>186</v>
      </c>
      <c r="H6" s="1270"/>
      <c r="I6" s="1270"/>
      <c r="J6" s="1270"/>
    </row>
    <row r="7" spans="1:10" ht="12.75">
      <c r="A7" s="1271"/>
      <c r="B7" s="1270"/>
      <c r="C7" s="1270"/>
      <c r="D7" s="284" t="s">
        <v>180</v>
      </c>
      <c r="E7" s="1269" t="s">
        <v>181</v>
      </c>
      <c r="F7" s="1269"/>
      <c r="G7" s="1269" t="s">
        <v>183</v>
      </c>
      <c r="H7" s="1269"/>
      <c r="I7" s="1269" t="s">
        <v>184</v>
      </c>
      <c r="J7" s="1269"/>
    </row>
    <row r="8" spans="1:10" ht="12.75">
      <c r="A8" s="1271"/>
      <c r="B8" s="1270"/>
      <c r="C8" s="1270"/>
      <c r="D8" s="284" t="s">
        <v>176</v>
      </c>
      <c r="E8" s="284" t="s">
        <v>177</v>
      </c>
      <c r="F8" s="284" t="s">
        <v>178</v>
      </c>
      <c r="G8" s="284" t="s">
        <v>176</v>
      </c>
      <c r="H8" s="284" t="s">
        <v>179</v>
      </c>
      <c r="I8" s="284" t="s">
        <v>176</v>
      </c>
      <c r="J8" s="284" t="s">
        <v>179</v>
      </c>
    </row>
    <row r="9" spans="1:10" ht="12.75">
      <c r="A9" s="1271"/>
      <c r="B9" s="1270"/>
      <c r="C9" s="1270"/>
      <c r="D9" s="285" t="s">
        <v>221</v>
      </c>
      <c r="E9" s="285" t="s">
        <v>222</v>
      </c>
      <c r="F9" s="285" t="s">
        <v>223</v>
      </c>
      <c r="G9" s="285" t="s">
        <v>224</v>
      </c>
      <c r="H9" s="285" t="s">
        <v>225</v>
      </c>
      <c r="I9" s="285" t="s">
        <v>226</v>
      </c>
      <c r="J9" s="285" t="s">
        <v>227</v>
      </c>
    </row>
    <row r="10" spans="1:10" ht="12.75">
      <c r="A10" s="284">
        <v>1</v>
      </c>
      <c r="B10" s="1272" t="s">
        <v>189</v>
      </c>
      <c r="C10" s="1272"/>
      <c r="D10" s="264">
        <v>742</v>
      </c>
      <c r="E10" s="264">
        <v>557</v>
      </c>
      <c r="F10" s="264">
        <v>860</v>
      </c>
      <c r="G10" s="264">
        <v>741</v>
      </c>
      <c r="H10" s="264">
        <v>8915592</v>
      </c>
      <c r="I10" s="264">
        <v>681</v>
      </c>
      <c r="J10" s="264">
        <v>5889837</v>
      </c>
    </row>
    <row r="11" spans="1:10" ht="12.75">
      <c r="A11" s="284">
        <v>2</v>
      </c>
      <c r="B11" s="1272" t="s">
        <v>190</v>
      </c>
      <c r="C11" s="1272"/>
      <c r="D11" s="264">
        <v>1</v>
      </c>
      <c r="E11" s="264">
        <v>3</v>
      </c>
      <c r="F11" s="264">
        <v>210</v>
      </c>
      <c r="G11" s="264">
        <v>1</v>
      </c>
      <c r="H11" s="264">
        <v>17604</v>
      </c>
      <c r="I11" s="264">
        <v>1</v>
      </c>
      <c r="J11" s="264">
        <v>16192</v>
      </c>
    </row>
    <row r="12" spans="1:10" ht="12.75">
      <c r="A12" s="284">
        <v>3</v>
      </c>
      <c r="B12" s="1272" t="s">
        <v>191</v>
      </c>
      <c r="C12" s="1272"/>
      <c r="D12" s="264">
        <v>0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</row>
    <row r="13" spans="1:10" ht="12.75">
      <c r="A13" s="284">
        <v>4</v>
      </c>
      <c r="B13" s="1272" t="s">
        <v>192</v>
      </c>
      <c r="C13" s="1272"/>
      <c r="D13" s="264">
        <v>0</v>
      </c>
      <c r="E13" s="287"/>
      <c r="F13" s="287"/>
      <c r="G13" s="264">
        <v>0</v>
      </c>
      <c r="H13" s="264">
        <v>0</v>
      </c>
      <c r="I13" s="264">
        <v>0</v>
      </c>
      <c r="J13" s="264">
        <v>0</v>
      </c>
    </row>
    <row r="14" spans="1:10" s="224" customFormat="1" ht="12.75">
      <c r="A14" s="284">
        <v>5</v>
      </c>
      <c r="B14" s="1273" t="s">
        <v>193</v>
      </c>
      <c r="C14" s="1273"/>
      <c r="D14" s="288">
        <f>SUM(D10,D11,D13)</f>
        <v>743</v>
      </c>
      <c r="E14" s="288">
        <f aca="true" t="shared" si="0" ref="E14:J14">SUM(E10,E11,E13)</f>
        <v>560</v>
      </c>
      <c r="F14" s="288">
        <f t="shared" si="0"/>
        <v>1070</v>
      </c>
      <c r="G14" s="288">
        <f t="shared" si="0"/>
        <v>742</v>
      </c>
      <c r="H14" s="288">
        <f t="shared" si="0"/>
        <v>8933196</v>
      </c>
      <c r="I14" s="288">
        <f t="shared" si="0"/>
        <v>682</v>
      </c>
      <c r="J14" s="288">
        <f t="shared" si="0"/>
        <v>5906029</v>
      </c>
    </row>
    <row r="15" spans="1:10" ht="12.75">
      <c r="A15" s="284">
        <v>6</v>
      </c>
      <c r="B15" s="1272" t="s">
        <v>1235</v>
      </c>
      <c r="C15" s="1272"/>
      <c r="D15" s="288">
        <v>15</v>
      </c>
      <c r="E15" s="288">
        <v>0</v>
      </c>
      <c r="F15" s="288">
        <v>0</v>
      </c>
      <c r="G15" s="288">
        <v>15</v>
      </c>
      <c r="H15" s="288">
        <v>1672741</v>
      </c>
      <c r="I15" s="288">
        <v>15</v>
      </c>
      <c r="J15" s="264">
        <v>2397822</v>
      </c>
    </row>
    <row r="16" spans="1:10" ht="12.75">
      <c r="A16" s="284">
        <v>7</v>
      </c>
      <c r="B16" s="1272" t="s">
        <v>210</v>
      </c>
      <c r="C16" s="1272"/>
      <c r="D16" s="264">
        <v>0</v>
      </c>
      <c r="E16" s="264">
        <v>0</v>
      </c>
      <c r="F16" s="264">
        <v>0</v>
      </c>
      <c r="G16" s="264">
        <v>0</v>
      </c>
      <c r="H16" s="264">
        <v>0</v>
      </c>
      <c r="I16" s="264">
        <v>0</v>
      </c>
      <c r="J16" s="264">
        <v>0</v>
      </c>
    </row>
    <row r="17" spans="1:10" ht="12.75">
      <c r="A17" s="284">
        <v>8</v>
      </c>
      <c r="B17" s="1274" t="s">
        <v>209</v>
      </c>
      <c r="C17" s="286" t="s">
        <v>194</v>
      </c>
      <c r="D17" s="264">
        <v>394</v>
      </c>
      <c r="E17" s="264">
        <v>188</v>
      </c>
      <c r="F17" s="264">
        <v>954</v>
      </c>
      <c r="G17" s="264">
        <v>393</v>
      </c>
      <c r="H17" s="264">
        <v>4926922</v>
      </c>
      <c r="I17" s="264">
        <v>339</v>
      </c>
      <c r="J17" s="264">
        <v>4766179</v>
      </c>
    </row>
    <row r="18" spans="1:10" ht="12.75">
      <c r="A18" s="284">
        <v>9</v>
      </c>
      <c r="B18" s="1274"/>
      <c r="C18" s="286" t="s">
        <v>195</v>
      </c>
      <c r="D18" s="264">
        <v>349</v>
      </c>
      <c r="E18" s="264">
        <v>372</v>
      </c>
      <c r="F18" s="264">
        <v>116</v>
      </c>
      <c r="G18" s="264">
        <v>349</v>
      </c>
      <c r="H18" s="264">
        <v>4006274</v>
      </c>
      <c r="I18" s="264">
        <v>343</v>
      </c>
      <c r="J18" s="264">
        <v>1139850</v>
      </c>
    </row>
    <row r="19" spans="1:10" ht="12.75">
      <c r="A19" s="284">
        <v>10</v>
      </c>
      <c r="B19" s="1274" t="s">
        <v>209</v>
      </c>
      <c r="C19" s="286" t="s">
        <v>196</v>
      </c>
      <c r="D19" s="264">
        <v>439</v>
      </c>
      <c r="E19" s="264">
        <v>322</v>
      </c>
      <c r="F19" s="264">
        <v>4314</v>
      </c>
      <c r="G19" s="264">
        <v>439</v>
      </c>
      <c r="H19" s="264">
        <v>3204012</v>
      </c>
      <c r="I19" s="264">
        <v>430</v>
      </c>
      <c r="J19" s="264">
        <v>3043869</v>
      </c>
    </row>
    <row r="20" spans="1:10" ht="12.75">
      <c r="A20" s="284">
        <v>11</v>
      </c>
      <c r="B20" s="1274"/>
      <c r="C20" s="286" t="s">
        <v>197</v>
      </c>
      <c r="D20" s="264">
        <v>61</v>
      </c>
      <c r="E20" s="264">
        <v>30</v>
      </c>
      <c r="F20" s="264">
        <v>1185</v>
      </c>
      <c r="G20" s="264">
        <v>60</v>
      </c>
      <c r="H20" s="264">
        <v>2387602</v>
      </c>
      <c r="I20" s="264">
        <v>52</v>
      </c>
      <c r="J20" s="264">
        <v>2506597</v>
      </c>
    </row>
    <row r="21" spans="1:10" ht="12.75">
      <c r="A21" s="284">
        <v>12</v>
      </c>
      <c r="B21" s="1274"/>
      <c r="C21" s="286" t="s">
        <v>198</v>
      </c>
      <c r="D21" s="264">
        <v>243</v>
      </c>
      <c r="E21" s="264">
        <v>207</v>
      </c>
      <c r="F21" s="264">
        <v>5571</v>
      </c>
      <c r="G21" s="264">
        <v>243</v>
      </c>
      <c r="H21" s="264">
        <v>3341582</v>
      </c>
      <c r="I21" s="264">
        <v>200</v>
      </c>
      <c r="J21" s="264">
        <v>355563</v>
      </c>
    </row>
    <row r="22" spans="1:10" s="224" customFormat="1" ht="12.75">
      <c r="A22" s="284">
        <v>13</v>
      </c>
      <c r="B22" s="1273" t="s">
        <v>199</v>
      </c>
      <c r="C22" s="1273"/>
      <c r="D22" s="288">
        <f aca="true" t="shared" si="1" ref="D22:J22">SUM(D23:D25)</f>
        <v>508</v>
      </c>
      <c r="E22" s="288">
        <f t="shared" si="1"/>
        <v>435</v>
      </c>
      <c r="F22" s="288">
        <f t="shared" si="1"/>
        <v>8175</v>
      </c>
      <c r="G22" s="288">
        <f t="shared" si="1"/>
        <v>507</v>
      </c>
      <c r="H22" s="288">
        <f t="shared" si="1"/>
        <v>4605263</v>
      </c>
      <c r="I22" s="288">
        <f t="shared" si="1"/>
        <v>470</v>
      </c>
      <c r="J22" s="288">
        <f t="shared" si="1"/>
        <v>2113063</v>
      </c>
    </row>
    <row r="23" spans="1:10" ht="12.75">
      <c r="A23" s="284">
        <v>14</v>
      </c>
      <c r="B23" s="1274" t="s">
        <v>211</v>
      </c>
      <c r="C23" s="286" t="s">
        <v>200</v>
      </c>
      <c r="D23" s="264">
        <v>483</v>
      </c>
      <c r="E23" s="264">
        <v>334</v>
      </c>
      <c r="F23" s="264">
        <v>1873</v>
      </c>
      <c r="G23" s="264">
        <v>482</v>
      </c>
      <c r="H23" s="264">
        <v>4600820</v>
      </c>
      <c r="I23" s="264">
        <v>450</v>
      </c>
      <c r="J23" s="264">
        <v>2110500</v>
      </c>
    </row>
    <row r="24" spans="1:10" ht="12.75">
      <c r="A24" s="284">
        <v>15</v>
      </c>
      <c r="B24" s="1274"/>
      <c r="C24" s="286" t="s">
        <v>201</v>
      </c>
      <c r="D24" s="264">
        <v>1</v>
      </c>
      <c r="E24" s="264">
        <v>0</v>
      </c>
      <c r="F24" s="264">
        <v>939</v>
      </c>
      <c r="G24" s="264">
        <v>1</v>
      </c>
      <c r="H24" s="264">
        <v>1</v>
      </c>
      <c r="I24" s="264">
        <v>1</v>
      </c>
      <c r="J24" s="264">
        <v>12</v>
      </c>
    </row>
    <row r="25" spans="1:10" ht="12.75">
      <c r="A25" s="284">
        <v>16</v>
      </c>
      <c r="B25" s="1274"/>
      <c r="C25" s="286" t="s">
        <v>202</v>
      </c>
      <c r="D25" s="264">
        <v>24</v>
      </c>
      <c r="E25" s="264">
        <v>101</v>
      </c>
      <c r="F25" s="264">
        <v>5363</v>
      </c>
      <c r="G25" s="264">
        <v>24</v>
      </c>
      <c r="H25" s="264">
        <v>4442</v>
      </c>
      <c r="I25" s="264">
        <v>19</v>
      </c>
      <c r="J25" s="264">
        <v>2551</v>
      </c>
    </row>
    <row r="26" spans="1:10" s="224" customFormat="1" ht="12.75">
      <c r="A26" s="284">
        <v>17</v>
      </c>
      <c r="B26" s="1273" t="s">
        <v>203</v>
      </c>
      <c r="C26" s="1273"/>
      <c r="D26" s="288">
        <f aca="true" t="shared" si="2" ref="D26:J26">SUM(D27:D30)</f>
        <v>219</v>
      </c>
      <c r="E26" s="288">
        <v>124</v>
      </c>
      <c r="F26" s="288">
        <v>2895</v>
      </c>
      <c r="G26" s="288">
        <f t="shared" si="2"/>
        <v>219</v>
      </c>
      <c r="H26" s="288">
        <f t="shared" si="2"/>
        <v>4315867</v>
      </c>
      <c r="I26" s="288">
        <f t="shared" si="2"/>
        <v>196</v>
      </c>
      <c r="J26" s="288">
        <f t="shared" si="2"/>
        <v>3741288</v>
      </c>
    </row>
    <row r="27" spans="1:10" ht="12.75">
      <c r="A27" s="284">
        <v>18</v>
      </c>
      <c r="B27" s="1274" t="s">
        <v>212</v>
      </c>
      <c r="C27" s="286" t="s">
        <v>200</v>
      </c>
      <c r="D27" s="264">
        <v>195</v>
      </c>
      <c r="E27" s="264">
        <v>119</v>
      </c>
      <c r="F27" s="264">
        <v>3776</v>
      </c>
      <c r="G27" s="264">
        <v>195</v>
      </c>
      <c r="H27" s="264">
        <v>4166849</v>
      </c>
      <c r="I27" s="264">
        <v>173</v>
      </c>
      <c r="J27" s="264">
        <v>3591419</v>
      </c>
    </row>
    <row r="28" spans="1:10" ht="12.75">
      <c r="A28" s="284">
        <v>19</v>
      </c>
      <c r="B28" s="1274"/>
      <c r="C28" s="286" t="s">
        <v>201</v>
      </c>
      <c r="D28" s="264">
        <v>0</v>
      </c>
      <c r="E28" s="264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</row>
    <row r="29" spans="1:10" ht="12.75">
      <c r="A29" s="284">
        <v>20</v>
      </c>
      <c r="B29" s="1274"/>
      <c r="C29" s="286" t="s">
        <v>202</v>
      </c>
      <c r="D29" s="264">
        <v>5</v>
      </c>
      <c r="E29" s="264">
        <v>0</v>
      </c>
      <c r="F29" s="264">
        <v>8531</v>
      </c>
      <c r="G29" s="264">
        <v>5</v>
      </c>
      <c r="H29" s="264">
        <v>139832</v>
      </c>
      <c r="I29" s="264">
        <v>4</v>
      </c>
      <c r="J29" s="264">
        <v>128501</v>
      </c>
    </row>
    <row r="30" spans="1:10" ht="12.75">
      <c r="A30" s="284">
        <v>21</v>
      </c>
      <c r="B30" s="1274"/>
      <c r="C30" s="286" t="s">
        <v>204</v>
      </c>
      <c r="D30" s="264">
        <v>19</v>
      </c>
      <c r="E30" s="264">
        <v>4</v>
      </c>
      <c r="F30" s="264">
        <v>588</v>
      </c>
      <c r="G30" s="264">
        <v>19</v>
      </c>
      <c r="H30" s="264">
        <v>9186</v>
      </c>
      <c r="I30" s="264">
        <v>19</v>
      </c>
      <c r="J30" s="264">
        <v>21368</v>
      </c>
    </row>
    <row r="31" spans="1:10" s="224" customFormat="1" ht="12.75">
      <c r="A31" s="284">
        <v>22</v>
      </c>
      <c r="B31" s="1273" t="s">
        <v>205</v>
      </c>
      <c r="C31" s="1273"/>
      <c r="D31" s="288">
        <f>SUM(D32:D34)</f>
        <v>16</v>
      </c>
      <c r="E31" s="287"/>
      <c r="F31" s="287"/>
      <c r="G31" s="288">
        <f>SUM(G32:G34)</f>
        <v>16</v>
      </c>
      <c r="H31" s="288">
        <f>SUM(H32:H34)</f>
        <v>12066</v>
      </c>
      <c r="I31" s="288">
        <f>SUM(I32:I34)</f>
        <v>16</v>
      </c>
      <c r="J31" s="288">
        <f>SUM(J32:J34)</f>
        <v>51678</v>
      </c>
    </row>
    <row r="32" spans="1:10" ht="12.75">
      <c r="A32" s="284">
        <v>23</v>
      </c>
      <c r="B32" s="1274" t="s">
        <v>213</v>
      </c>
      <c r="C32" s="286" t="s">
        <v>200</v>
      </c>
      <c r="D32" s="264">
        <v>15</v>
      </c>
      <c r="E32" s="287"/>
      <c r="F32" s="287"/>
      <c r="G32" s="264">
        <v>15</v>
      </c>
      <c r="H32" s="264">
        <v>10701</v>
      </c>
      <c r="I32" s="264">
        <v>15</v>
      </c>
      <c r="J32" s="264">
        <v>50313</v>
      </c>
    </row>
    <row r="33" spans="1:10" ht="12.75">
      <c r="A33" s="284">
        <v>24</v>
      </c>
      <c r="B33" s="1274"/>
      <c r="C33" s="286" t="s">
        <v>201</v>
      </c>
      <c r="D33" s="264">
        <v>0</v>
      </c>
      <c r="E33" s="287"/>
      <c r="F33" s="287"/>
      <c r="G33" s="264">
        <v>0</v>
      </c>
      <c r="H33" s="264">
        <v>0</v>
      </c>
      <c r="I33" s="264">
        <v>0</v>
      </c>
      <c r="J33" s="264">
        <v>0</v>
      </c>
    </row>
    <row r="34" spans="1:10" ht="12.75">
      <c r="A34" s="284">
        <v>25</v>
      </c>
      <c r="B34" s="1274"/>
      <c r="C34" s="286" t="s">
        <v>202</v>
      </c>
      <c r="D34" s="264">
        <v>1</v>
      </c>
      <c r="E34" s="287"/>
      <c r="F34" s="287"/>
      <c r="G34" s="264">
        <v>1</v>
      </c>
      <c r="H34" s="264">
        <v>1365</v>
      </c>
      <c r="I34" s="264">
        <v>1</v>
      </c>
      <c r="J34" s="264">
        <v>1365</v>
      </c>
    </row>
    <row r="35" spans="1:10" ht="12.75">
      <c r="A35" s="284">
        <v>26</v>
      </c>
      <c r="B35" s="1274" t="s">
        <v>209</v>
      </c>
      <c r="C35" s="286" t="s">
        <v>206</v>
      </c>
      <c r="D35" s="264">
        <v>6</v>
      </c>
      <c r="E35" s="264">
        <v>80</v>
      </c>
      <c r="F35" s="264">
        <v>3355</v>
      </c>
      <c r="G35" s="264">
        <v>6</v>
      </c>
      <c r="H35" s="264">
        <v>7075</v>
      </c>
      <c r="I35" s="264">
        <v>5</v>
      </c>
      <c r="J35" s="264">
        <v>19160</v>
      </c>
    </row>
    <row r="36" spans="1:10" ht="12.75">
      <c r="A36" s="284">
        <v>27</v>
      </c>
      <c r="B36" s="1274"/>
      <c r="C36" s="286" t="s">
        <v>207</v>
      </c>
      <c r="D36" s="264">
        <v>0</v>
      </c>
      <c r="E36" s="264">
        <v>0</v>
      </c>
      <c r="F36" s="264">
        <v>0</v>
      </c>
      <c r="G36" s="264">
        <v>0</v>
      </c>
      <c r="H36" s="264">
        <v>0</v>
      </c>
      <c r="I36" s="264">
        <v>0</v>
      </c>
      <c r="J36" s="264">
        <v>0</v>
      </c>
    </row>
    <row r="37" spans="1:10" ht="12.75">
      <c r="A37" s="284">
        <v>28</v>
      </c>
      <c r="B37" s="1274"/>
      <c r="C37" s="286" t="s">
        <v>208</v>
      </c>
      <c r="D37" s="264">
        <v>0</v>
      </c>
      <c r="E37" s="264">
        <v>0</v>
      </c>
      <c r="F37" s="264">
        <v>0</v>
      </c>
      <c r="G37" s="264">
        <v>0</v>
      </c>
      <c r="H37" s="264">
        <v>0</v>
      </c>
      <c r="I37" s="264">
        <v>0</v>
      </c>
      <c r="J37" s="264">
        <v>0</v>
      </c>
    </row>
  </sheetData>
  <sheetProtection/>
  <mergeCells count="25">
    <mergeCell ref="B17:B18"/>
    <mergeCell ref="B19:B21"/>
    <mergeCell ref="B35:B37"/>
    <mergeCell ref="B22:C22"/>
    <mergeCell ref="B23:B25"/>
    <mergeCell ref="B26:C26"/>
    <mergeCell ref="B27:B30"/>
    <mergeCell ref="B31:C31"/>
    <mergeCell ref="B32:B34"/>
    <mergeCell ref="B16:C16"/>
    <mergeCell ref="B14:C14"/>
    <mergeCell ref="B15:C15"/>
    <mergeCell ref="D5:J5"/>
    <mergeCell ref="B10:C10"/>
    <mergeCell ref="B11:C11"/>
    <mergeCell ref="B12:C12"/>
    <mergeCell ref="B13:C13"/>
    <mergeCell ref="A3:J3"/>
    <mergeCell ref="E7:F7"/>
    <mergeCell ref="G7:H7"/>
    <mergeCell ref="I7:J7"/>
    <mergeCell ref="D6:F6"/>
    <mergeCell ref="G6:J6"/>
    <mergeCell ref="A5:A9"/>
    <mergeCell ref="B5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H22"/>
  <sheetViews>
    <sheetView zoomScalePageLayoutView="0" workbookViewId="0" topLeftCell="A1">
      <selection activeCell="H2" sqref="H2"/>
    </sheetView>
  </sheetViews>
  <sheetFormatPr defaultColWidth="8.875" defaultRowHeight="12.75"/>
  <cols>
    <col min="1" max="1" width="4.625" style="276" bestFit="1" customWidth="1"/>
    <col min="2" max="2" width="39.625" style="266" customWidth="1"/>
    <col min="3" max="3" width="9.25390625" style="266" customWidth="1"/>
    <col min="4" max="4" width="13.625" style="266" customWidth="1"/>
    <col min="5" max="5" width="13.125" style="266" customWidth="1"/>
    <col min="6" max="7" width="11.625" style="266" customWidth="1"/>
    <col min="8" max="8" width="12.375" style="266" customWidth="1"/>
    <col min="9" max="16384" width="8.875" style="266" customWidth="1"/>
  </cols>
  <sheetData>
    <row r="1" ht="12.75">
      <c r="H1" s="60" t="s">
        <v>1479</v>
      </c>
    </row>
    <row r="2" ht="15.75" customHeight="1">
      <c r="E2" s="267"/>
    </row>
    <row r="4" spans="1:8" ht="14.25" customHeight="1">
      <c r="A4" s="1275" t="s">
        <v>127</v>
      </c>
      <c r="B4" s="1275"/>
      <c r="C4" s="1275"/>
      <c r="D4" s="1275"/>
      <c r="E4" s="1275"/>
      <c r="F4" s="1275"/>
      <c r="G4" s="1275"/>
      <c r="H4" s="1275"/>
    </row>
    <row r="5" spans="1:8" ht="12.75">
      <c r="A5" s="277"/>
      <c r="B5" s="268"/>
      <c r="C5" s="268"/>
      <c r="D5" s="268"/>
      <c r="E5" s="268"/>
      <c r="F5" s="268"/>
      <c r="G5" s="268"/>
      <c r="H5" s="268"/>
    </row>
    <row r="6" ht="15" customHeight="1" thickBot="1"/>
    <row r="7" spans="1:8" s="269" customFormat="1" ht="10.5" customHeight="1">
      <c r="A7" s="1280" t="s">
        <v>128</v>
      </c>
      <c r="B7" s="1276" t="s">
        <v>122</v>
      </c>
      <c r="C7" s="1276" t="s">
        <v>123</v>
      </c>
      <c r="D7" s="1276" t="s">
        <v>124</v>
      </c>
      <c r="E7" s="1276" t="s">
        <v>1259</v>
      </c>
      <c r="F7" s="1276" t="s">
        <v>1260</v>
      </c>
      <c r="G7" s="1276" t="s">
        <v>1261</v>
      </c>
      <c r="H7" s="1278" t="s">
        <v>1438</v>
      </c>
    </row>
    <row r="8" spans="1:8" s="270" customFormat="1" ht="36" customHeight="1">
      <c r="A8" s="1281"/>
      <c r="B8" s="1277"/>
      <c r="C8" s="1277"/>
      <c r="D8" s="1277"/>
      <c r="E8" s="1277"/>
      <c r="F8" s="1277"/>
      <c r="G8" s="1277" t="s">
        <v>125</v>
      </c>
      <c r="H8" s="1279"/>
    </row>
    <row r="9" spans="1:8" s="275" customFormat="1" ht="12">
      <c r="A9" s="1281"/>
      <c r="B9" s="279" t="s">
        <v>221</v>
      </c>
      <c r="C9" s="279" t="s">
        <v>222</v>
      </c>
      <c r="D9" s="274" t="s">
        <v>223</v>
      </c>
      <c r="E9" s="274" t="s">
        <v>224</v>
      </c>
      <c r="F9" s="274" t="s">
        <v>225</v>
      </c>
      <c r="G9" s="280" t="s">
        <v>226</v>
      </c>
      <c r="H9" s="281" t="s">
        <v>227</v>
      </c>
    </row>
    <row r="10" spans="1:8" ht="23.25" customHeight="1">
      <c r="A10" s="655">
        <v>1</v>
      </c>
      <c r="B10" s="271" t="s">
        <v>129</v>
      </c>
      <c r="C10" s="329">
        <v>100</v>
      </c>
      <c r="D10" s="330">
        <v>3050000</v>
      </c>
      <c r="E10" s="330">
        <v>3050000</v>
      </c>
      <c r="F10" s="330">
        <v>0</v>
      </c>
      <c r="G10" s="330">
        <v>0</v>
      </c>
      <c r="H10" s="331">
        <f>E10-F10+G10</f>
        <v>3050000</v>
      </c>
    </row>
    <row r="11" spans="1:8" ht="21" customHeight="1">
      <c r="A11" s="655">
        <v>2</v>
      </c>
      <c r="B11" s="271" t="s">
        <v>133</v>
      </c>
      <c r="C11" s="332">
        <v>100</v>
      </c>
      <c r="D11" s="330">
        <v>3000000</v>
      </c>
      <c r="E11" s="330">
        <v>3000000</v>
      </c>
      <c r="F11" s="330">
        <v>0</v>
      </c>
      <c r="G11" s="330">
        <v>0</v>
      </c>
      <c r="H11" s="331">
        <f>E11-F11+G11</f>
        <v>3000000</v>
      </c>
    </row>
    <row r="12" spans="1:8" ht="19.5" customHeight="1">
      <c r="A12" s="655">
        <v>3</v>
      </c>
      <c r="B12" s="271" t="s">
        <v>134</v>
      </c>
      <c r="C12" s="333">
        <v>100</v>
      </c>
      <c r="D12" s="330">
        <v>3040000</v>
      </c>
      <c r="E12" s="330">
        <v>3040000</v>
      </c>
      <c r="F12" s="330">
        <v>3040000</v>
      </c>
      <c r="G12" s="330">
        <v>0</v>
      </c>
      <c r="H12" s="331">
        <f>E12-F12+G12</f>
        <v>0</v>
      </c>
    </row>
    <row r="13" spans="1:8" ht="25.5" customHeight="1">
      <c r="A13" s="655">
        <v>4</v>
      </c>
      <c r="B13" s="271" t="s">
        <v>130</v>
      </c>
      <c r="C13" s="329">
        <v>97.868</v>
      </c>
      <c r="D13" s="330">
        <v>50500000</v>
      </c>
      <c r="E13" s="330">
        <v>50500000</v>
      </c>
      <c r="F13" s="330">
        <v>0</v>
      </c>
      <c r="G13" s="330">
        <v>0</v>
      </c>
      <c r="H13" s="331">
        <f>E13-F13+G13</f>
        <v>50500000</v>
      </c>
    </row>
    <row r="14" spans="1:8" ht="25.5" customHeight="1">
      <c r="A14" s="655">
        <v>5</v>
      </c>
      <c r="B14" s="271" t="s">
        <v>1262</v>
      </c>
      <c r="C14" s="329">
        <v>100</v>
      </c>
      <c r="D14" s="330">
        <v>3000000</v>
      </c>
      <c r="E14" s="330">
        <v>0</v>
      </c>
      <c r="F14" s="330">
        <v>0</v>
      </c>
      <c r="G14" s="330">
        <v>0</v>
      </c>
      <c r="H14" s="331">
        <v>3000000</v>
      </c>
    </row>
    <row r="15" spans="1:8" ht="20.25" customHeight="1">
      <c r="A15" s="655">
        <v>6</v>
      </c>
      <c r="B15" s="271" t="s">
        <v>132</v>
      </c>
      <c r="C15" s="329">
        <v>1.8</v>
      </c>
      <c r="D15" s="330">
        <v>360000</v>
      </c>
      <c r="E15" s="330">
        <v>360000</v>
      </c>
      <c r="F15" s="330">
        <v>0</v>
      </c>
      <c r="G15" s="330">
        <v>0</v>
      </c>
      <c r="H15" s="331">
        <f>E15+F15+G15</f>
        <v>360000</v>
      </c>
    </row>
    <row r="16" spans="1:8" ht="18" customHeight="1">
      <c r="A16" s="655">
        <v>7</v>
      </c>
      <c r="B16" s="271" t="s">
        <v>135</v>
      </c>
      <c r="C16" s="329">
        <v>0.57</v>
      </c>
      <c r="D16" s="330">
        <v>399000</v>
      </c>
      <c r="E16" s="330">
        <v>399000</v>
      </c>
      <c r="F16" s="330">
        <v>0</v>
      </c>
      <c r="G16" s="330">
        <v>0</v>
      </c>
      <c r="H16" s="331">
        <f>E16-F16+G16</f>
        <v>399000</v>
      </c>
    </row>
    <row r="17" spans="1:8" ht="25.5">
      <c r="A17" s="655">
        <v>8</v>
      </c>
      <c r="B17" s="271" t="s">
        <v>126</v>
      </c>
      <c r="C17" s="333">
        <v>0.2</v>
      </c>
      <c r="D17" s="330">
        <v>10000</v>
      </c>
      <c r="E17" s="330">
        <v>10000</v>
      </c>
      <c r="F17" s="330">
        <v>0</v>
      </c>
      <c r="G17" s="330">
        <v>0</v>
      </c>
      <c r="H17" s="331">
        <v>0</v>
      </c>
    </row>
    <row r="18" spans="1:8" ht="18.75" customHeight="1">
      <c r="A18" s="655">
        <v>9</v>
      </c>
      <c r="B18" s="271" t="s">
        <v>131</v>
      </c>
      <c r="C18" s="329">
        <v>2.85E-05</v>
      </c>
      <c r="D18" s="330">
        <v>8000</v>
      </c>
      <c r="E18" s="330">
        <v>8000</v>
      </c>
      <c r="F18" s="330">
        <v>0</v>
      </c>
      <c r="G18" s="330">
        <v>0</v>
      </c>
      <c r="H18" s="331">
        <f>E18-F18+G18</f>
        <v>8000</v>
      </c>
    </row>
    <row r="19" spans="1:8" ht="26.25" customHeight="1">
      <c r="A19" s="291">
        <v>10</v>
      </c>
      <c r="B19" s="292" t="s">
        <v>155</v>
      </c>
      <c r="C19" s="334">
        <v>0.015</v>
      </c>
      <c r="D19" s="335">
        <v>100000</v>
      </c>
      <c r="E19" s="330">
        <v>100000</v>
      </c>
      <c r="F19" s="669">
        <v>0</v>
      </c>
      <c r="G19" s="335">
        <v>0</v>
      </c>
      <c r="H19" s="336">
        <v>100000</v>
      </c>
    </row>
    <row r="20" spans="1:8" ht="27" customHeight="1">
      <c r="A20" s="291">
        <v>11</v>
      </c>
      <c r="B20" s="292" t="s">
        <v>182</v>
      </c>
      <c r="C20" s="334">
        <v>2.127</v>
      </c>
      <c r="D20" s="335">
        <v>20000</v>
      </c>
      <c r="E20" s="335">
        <v>20000</v>
      </c>
      <c r="F20" s="335">
        <v>0</v>
      </c>
      <c r="G20" s="335">
        <v>0</v>
      </c>
      <c r="H20" s="336">
        <v>20000</v>
      </c>
    </row>
    <row r="21" spans="1:8" s="273" customFormat="1" ht="23.25" customHeight="1">
      <c r="A21" s="291">
        <v>12</v>
      </c>
      <c r="B21" s="292" t="s">
        <v>1092</v>
      </c>
      <c r="C21" s="334"/>
      <c r="D21" s="335">
        <v>1000000</v>
      </c>
      <c r="E21" s="335">
        <v>1000000</v>
      </c>
      <c r="F21" s="335">
        <v>0</v>
      </c>
      <c r="G21" s="335">
        <v>0</v>
      </c>
      <c r="H21" s="331">
        <v>1000000</v>
      </c>
    </row>
    <row r="22" spans="1:8" ht="13.5" thickBot="1">
      <c r="A22" s="278">
        <v>13</v>
      </c>
      <c r="B22" s="282" t="s">
        <v>8</v>
      </c>
      <c r="C22" s="283" t="s">
        <v>45</v>
      </c>
      <c r="D22" s="283" t="s">
        <v>45</v>
      </c>
      <c r="E22" s="272">
        <f>SUM(E10:E21)</f>
        <v>61487000</v>
      </c>
      <c r="F22" s="272">
        <f>SUM(F10:F21)</f>
        <v>3040000</v>
      </c>
      <c r="G22" s="272">
        <f>SUM(G10:G21)</f>
        <v>0</v>
      </c>
      <c r="H22" s="670">
        <f>SUM(H10:H21)</f>
        <v>61437000</v>
      </c>
    </row>
  </sheetData>
  <sheetProtection/>
  <mergeCells count="9">
    <mergeCell ref="A4:H4"/>
    <mergeCell ref="B7:B8"/>
    <mergeCell ref="C7:C8"/>
    <mergeCell ref="D7:D8"/>
    <mergeCell ref="E7:E8"/>
    <mergeCell ref="F7:F8"/>
    <mergeCell ref="G7:G8"/>
    <mergeCell ref="H7:H8"/>
    <mergeCell ref="A7:A9"/>
  </mergeCells>
  <printOptions horizontalCentered="1"/>
  <pageMargins left="0.1968503937007874" right="0.1968503937007874" top="0.984251968503937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H515"/>
  <sheetViews>
    <sheetView zoomScale="85" zoomScaleNormal="85" zoomScalePageLayoutView="0" workbookViewId="0" topLeftCell="A1">
      <pane xSplit="2" ySplit="6" topLeftCell="C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F2"/>
    </sheetView>
  </sheetViews>
  <sheetFormatPr defaultColWidth="8.875" defaultRowHeight="12.75"/>
  <cols>
    <col min="1" max="1" width="4.125" style="244" bestFit="1" customWidth="1"/>
    <col min="2" max="2" width="69.25390625" style="68" customWidth="1"/>
    <col min="3" max="4" width="15.875" style="47" customWidth="1"/>
    <col min="5" max="5" width="17.875" style="47" customWidth="1"/>
    <col min="6" max="6" width="17.00390625" style="47" customWidth="1"/>
    <col min="7" max="7" width="8.875" style="47" customWidth="1"/>
    <col min="8" max="8" width="13.875" style="47" bestFit="1" customWidth="1"/>
    <col min="9" max="16384" width="8.875" style="47" customWidth="1"/>
  </cols>
  <sheetData>
    <row r="1" ht="15">
      <c r="F1" s="148" t="s">
        <v>1480</v>
      </c>
    </row>
    <row r="2" spans="1:6" ht="15.75">
      <c r="A2" s="1285" t="s">
        <v>1332</v>
      </c>
      <c r="B2" s="1285"/>
      <c r="C2" s="1285"/>
      <c r="D2" s="1285"/>
      <c r="E2" s="1285"/>
      <c r="F2" s="1285"/>
    </row>
    <row r="3" spans="1:6" ht="15.75">
      <c r="A3" s="1285" t="s">
        <v>1236</v>
      </c>
      <c r="B3" s="1285"/>
      <c r="C3" s="1285"/>
      <c r="D3" s="1285"/>
      <c r="E3" s="1285"/>
      <c r="F3" s="1285"/>
    </row>
    <row r="4" spans="2:6" ht="16.5" customHeight="1">
      <c r="B4" s="1282" t="s">
        <v>214</v>
      </c>
      <c r="C4" s="1282"/>
      <c r="D4" s="1282"/>
      <c r="E4" s="1282"/>
      <c r="F4" s="1282"/>
    </row>
    <row r="5" ht="13.5" thickBot="1">
      <c r="F5" s="48"/>
    </row>
    <row r="6" spans="1:6" s="51" customFormat="1" ht="52.5" customHeight="1">
      <c r="A6" s="1283" t="s">
        <v>220</v>
      </c>
      <c r="B6" s="249" t="s">
        <v>11</v>
      </c>
      <c r="C6" s="49" t="s">
        <v>77</v>
      </c>
      <c r="D6" s="49" t="s">
        <v>215</v>
      </c>
      <c r="E6" s="49" t="s">
        <v>17</v>
      </c>
      <c r="F6" s="50" t="s">
        <v>76</v>
      </c>
    </row>
    <row r="7" spans="1:6" s="243" customFormat="1" ht="12">
      <c r="A7" s="1284"/>
      <c r="B7" s="245" t="s">
        <v>221</v>
      </c>
      <c r="C7" s="245" t="s">
        <v>222</v>
      </c>
      <c r="D7" s="245" t="s">
        <v>223</v>
      </c>
      <c r="E7" s="245" t="s">
        <v>224</v>
      </c>
      <c r="F7" s="248" t="s">
        <v>225</v>
      </c>
    </row>
    <row r="8" spans="1:6" s="52" customFormat="1" ht="15">
      <c r="A8" s="250">
        <v>1</v>
      </c>
      <c r="B8" s="246" t="s">
        <v>1119</v>
      </c>
      <c r="C8" s="70">
        <v>2239304</v>
      </c>
      <c r="D8" s="70">
        <v>8817</v>
      </c>
      <c r="E8" s="70">
        <v>4013</v>
      </c>
      <c r="F8" s="71">
        <f>SUM(C8:E8)</f>
        <v>2252134</v>
      </c>
    </row>
    <row r="9" spans="1:6" s="52" customFormat="1" ht="15">
      <c r="A9" s="250">
        <v>2</v>
      </c>
      <c r="B9" s="246" t="s">
        <v>1120</v>
      </c>
      <c r="C9" s="70">
        <v>1910541</v>
      </c>
      <c r="D9" s="70">
        <v>170420</v>
      </c>
      <c r="E9" s="70">
        <v>198082</v>
      </c>
      <c r="F9" s="71">
        <f aca="true" t="shared" si="0" ref="F9:F23">SUM(C9:E9)</f>
        <v>2279043</v>
      </c>
    </row>
    <row r="10" spans="1:8" s="241" customFormat="1" ht="15">
      <c r="A10" s="250">
        <v>3</v>
      </c>
      <c r="B10" s="247" t="s">
        <v>1121</v>
      </c>
      <c r="C10" s="72">
        <f>C8-C9</f>
        <v>328763</v>
      </c>
      <c r="D10" s="72">
        <f>D8-D9</f>
        <v>-161603</v>
      </c>
      <c r="E10" s="72">
        <f>E8-E9</f>
        <v>-194069</v>
      </c>
      <c r="F10" s="73">
        <f>F8-F9</f>
        <v>-26909</v>
      </c>
      <c r="H10" s="242"/>
    </row>
    <row r="11" spans="1:6" s="241" customFormat="1" ht="15">
      <c r="A11" s="762">
        <v>4</v>
      </c>
      <c r="B11" s="246" t="s">
        <v>1122</v>
      </c>
      <c r="C11" s="74">
        <v>266995</v>
      </c>
      <c r="D11" s="74">
        <v>162586</v>
      </c>
      <c r="E11" s="74">
        <v>194108</v>
      </c>
      <c r="F11" s="75">
        <f t="shared" si="0"/>
        <v>623689</v>
      </c>
    </row>
    <row r="12" spans="1:6" s="241" customFormat="1" ht="15">
      <c r="A12" s="762">
        <v>5</v>
      </c>
      <c r="B12" s="246" t="s">
        <v>1123</v>
      </c>
      <c r="C12" s="74">
        <v>490565</v>
      </c>
      <c r="D12" s="74">
        <v>0</v>
      </c>
      <c r="E12" s="74">
        <v>0</v>
      </c>
      <c r="F12" s="75">
        <f t="shared" si="0"/>
        <v>490565</v>
      </c>
    </row>
    <row r="13" spans="1:6" s="52" customFormat="1" ht="15">
      <c r="A13" s="250">
        <v>6</v>
      </c>
      <c r="B13" s="247" t="s">
        <v>1124</v>
      </c>
      <c r="C13" s="72">
        <f>C11-C12</f>
        <v>-223570</v>
      </c>
      <c r="D13" s="72">
        <f>D11-D12</f>
        <v>162586</v>
      </c>
      <c r="E13" s="72">
        <f>E11-E12</f>
        <v>194108</v>
      </c>
      <c r="F13" s="73">
        <f>F11-F12</f>
        <v>133124</v>
      </c>
    </row>
    <row r="14" spans="1:6" s="55" customFormat="1" ht="14.25">
      <c r="A14" s="250">
        <v>7</v>
      </c>
      <c r="B14" s="247" t="s">
        <v>1125</v>
      </c>
      <c r="C14" s="72">
        <f>SUM(C13+C10)</f>
        <v>105193</v>
      </c>
      <c r="D14" s="72">
        <f>SUM(D13+D10)</f>
        <v>983</v>
      </c>
      <c r="E14" s="72">
        <f>SUM(E13+E10)</f>
        <v>39</v>
      </c>
      <c r="F14" s="73">
        <f>SUM(F13+F10)</f>
        <v>106215</v>
      </c>
    </row>
    <row r="15" spans="1:6" s="52" customFormat="1" ht="15">
      <c r="A15" s="250">
        <v>8</v>
      </c>
      <c r="B15" s="246" t="s">
        <v>1126</v>
      </c>
      <c r="C15" s="70">
        <v>11306</v>
      </c>
      <c r="D15" s="70">
        <v>0</v>
      </c>
      <c r="E15" s="70">
        <v>0</v>
      </c>
      <c r="F15" s="71">
        <f t="shared" si="0"/>
        <v>11306</v>
      </c>
    </row>
    <row r="16" spans="1:6" s="52" customFormat="1" ht="15">
      <c r="A16" s="250">
        <v>9</v>
      </c>
      <c r="B16" s="246" t="s">
        <v>1127</v>
      </c>
      <c r="C16" s="70">
        <v>7403</v>
      </c>
      <c r="D16" s="70">
        <v>0</v>
      </c>
      <c r="E16" s="70">
        <v>0</v>
      </c>
      <c r="F16" s="71">
        <f t="shared" si="0"/>
        <v>7403</v>
      </c>
    </row>
    <row r="17" spans="1:8" s="57" customFormat="1" ht="14.25">
      <c r="A17" s="250">
        <v>10</v>
      </c>
      <c r="B17" s="247" t="s">
        <v>1128</v>
      </c>
      <c r="C17" s="72">
        <f>C15-C16</f>
        <v>3903</v>
      </c>
      <c r="D17" s="72">
        <f>D15-D16</f>
        <v>0</v>
      </c>
      <c r="E17" s="72">
        <f>E15-E16</f>
        <v>0</v>
      </c>
      <c r="F17" s="73">
        <f>F15-F16</f>
        <v>3903</v>
      </c>
      <c r="H17" s="58"/>
    </row>
    <row r="18" spans="1:6" s="52" customFormat="1" ht="15">
      <c r="A18" s="250">
        <v>11</v>
      </c>
      <c r="B18" s="246" t="s">
        <v>1129</v>
      </c>
      <c r="C18" s="70">
        <v>0</v>
      </c>
      <c r="D18" s="70">
        <v>0</v>
      </c>
      <c r="E18" s="70">
        <v>0</v>
      </c>
      <c r="F18" s="71">
        <f t="shared" si="0"/>
        <v>0</v>
      </c>
    </row>
    <row r="19" spans="1:6" s="52" customFormat="1" ht="15">
      <c r="A19" s="250">
        <v>12</v>
      </c>
      <c r="B19" s="246" t="s">
        <v>1130</v>
      </c>
      <c r="C19" s="70">
        <v>0</v>
      </c>
      <c r="D19" s="70">
        <v>0</v>
      </c>
      <c r="E19" s="70">
        <v>0</v>
      </c>
      <c r="F19" s="71">
        <f t="shared" si="0"/>
        <v>0</v>
      </c>
    </row>
    <row r="20" spans="1:8" s="55" customFormat="1" ht="14.25">
      <c r="A20" s="250">
        <v>13</v>
      </c>
      <c r="B20" s="247" t="s">
        <v>1131</v>
      </c>
      <c r="C20" s="72">
        <f>C18-C19</f>
        <v>0</v>
      </c>
      <c r="D20" s="72">
        <f>D18-D19</f>
        <v>0</v>
      </c>
      <c r="E20" s="72">
        <f>E18-E19</f>
        <v>0</v>
      </c>
      <c r="F20" s="73">
        <f>F18-F19</f>
        <v>0</v>
      </c>
      <c r="H20" s="56"/>
    </row>
    <row r="21" spans="1:6" s="52" customFormat="1" ht="15">
      <c r="A21" s="250">
        <v>14</v>
      </c>
      <c r="B21" s="247" t="s">
        <v>1132</v>
      </c>
      <c r="C21" s="72">
        <f>SUM(+C17)</f>
        <v>3903</v>
      </c>
      <c r="D21" s="72">
        <f>SUM(+D17)</f>
        <v>0</v>
      </c>
      <c r="E21" s="72">
        <f>SUM(+E17)</f>
        <v>0</v>
      </c>
      <c r="F21" s="73">
        <f>SUM(+F17)</f>
        <v>3903</v>
      </c>
    </row>
    <row r="22" spans="1:6" s="52" customFormat="1" ht="15">
      <c r="A22" s="250">
        <v>15</v>
      </c>
      <c r="B22" s="247" t="s">
        <v>1133</v>
      </c>
      <c r="C22" s="72">
        <f>SUM(C21+C14)</f>
        <v>109096</v>
      </c>
      <c r="D22" s="72">
        <f>SUM(D21+D14)</f>
        <v>983</v>
      </c>
      <c r="E22" s="72">
        <f>SUM(E21+E14)</f>
        <v>39</v>
      </c>
      <c r="F22" s="73">
        <f>SUM(F21+F14)</f>
        <v>110118</v>
      </c>
    </row>
    <row r="23" spans="1:6" s="55" customFormat="1" ht="14.25">
      <c r="A23" s="250">
        <v>16</v>
      </c>
      <c r="B23" s="247" t="s">
        <v>1134</v>
      </c>
      <c r="C23" s="72">
        <v>74575</v>
      </c>
      <c r="D23" s="72">
        <v>293</v>
      </c>
      <c r="E23" s="72">
        <v>0</v>
      </c>
      <c r="F23" s="73">
        <f t="shared" si="0"/>
        <v>74868</v>
      </c>
    </row>
    <row r="24" spans="1:6" s="52" customFormat="1" ht="15">
      <c r="A24" s="250">
        <v>17</v>
      </c>
      <c r="B24" s="247" t="s">
        <v>1135</v>
      </c>
      <c r="C24" s="72">
        <f>C14-C23</f>
        <v>30618</v>
      </c>
      <c r="D24" s="72">
        <f>D14-D23</f>
        <v>690</v>
      </c>
      <c r="E24" s="72">
        <f>E14-E23</f>
        <v>39</v>
      </c>
      <c r="F24" s="73">
        <f>F14-F23</f>
        <v>31347</v>
      </c>
    </row>
    <row r="25" spans="1:6" s="52" customFormat="1" ht="15">
      <c r="A25" s="250">
        <v>18</v>
      </c>
      <c r="B25" s="247" t="s">
        <v>1136</v>
      </c>
      <c r="C25" s="72">
        <f>C21*0.1</f>
        <v>390.3</v>
      </c>
      <c r="D25" s="72">
        <f>D21*0.1</f>
        <v>0</v>
      </c>
      <c r="E25" s="72">
        <f>E21*0.1</f>
        <v>0</v>
      </c>
      <c r="F25" s="73">
        <f>F21*0.1</f>
        <v>390.3</v>
      </c>
    </row>
    <row r="26" spans="1:8" s="53" customFormat="1" ht="16.5" thickBot="1">
      <c r="A26" s="251">
        <v>19</v>
      </c>
      <c r="B26" s="759" t="s">
        <v>1137</v>
      </c>
      <c r="C26" s="760">
        <f>C21-C25</f>
        <v>3512.7</v>
      </c>
      <c r="D26" s="760">
        <f>D21-D25</f>
        <v>0</v>
      </c>
      <c r="E26" s="760">
        <f>E21-E25</f>
        <v>0</v>
      </c>
      <c r="F26" s="761">
        <f>F21-F25</f>
        <v>3512.7</v>
      </c>
      <c r="H26" s="69"/>
    </row>
    <row r="27" spans="3:4" ht="15">
      <c r="C27" s="54"/>
      <c r="D27" s="54"/>
    </row>
    <row r="28" spans="3:4" ht="15">
      <c r="C28" s="54"/>
      <c r="D28" s="54"/>
    </row>
    <row r="29" spans="3:4" ht="15">
      <c r="C29" s="54"/>
      <c r="D29" s="54"/>
    </row>
    <row r="30" spans="3:4" ht="15">
      <c r="C30" s="54"/>
      <c r="D30" s="54"/>
    </row>
    <row r="31" spans="3:4" ht="15">
      <c r="C31" s="54"/>
      <c r="D31" s="54"/>
    </row>
    <row r="32" spans="3:4" ht="15">
      <c r="C32" s="54"/>
      <c r="D32" s="54"/>
    </row>
    <row r="33" spans="3:4" ht="15">
      <c r="C33" s="54"/>
      <c r="D33" s="54"/>
    </row>
    <row r="34" spans="3:4" ht="15">
      <c r="C34" s="54"/>
      <c r="D34" s="54"/>
    </row>
    <row r="35" spans="3:4" ht="15">
      <c r="C35" s="54"/>
      <c r="D35" s="54"/>
    </row>
    <row r="36" spans="3:4" ht="15">
      <c r="C36" s="54"/>
      <c r="D36" s="54"/>
    </row>
    <row r="37" spans="3:4" ht="15">
      <c r="C37" s="54"/>
      <c r="D37" s="54"/>
    </row>
    <row r="38" spans="3:4" ht="15">
      <c r="C38" s="54"/>
      <c r="D38" s="54"/>
    </row>
    <row r="39" spans="3:4" ht="15">
      <c r="C39" s="54"/>
      <c r="D39" s="54"/>
    </row>
    <row r="40" spans="3:4" ht="15">
      <c r="C40" s="54"/>
      <c r="D40" s="54"/>
    </row>
    <row r="41" spans="3:4" ht="15">
      <c r="C41" s="54"/>
      <c r="D41" s="54"/>
    </row>
    <row r="42" spans="3:4" ht="15">
      <c r="C42" s="54"/>
      <c r="D42" s="54"/>
    </row>
    <row r="43" spans="3:4" ht="15">
      <c r="C43" s="54"/>
      <c r="D43" s="54"/>
    </row>
    <row r="44" spans="3:4" ht="15">
      <c r="C44" s="54"/>
      <c r="D44" s="54"/>
    </row>
    <row r="45" spans="3:4" ht="15">
      <c r="C45" s="54"/>
      <c r="D45" s="54"/>
    </row>
    <row r="46" spans="3:4" ht="15">
      <c r="C46" s="54"/>
      <c r="D46" s="54"/>
    </row>
    <row r="47" spans="3:4" ht="15">
      <c r="C47" s="54"/>
      <c r="D47" s="54"/>
    </row>
    <row r="48" spans="3:4" ht="15">
      <c r="C48" s="54"/>
      <c r="D48" s="54"/>
    </row>
    <row r="49" spans="3:4" ht="15">
      <c r="C49" s="54"/>
      <c r="D49" s="54"/>
    </row>
    <row r="50" spans="3:4" ht="15">
      <c r="C50" s="54"/>
      <c r="D50" s="54"/>
    </row>
    <row r="51" spans="3:4" ht="15">
      <c r="C51" s="54"/>
      <c r="D51" s="54"/>
    </row>
    <row r="52" spans="3:4" ht="15">
      <c r="C52" s="54"/>
      <c r="D52" s="54"/>
    </row>
    <row r="53" spans="3:4" ht="15">
      <c r="C53" s="54"/>
      <c r="D53" s="54"/>
    </row>
    <row r="54" spans="3:4" ht="15">
      <c r="C54" s="54"/>
      <c r="D54" s="54"/>
    </row>
    <row r="55" spans="3:4" ht="15">
      <c r="C55" s="54"/>
      <c r="D55" s="54"/>
    </row>
    <row r="56" spans="3:4" ht="15">
      <c r="C56" s="54"/>
      <c r="D56" s="54"/>
    </row>
    <row r="57" spans="3:4" ht="15">
      <c r="C57" s="54"/>
      <c r="D57" s="54"/>
    </row>
    <row r="58" spans="3:4" ht="15">
      <c r="C58" s="54"/>
      <c r="D58" s="54"/>
    </row>
    <row r="59" spans="3:4" ht="15">
      <c r="C59" s="54"/>
      <c r="D59" s="54"/>
    </row>
    <row r="60" spans="3:4" ht="15">
      <c r="C60" s="54"/>
      <c r="D60" s="54"/>
    </row>
    <row r="61" spans="3:4" ht="15">
      <c r="C61" s="54"/>
      <c r="D61" s="54"/>
    </row>
    <row r="62" spans="3:4" ht="15">
      <c r="C62" s="54"/>
      <c r="D62" s="54"/>
    </row>
    <row r="63" spans="3:4" ht="15">
      <c r="C63" s="54"/>
      <c r="D63" s="54"/>
    </row>
    <row r="64" spans="3:4" ht="15">
      <c r="C64" s="54"/>
      <c r="D64" s="54"/>
    </row>
    <row r="65" spans="3:4" ht="15">
      <c r="C65" s="54"/>
      <c r="D65" s="54"/>
    </row>
    <row r="66" spans="3:4" ht="15">
      <c r="C66" s="54"/>
      <c r="D66" s="54"/>
    </row>
    <row r="67" spans="3:4" ht="15">
      <c r="C67" s="54"/>
      <c r="D67" s="54"/>
    </row>
    <row r="68" spans="3:4" ht="15">
      <c r="C68" s="54"/>
      <c r="D68" s="54"/>
    </row>
    <row r="69" spans="3:4" ht="15">
      <c r="C69" s="54"/>
      <c r="D69" s="54"/>
    </row>
    <row r="70" spans="3:4" ht="15">
      <c r="C70" s="54"/>
      <c r="D70" s="54"/>
    </row>
    <row r="71" spans="3:4" ht="15">
      <c r="C71" s="54"/>
      <c r="D71" s="54"/>
    </row>
    <row r="72" spans="3:4" ht="15">
      <c r="C72" s="54"/>
      <c r="D72" s="54"/>
    </row>
    <row r="73" spans="3:4" ht="15">
      <c r="C73" s="54"/>
      <c r="D73" s="54"/>
    </row>
    <row r="74" spans="3:4" ht="15">
      <c r="C74" s="54"/>
      <c r="D74" s="54"/>
    </row>
    <row r="75" spans="3:4" ht="15">
      <c r="C75" s="54"/>
      <c r="D75" s="54"/>
    </row>
    <row r="76" spans="3:4" ht="15">
      <c r="C76" s="54"/>
      <c r="D76" s="54"/>
    </row>
    <row r="77" spans="3:4" ht="15">
      <c r="C77" s="54"/>
      <c r="D77" s="54"/>
    </row>
    <row r="78" spans="3:4" ht="15">
      <c r="C78" s="54"/>
      <c r="D78" s="54"/>
    </row>
    <row r="79" spans="3:4" ht="15">
      <c r="C79" s="54"/>
      <c r="D79" s="54"/>
    </row>
    <row r="80" spans="3:4" ht="15">
      <c r="C80" s="54"/>
      <c r="D80" s="54"/>
    </row>
    <row r="81" spans="3:4" ht="15">
      <c r="C81" s="54"/>
      <c r="D81" s="54"/>
    </row>
    <row r="82" spans="3:4" ht="15">
      <c r="C82" s="54"/>
      <c r="D82" s="54"/>
    </row>
    <row r="83" spans="3:4" ht="15">
      <c r="C83" s="54"/>
      <c r="D83" s="54"/>
    </row>
    <row r="84" spans="3:4" ht="15">
      <c r="C84" s="54"/>
      <c r="D84" s="54"/>
    </row>
    <row r="85" spans="3:4" ht="15">
      <c r="C85" s="54"/>
      <c r="D85" s="54"/>
    </row>
    <row r="86" spans="3:4" ht="15">
      <c r="C86" s="54"/>
      <c r="D86" s="54"/>
    </row>
    <row r="87" spans="3:4" ht="15">
      <c r="C87" s="54"/>
      <c r="D87" s="54"/>
    </row>
    <row r="88" spans="3:4" ht="15">
      <c r="C88" s="54"/>
      <c r="D88" s="54"/>
    </row>
    <row r="89" spans="3:4" ht="15">
      <c r="C89" s="54"/>
      <c r="D89" s="54"/>
    </row>
    <row r="90" spans="3:4" ht="15">
      <c r="C90" s="54"/>
      <c r="D90" s="54"/>
    </row>
    <row r="91" spans="3:4" ht="15">
      <c r="C91" s="54"/>
      <c r="D91" s="54"/>
    </row>
    <row r="92" spans="3:4" ht="15">
      <c r="C92" s="54"/>
      <c r="D92" s="54"/>
    </row>
    <row r="93" spans="3:4" ht="15">
      <c r="C93" s="54"/>
      <c r="D93" s="54"/>
    </row>
    <row r="94" spans="3:4" ht="15">
      <c r="C94" s="54"/>
      <c r="D94" s="54"/>
    </row>
    <row r="95" spans="3:4" ht="15">
      <c r="C95" s="54"/>
      <c r="D95" s="54"/>
    </row>
    <row r="96" spans="3:4" ht="15">
      <c r="C96" s="54"/>
      <c r="D96" s="54"/>
    </row>
    <row r="97" spans="3:4" ht="15">
      <c r="C97" s="54"/>
      <c r="D97" s="54"/>
    </row>
    <row r="98" spans="3:4" ht="15">
      <c r="C98" s="54"/>
      <c r="D98" s="54"/>
    </row>
    <row r="99" spans="3:4" ht="15">
      <c r="C99" s="54"/>
      <c r="D99" s="54"/>
    </row>
    <row r="100" spans="3:4" ht="15">
      <c r="C100" s="54"/>
      <c r="D100" s="54"/>
    </row>
    <row r="101" spans="3:4" ht="15">
      <c r="C101" s="54"/>
      <c r="D101" s="54"/>
    </row>
    <row r="102" spans="3:4" ht="15">
      <c r="C102" s="54"/>
      <c r="D102" s="54"/>
    </row>
    <row r="103" spans="3:4" ht="15">
      <c r="C103" s="54"/>
      <c r="D103" s="54"/>
    </row>
    <row r="104" spans="3:4" ht="15">
      <c r="C104" s="54"/>
      <c r="D104" s="54"/>
    </row>
    <row r="105" spans="3:4" ht="15">
      <c r="C105" s="54"/>
      <c r="D105" s="54"/>
    </row>
    <row r="106" spans="3:4" ht="15">
      <c r="C106" s="54"/>
      <c r="D106" s="54"/>
    </row>
    <row r="107" spans="3:4" ht="15">
      <c r="C107" s="54"/>
      <c r="D107" s="54"/>
    </row>
    <row r="108" spans="3:4" ht="15">
      <c r="C108" s="54"/>
      <c r="D108" s="54"/>
    </row>
    <row r="109" spans="3:4" ht="15">
      <c r="C109" s="54"/>
      <c r="D109" s="54"/>
    </row>
    <row r="110" spans="3:4" ht="15">
      <c r="C110" s="54"/>
      <c r="D110" s="54"/>
    </row>
    <row r="111" spans="3:4" ht="15">
      <c r="C111" s="54"/>
      <c r="D111" s="54"/>
    </row>
    <row r="112" spans="3:4" ht="15">
      <c r="C112" s="54"/>
      <c r="D112" s="54"/>
    </row>
    <row r="113" spans="3:4" ht="15">
      <c r="C113" s="54"/>
      <c r="D113" s="54"/>
    </row>
    <row r="114" spans="3:4" ht="15">
      <c r="C114" s="54"/>
      <c r="D114" s="54"/>
    </row>
    <row r="115" spans="3:4" ht="15">
      <c r="C115" s="54"/>
      <c r="D115" s="54"/>
    </row>
    <row r="116" spans="3:4" ht="15">
      <c r="C116" s="54"/>
      <c r="D116" s="54"/>
    </row>
    <row r="117" spans="3:4" ht="15">
      <c r="C117" s="54"/>
      <c r="D117" s="54"/>
    </row>
    <row r="118" spans="3:4" ht="15">
      <c r="C118" s="54"/>
      <c r="D118" s="54"/>
    </row>
    <row r="119" spans="3:4" ht="15">
      <c r="C119" s="54"/>
      <c r="D119" s="54"/>
    </row>
    <row r="120" spans="3:4" ht="15">
      <c r="C120" s="54"/>
      <c r="D120" s="54"/>
    </row>
    <row r="121" spans="3:4" ht="15">
      <c r="C121" s="54"/>
      <c r="D121" s="54"/>
    </row>
    <row r="122" spans="3:4" ht="15">
      <c r="C122" s="54"/>
      <c r="D122" s="54"/>
    </row>
    <row r="123" spans="3:4" ht="15">
      <c r="C123" s="54"/>
      <c r="D123" s="54"/>
    </row>
    <row r="124" spans="3:4" ht="15">
      <c r="C124" s="54"/>
      <c r="D124" s="54"/>
    </row>
    <row r="125" spans="3:4" ht="15">
      <c r="C125" s="54"/>
      <c r="D125" s="54"/>
    </row>
    <row r="126" spans="3:4" ht="15">
      <c r="C126" s="54"/>
      <c r="D126" s="54"/>
    </row>
    <row r="127" spans="3:4" ht="15">
      <c r="C127" s="54"/>
      <c r="D127" s="54"/>
    </row>
    <row r="128" spans="3:4" ht="15">
      <c r="C128" s="54"/>
      <c r="D128" s="54"/>
    </row>
    <row r="129" spans="3:4" ht="15">
      <c r="C129" s="54"/>
      <c r="D129" s="54"/>
    </row>
    <row r="130" spans="3:4" ht="15">
      <c r="C130" s="54"/>
      <c r="D130" s="54"/>
    </row>
    <row r="131" spans="3:4" ht="15">
      <c r="C131" s="54"/>
      <c r="D131" s="54"/>
    </row>
    <row r="132" spans="3:4" ht="15">
      <c r="C132" s="54"/>
      <c r="D132" s="54"/>
    </row>
    <row r="133" spans="3:4" ht="15">
      <c r="C133" s="54"/>
      <c r="D133" s="54"/>
    </row>
    <row r="134" spans="3:4" ht="15">
      <c r="C134" s="54"/>
      <c r="D134" s="54"/>
    </row>
    <row r="135" spans="3:4" ht="15">
      <c r="C135" s="54"/>
      <c r="D135" s="54"/>
    </row>
    <row r="136" spans="3:4" ht="15">
      <c r="C136" s="54"/>
      <c r="D136" s="54"/>
    </row>
    <row r="137" spans="3:4" ht="15">
      <c r="C137" s="54"/>
      <c r="D137" s="54"/>
    </row>
    <row r="138" spans="3:4" ht="15">
      <c r="C138" s="54"/>
      <c r="D138" s="54"/>
    </row>
    <row r="139" spans="3:4" ht="15">
      <c r="C139" s="54"/>
      <c r="D139" s="54"/>
    </row>
    <row r="140" spans="3:4" ht="15">
      <c r="C140" s="54"/>
      <c r="D140" s="54"/>
    </row>
    <row r="141" spans="3:4" ht="15">
      <c r="C141" s="54"/>
      <c r="D141" s="54"/>
    </row>
    <row r="142" spans="3:4" ht="15">
      <c r="C142" s="54"/>
      <c r="D142" s="54"/>
    </row>
    <row r="143" spans="3:4" ht="15">
      <c r="C143" s="54"/>
      <c r="D143" s="54"/>
    </row>
    <row r="144" spans="3:4" ht="15">
      <c r="C144" s="54"/>
      <c r="D144" s="54"/>
    </row>
    <row r="145" spans="3:4" ht="15">
      <c r="C145" s="54"/>
      <c r="D145" s="54"/>
    </row>
    <row r="146" spans="3:4" ht="15">
      <c r="C146" s="54"/>
      <c r="D146" s="54"/>
    </row>
    <row r="147" spans="3:4" ht="15">
      <c r="C147" s="54"/>
      <c r="D147" s="54"/>
    </row>
    <row r="148" spans="3:4" ht="15">
      <c r="C148" s="54"/>
      <c r="D148" s="54"/>
    </row>
    <row r="149" spans="3:4" ht="15">
      <c r="C149" s="54"/>
      <c r="D149" s="54"/>
    </row>
    <row r="150" spans="3:4" ht="15">
      <c r="C150" s="54"/>
      <c r="D150" s="54"/>
    </row>
    <row r="151" spans="3:4" ht="15">
      <c r="C151" s="54"/>
      <c r="D151" s="54"/>
    </row>
    <row r="152" spans="3:4" ht="15">
      <c r="C152" s="54"/>
      <c r="D152" s="54"/>
    </row>
    <row r="153" spans="3:4" ht="15">
      <c r="C153" s="54"/>
      <c r="D153" s="54"/>
    </row>
    <row r="154" spans="3:4" ht="15">
      <c r="C154" s="54"/>
      <c r="D154" s="54"/>
    </row>
    <row r="155" spans="3:4" ht="15">
      <c r="C155" s="54"/>
      <c r="D155" s="54"/>
    </row>
    <row r="156" spans="3:4" ht="15">
      <c r="C156" s="54"/>
      <c r="D156" s="54"/>
    </row>
    <row r="157" spans="3:4" ht="15">
      <c r="C157" s="54"/>
      <c r="D157" s="54"/>
    </row>
    <row r="158" spans="3:4" ht="15">
      <c r="C158" s="54"/>
      <c r="D158" s="54"/>
    </row>
    <row r="159" spans="3:4" ht="15">
      <c r="C159" s="54"/>
      <c r="D159" s="54"/>
    </row>
    <row r="160" spans="3:4" ht="15">
      <c r="C160" s="54"/>
      <c r="D160" s="54"/>
    </row>
    <row r="161" spans="3:4" ht="15">
      <c r="C161" s="54"/>
      <c r="D161" s="54"/>
    </row>
    <row r="162" spans="3:4" ht="15">
      <c r="C162" s="54"/>
      <c r="D162" s="54"/>
    </row>
    <row r="163" spans="3:4" ht="15">
      <c r="C163" s="54"/>
      <c r="D163" s="54"/>
    </row>
    <row r="164" spans="3:4" ht="15">
      <c r="C164" s="54"/>
      <c r="D164" s="54"/>
    </row>
    <row r="165" spans="3:4" ht="15">
      <c r="C165" s="54"/>
      <c r="D165" s="54"/>
    </row>
    <row r="166" spans="3:4" ht="15">
      <c r="C166" s="54"/>
      <c r="D166" s="54"/>
    </row>
    <row r="167" spans="3:4" ht="15">
      <c r="C167" s="54"/>
      <c r="D167" s="54"/>
    </row>
    <row r="168" spans="3:4" ht="15">
      <c r="C168" s="54"/>
      <c r="D168" s="54"/>
    </row>
    <row r="169" spans="3:4" ht="15">
      <c r="C169" s="54"/>
      <c r="D169" s="54"/>
    </row>
    <row r="170" spans="3:4" ht="15">
      <c r="C170" s="54"/>
      <c r="D170" s="54"/>
    </row>
    <row r="171" spans="3:4" ht="15">
      <c r="C171" s="54"/>
      <c r="D171" s="54"/>
    </row>
    <row r="172" spans="3:4" ht="15">
      <c r="C172" s="54"/>
      <c r="D172" s="54"/>
    </row>
    <row r="173" spans="3:4" ht="15">
      <c r="C173" s="54"/>
      <c r="D173" s="54"/>
    </row>
    <row r="174" spans="3:4" ht="15">
      <c r="C174" s="54"/>
      <c r="D174" s="54"/>
    </row>
    <row r="175" spans="3:4" ht="15">
      <c r="C175" s="54"/>
      <c r="D175" s="54"/>
    </row>
    <row r="176" spans="3:4" ht="15">
      <c r="C176" s="54"/>
      <c r="D176" s="54"/>
    </row>
    <row r="177" spans="3:4" ht="15">
      <c r="C177" s="54"/>
      <c r="D177" s="54"/>
    </row>
    <row r="178" spans="3:4" ht="15">
      <c r="C178" s="54"/>
      <c r="D178" s="54"/>
    </row>
    <row r="179" spans="3:4" ht="15">
      <c r="C179" s="54"/>
      <c r="D179" s="54"/>
    </row>
    <row r="180" spans="3:4" ht="15">
      <c r="C180" s="54"/>
      <c r="D180" s="54"/>
    </row>
    <row r="181" spans="3:4" ht="15">
      <c r="C181" s="54"/>
      <c r="D181" s="54"/>
    </row>
    <row r="182" spans="3:4" ht="15">
      <c r="C182" s="54"/>
      <c r="D182" s="54"/>
    </row>
    <row r="183" spans="3:4" ht="15">
      <c r="C183" s="54"/>
      <c r="D183" s="54"/>
    </row>
    <row r="184" spans="3:4" ht="15">
      <c r="C184" s="54"/>
      <c r="D184" s="54"/>
    </row>
    <row r="185" spans="3:4" ht="15">
      <c r="C185" s="54"/>
      <c r="D185" s="54"/>
    </row>
    <row r="186" spans="3:4" ht="15">
      <c r="C186" s="54"/>
      <c r="D186" s="54"/>
    </row>
    <row r="187" spans="3:4" ht="15">
      <c r="C187" s="54"/>
      <c r="D187" s="54"/>
    </row>
    <row r="188" spans="3:4" ht="15">
      <c r="C188" s="54"/>
      <c r="D188" s="54"/>
    </row>
    <row r="189" spans="3:4" ht="15">
      <c r="C189" s="54"/>
      <c r="D189" s="54"/>
    </row>
    <row r="190" spans="3:4" ht="15">
      <c r="C190" s="54"/>
      <c r="D190" s="54"/>
    </row>
    <row r="191" spans="3:4" ht="15">
      <c r="C191" s="54"/>
      <c r="D191" s="54"/>
    </row>
    <row r="192" spans="3:4" ht="15">
      <c r="C192" s="54"/>
      <c r="D192" s="54"/>
    </row>
    <row r="193" spans="3:4" ht="15">
      <c r="C193" s="54"/>
      <c r="D193" s="54"/>
    </row>
    <row r="194" spans="3:4" ht="15">
      <c r="C194" s="54"/>
      <c r="D194" s="54"/>
    </row>
    <row r="195" spans="3:4" ht="15">
      <c r="C195" s="54"/>
      <c r="D195" s="54"/>
    </row>
    <row r="196" spans="3:4" ht="15">
      <c r="C196" s="54"/>
      <c r="D196" s="54"/>
    </row>
    <row r="197" spans="3:4" ht="15">
      <c r="C197" s="54"/>
      <c r="D197" s="54"/>
    </row>
    <row r="198" spans="3:4" ht="15">
      <c r="C198" s="54"/>
      <c r="D198" s="54"/>
    </row>
    <row r="199" spans="3:4" ht="15">
      <c r="C199" s="54"/>
      <c r="D199" s="54"/>
    </row>
    <row r="200" spans="3:4" ht="15">
      <c r="C200" s="54"/>
      <c r="D200" s="54"/>
    </row>
    <row r="201" spans="3:4" ht="15">
      <c r="C201" s="54"/>
      <c r="D201" s="54"/>
    </row>
    <row r="202" spans="3:4" ht="15">
      <c r="C202" s="54"/>
      <c r="D202" s="54"/>
    </row>
    <row r="203" spans="3:4" ht="15">
      <c r="C203" s="54"/>
      <c r="D203" s="54"/>
    </row>
    <row r="204" spans="3:4" ht="15">
      <c r="C204" s="54"/>
      <c r="D204" s="54"/>
    </row>
    <row r="205" spans="3:4" ht="15">
      <c r="C205" s="54"/>
      <c r="D205" s="54"/>
    </row>
    <row r="206" spans="3:4" ht="15">
      <c r="C206" s="54"/>
      <c r="D206" s="54"/>
    </row>
    <row r="207" spans="3:4" ht="15">
      <c r="C207" s="54"/>
      <c r="D207" s="54"/>
    </row>
    <row r="208" spans="3:4" ht="15">
      <c r="C208" s="54"/>
      <c r="D208" s="54"/>
    </row>
    <row r="209" spans="3:4" ht="15">
      <c r="C209" s="54"/>
      <c r="D209" s="54"/>
    </row>
    <row r="210" spans="3:4" ht="15">
      <c r="C210" s="54"/>
      <c r="D210" s="54"/>
    </row>
    <row r="211" spans="3:4" ht="15">
      <c r="C211" s="54"/>
      <c r="D211" s="54"/>
    </row>
    <row r="212" spans="3:4" ht="15">
      <c r="C212" s="54"/>
      <c r="D212" s="54"/>
    </row>
    <row r="213" spans="3:4" ht="15">
      <c r="C213" s="54"/>
      <c r="D213" s="54"/>
    </row>
    <row r="214" spans="3:4" ht="15">
      <c r="C214" s="54"/>
      <c r="D214" s="54"/>
    </row>
    <row r="215" spans="3:4" ht="15">
      <c r="C215" s="54"/>
      <c r="D215" s="54"/>
    </row>
    <row r="216" spans="3:4" ht="15">
      <c r="C216" s="54"/>
      <c r="D216" s="54"/>
    </row>
    <row r="217" spans="3:4" ht="15">
      <c r="C217" s="54"/>
      <c r="D217" s="54"/>
    </row>
    <row r="218" spans="3:4" ht="15">
      <c r="C218" s="54"/>
      <c r="D218" s="54"/>
    </row>
    <row r="219" spans="3:4" ht="15">
      <c r="C219" s="54"/>
      <c r="D219" s="54"/>
    </row>
    <row r="220" spans="3:4" ht="15">
      <c r="C220" s="54"/>
      <c r="D220" s="54"/>
    </row>
    <row r="221" spans="3:4" ht="15">
      <c r="C221" s="54"/>
      <c r="D221" s="54"/>
    </row>
    <row r="222" spans="3:4" ht="15">
      <c r="C222" s="54"/>
      <c r="D222" s="54"/>
    </row>
    <row r="223" spans="3:4" ht="15">
      <c r="C223" s="54"/>
      <c r="D223" s="54"/>
    </row>
    <row r="224" spans="3:4" ht="15">
      <c r="C224" s="54"/>
      <c r="D224" s="54"/>
    </row>
    <row r="225" spans="3:4" ht="15">
      <c r="C225" s="54"/>
      <c r="D225" s="54"/>
    </row>
    <row r="226" spans="3:4" ht="15">
      <c r="C226" s="54"/>
      <c r="D226" s="54"/>
    </row>
    <row r="227" spans="3:4" ht="15">
      <c r="C227" s="54"/>
      <c r="D227" s="54"/>
    </row>
    <row r="228" spans="3:4" ht="15">
      <c r="C228" s="54"/>
      <c r="D228" s="54"/>
    </row>
    <row r="229" spans="3:4" ht="15">
      <c r="C229" s="54"/>
      <c r="D229" s="54"/>
    </row>
    <row r="230" spans="3:4" ht="15">
      <c r="C230" s="54"/>
      <c r="D230" s="54"/>
    </row>
    <row r="231" spans="3:4" ht="15">
      <c r="C231" s="54"/>
      <c r="D231" s="54"/>
    </row>
    <row r="232" spans="3:4" ht="15">
      <c r="C232" s="54"/>
      <c r="D232" s="54"/>
    </row>
    <row r="233" spans="3:4" ht="15">
      <c r="C233" s="54"/>
      <c r="D233" s="54"/>
    </row>
    <row r="234" spans="3:4" ht="15">
      <c r="C234" s="54"/>
      <c r="D234" s="54"/>
    </row>
    <row r="235" spans="3:4" ht="15">
      <c r="C235" s="54"/>
      <c r="D235" s="54"/>
    </row>
    <row r="236" spans="3:4" ht="15">
      <c r="C236" s="54"/>
      <c r="D236" s="54"/>
    </row>
    <row r="237" spans="3:4" ht="15">
      <c r="C237" s="54"/>
      <c r="D237" s="54"/>
    </row>
    <row r="238" spans="3:4" ht="15">
      <c r="C238" s="54"/>
      <c r="D238" s="54"/>
    </row>
    <row r="239" spans="3:4" ht="15">
      <c r="C239" s="54"/>
      <c r="D239" s="54"/>
    </row>
    <row r="240" spans="3:4" ht="15">
      <c r="C240" s="54"/>
      <c r="D240" s="54"/>
    </row>
    <row r="241" spans="3:4" ht="15">
      <c r="C241" s="54"/>
      <c r="D241" s="54"/>
    </row>
    <row r="242" spans="3:4" ht="15">
      <c r="C242" s="54"/>
      <c r="D242" s="54"/>
    </row>
    <row r="243" spans="3:4" ht="15">
      <c r="C243" s="54"/>
      <c r="D243" s="54"/>
    </row>
    <row r="244" spans="3:4" ht="15">
      <c r="C244" s="54"/>
      <c r="D244" s="54"/>
    </row>
    <row r="245" spans="3:4" ht="15">
      <c r="C245" s="54"/>
      <c r="D245" s="54"/>
    </row>
    <row r="246" spans="3:4" ht="15">
      <c r="C246" s="54"/>
      <c r="D246" s="54"/>
    </row>
    <row r="247" spans="3:4" ht="15">
      <c r="C247" s="54"/>
      <c r="D247" s="54"/>
    </row>
    <row r="248" spans="3:4" ht="15">
      <c r="C248" s="54"/>
      <c r="D248" s="54"/>
    </row>
    <row r="249" spans="3:4" ht="15">
      <c r="C249" s="54"/>
      <c r="D249" s="54"/>
    </row>
    <row r="250" spans="3:4" ht="15">
      <c r="C250" s="54"/>
      <c r="D250" s="54"/>
    </row>
    <row r="251" spans="3:4" ht="15">
      <c r="C251" s="54"/>
      <c r="D251" s="54"/>
    </row>
    <row r="252" spans="3:4" ht="15">
      <c r="C252" s="54"/>
      <c r="D252" s="54"/>
    </row>
    <row r="253" spans="3:4" ht="15">
      <c r="C253" s="54"/>
      <c r="D253" s="54"/>
    </row>
    <row r="254" spans="3:4" ht="15">
      <c r="C254" s="54"/>
      <c r="D254" s="54"/>
    </row>
    <row r="255" spans="3:4" ht="15">
      <c r="C255" s="54"/>
      <c r="D255" s="54"/>
    </row>
    <row r="256" spans="3:4" ht="15">
      <c r="C256" s="54"/>
      <c r="D256" s="54"/>
    </row>
    <row r="257" spans="3:4" ht="15">
      <c r="C257" s="54"/>
      <c r="D257" s="54"/>
    </row>
    <row r="258" spans="3:4" ht="15">
      <c r="C258" s="54"/>
      <c r="D258" s="54"/>
    </row>
    <row r="259" spans="3:4" ht="15">
      <c r="C259" s="54"/>
      <c r="D259" s="54"/>
    </row>
    <row r="260" spans="3:4" ht="15">
      <c r="C260" s="54"/>
      <c r="D260" s="54"/>
    </row>
    <row r="261" spans="3:4" ht="15">
      <c r="C261" s="54"/>
      <c r="D261" s="54"/>
    </row>
    <row r="262" spans="3:4" ht="15">
      <c r="C262" s="54"/>
      <c r="D262" s="54"/>
    </row>
    <row r="263" spans="3:4" ht="15">
      <c r="C263" s="54"/>
      <c r="D263" s="54"/>
    </row>
    <row r="264" spans="3:4" ht="15">
      <c r="C264" s="54"/>
      <c r="D264" s="54"/>
    </row>
    <row r="265" spans="3:4" ht="15">
      <c r="C265" s="54"/>
      <c r="D265" s="54"/>
    </row>
    <row r="266" spans="3:4" ht="15">
      <c r="C266" s="54"/>
      <c r="D266" s="54"/>
    </row>
    <row r="267" spans="3:4" ht="15">
      <c r="C267" s="54"/>
      <c r="D267" s="54"/>
    </row>
    <row r="268" spans="3:4" ht="15">
      <c r="C268" s="54"/>
      <c r="D268" s="54"/>
    </row>
    <row r="269" spans="3:4" ht="15">
      <c r="C269" s="54"/>
      <c r="D269" s="54"/>
    </row>
    <row r="270" spans="3:4" ht="15">
      <c r="C270" s="54"/>
      <c r="D270" s="54"/>
    </row>
    <row r="271" spans="3:4" ht="15">
      <c r="C271" s="54"/>
      <c r="D271" s="54"/>
    </row>
    <row r="272" spans="3:4" ht="15">
      <c r="C272" s="54"/>
      <c r="D272" s="54"/>
    </row>
    <row r="273" spans="3:4" ht="15">
      <c r="C273" s="54"/>
      <c r="D273" s="54"/>
    </row>
    <row r="274" spans="3:4" ht="15">
      <c r="C274" s="54"/>
      <c r="D274" s="54"/>
    </row>
    <row r="275" spans="3:4" ht="15">
      <c r="C275" s="54"/>
      <c r="D275" s="54"/>
    </row>
    <row r="276" spans="3:4" ht="15">
      <c r="C276" s="54"/>
      <c r="D276" s="54"/>
    </row>
    <row r="277" spans="3:4" ht="15">
      <c r="C277" s="54"/>
      <c r="D277" s="54"/>
    </row>
    <row r="278" spans="3:4" ht="15">
      <c r="C278" s="54"/>
      <c r="D278" s="54"/>
    </row>
    <row r="279" spans="3:4" ht="15">
      <c r="C279" s="54"/>
      <c r="D279" s="54"/>
    </row>
    <row r="280" spans="3:4" ht="15">
      <c r="C280" s="54"/>
      <c r="D280" s="54"/>
    </row>
    <row r="281" spans="3:4" ht="15">
      <c r="C281" s="54"/>
      <c r="D281" s="54"/>
    </row>
    <row r="282" spans="3:4" ht="15">
      <c r="C282" s="54"/>
      <c r="D282" s="54"/>
    </row>
    <row r="283" spans="3:4" ht="15">
      <c r="C283" s="54"/>
      <c r="D283" s="54"/>
    </row>
    <row r="284" spans="3:4" ht="15">
      <c r="C284" s="54"/>
      <c r="D284" s="54"/>
    </row>
    <row r="285" spans="3:4" ht="15">
      <c r="C285" s="54"/>
      <c r="D285" s="54"/>
    </row>
    <row r="286" spans="3:4" ht="15">
      <c r="C286" s="54"/>
      <c r="D286" s="54"/>
    </row>
    <row r="287" spans="3:4" ht="15">
      <c r="C287" s="54"/>
      <c r="D287" s="54"/>
    </row>
    <row r="288" spans="3:4" ht="15">
      <c r="C288" s="54"/>
      <c r="D288" s="54"/>
    </row>
    <row r="289" spans="3:4" ht="15">
      <c r="C289" s="54"/>
      <c r="D289" s="54"/>
    </row>
    <row r="290" spans="3:4" ht="15">
      <c r="C290" s="54"/>
      <c r="D290" s="54"/>
    </row>
    <row r="291" spans="3:4" ht="15">
      <c r="C291" s="54"/>
      <c r="D291" s="54"/>
    </row>
    <row r="292" spans="3:4" ht="15">
      <c r="C292" s="54"/>
      <c r="D292" s="54"/>
    </row>
    <row r="293" spans="3:4" ht="15">
      <c r="C293" s="54"/>
      <c r="D293" s="54"/>
    </row>
    <row r="294" spans="3:4" ht="15">
      <c r="C294" s="54"/>
      <c r="D294" s="54"/>
    </row>
    <row r="295" spans="3:4" ht="15">
      <c r="C295" s="54"/>
      <c r="D295" s="54"/>
    </row>
    <row r="296" spans="3:4" ht="15">
      <c r="C296" s="54"/>
      <c r="D296" s="54"/>
    </row>
    <row r="297" spans="3:4" ht="15">
      <c r="C297" s="54"/>
      <c r="D297" s="54"/>
    </row>
    <row r="298" spans="3:4" ht="15">
      <c r="C298" s="54"/>
      <c r="D298" s="54"/>
    </row>
    <row r="299" spans="3:4" ht="15">
      <c r="C299" s="54"/>
      <c r="D299" s="54"/>
    </row>
    <row r="300" spans="3:4" ht="15">
      <c r="C300" s="54"/>
      <c r="D300" s="54"/>
    </row>
    <row r="301" spans="3:4" ht="15">
      <c r="C301" s="54"/>
      <c r="D301" s="54"/>
    </row>
    <row r="302" spans="3:4" ht="15">
      <c r="C302" s="54"/>
      <c r="D302" s="54"/>
    </row>
    <row r="303" spans="3:4" ht="15">
      <c r="C303" s="54"/>
      <c r="D303" s="54"/>
    </row>
    <row r="304" spans="3:4" ht="15">
      <c r="C304" s="54"/>
      <c r="D304" s="54"/>
    </row>
    <row r="305" spans="3:4" ht="15">
      <c r="C305" s="54"/>
      <c r="D305" s="54"/>
    </row>
    <row r="306" spans="3:4" ht="15">
      <c r="C306" s="54"/>
      <c r="D306" s="54"/>
    </row>
    <row r="307" spans="3:4" ht="15">
      <c r="C307" s="54"/>
      <c r="D307" s="54"/>
    </row>
    <row r="308" spans="3:4" ht="15">
      <c r="C308" s="54"/>
      <c r="D308" s="54"/>
    </row>
    <row r="309" spans="3:4" ht="15">
      <c r="C309" s="54"/>
      <c r="D309" s="54"/>
    </row>
    <row r="310" spans="3:4" ht="15">
      <c r="C310" s="54"/>
      <c r="D310" s="54"/>
    </row>
    <row r="311" spans="3:4" ht="15">
      <c r="C311" s="54"/>
      <c r="D311" s="54"/>
    </row>
    <row r="312" spans="3:4" ht="15">
      <c r="C312" s="54"/>
      <c r="D312" s="54"/>
    </row>
    <row r="313" spans="3:4" ht="15">
      <c r="C313" s="54"/>
      <c r="D313" s="54"/>
    </row>
    <row r="314" spans="3:4" ht="15">
      <c r="C314" s="54"/>
      <c r="D314" s="54"/>
    </row>
    <row r="315" spans="3:4" ht="15">
      <c r="C315" s="54"/>
      <c r="D315" s="54"/>
    </row>
    <row r="316" spans="3:4" ht="15">
      <c r="C316" s="54"/>
      <c r="D316" s="54"/>
    </row>
    <row r="317" spans="3:4" ht="15">
      <c r="C317" s="54"/>
      <c r="D317" s="54"/>
    </row>
    <row r="318" spans="3:4" ht="15">
      <c r="C318" s="54"/>
      <c r="D318" s="54"/>
    </row>
    <row r="319" spans="3:4" ht="15">
      <c r="C319" s="54"/>
      <c r="D319" s="54"/>
    </row>
    <row r="320" spans="3:4" ht="15">
      <c r="C320" s="54"/>
      <c r="D320" s="54"/>
    </row>
    <row r="321" spans="3:4" ht="15">
      <c r="C321" s="54"/>
      <c r="D321" s="54"/>
    </row>
    <row r="322" spans="3:4" ht="15">
      <c r="C322" s="54"/>
      <c r="D322" s="54"/>
    </row>
    <row r="323" spans="3:4" ht="15">
      <c r="C323" s="54"/>
      <c r="D323" s="54"/>
    </row>
    <row r="324" spans="3:4" ht="15">
      <c r="C324" s="54"/>
      <c r="D324" s="54"/>
    </row>
    <row r="325" spans="3:4" ht="15">
      <c r="C325" s="54"/>
      <c r="D325" s="54"/>
    </row>
    <row r="326" spans="3:4" ht="15">
      <c r="C326" s="54"/>
      <c r="D326" s="54"/>
    </row>
    <row r="327" spans="3:4" ht="15">
      <c r="C327" s="54"/>
      <c r="D327" s="54"/>
    </row>
    <row r="328" spans="3:4" ht="15">
      <c r="C328" s="54"/>
      <c r="D328" s="54"/>
    </row>
    <row r="329" spans="3:4" ht="15">
      <c r="C329" s="54"/>
      <c r="D329" s="54"/>
    </row>
    <row r="330" spans="3:4" ht="15">
      <c r="C330" s="54"/>
      <c r="D330" s="54"/>
    </row>
    <row r="331" spans="3:4" ht="15">
      <c r="C331" s="54"/>
      <c r="D331" s="54"/>
    </row>
    <row r="332" spans="3:4" ht="15">
      <c r="C332" s="54"/>
      <c r="D332" s="54"/>
    </row>
    <row r="333" spans="3:4" ht="15">
      <c r="C333" s="54"/>
      <c r="D333" s="54"/>
    </row>
    <row r="334" spans="3:4" ht="15">
      <c r="C334" s="54"/>
      <c r="D334" s="54"/>
    </row>
    <row r="335" spans="3:4" ht="15">
      <c r="C335" s="54"/>
      <c r="D335" s="54"/>
    </row>
    <row r="336" spans="3:4" ht="15">
      <c r="C336" s="54"/>
      <c r="D336" s="54"/>
    </row>
    <row r="337" spans="3:4" ht="15">
      <c r="C337" s="54"/>
      <c r="D337" s="54"/>
    </row>
    <row r="338" spans="3:4" ht="15">
      <c r="C338" s="54"/>
      <c r="D338" s="54"/>
    </row>
    <row r="339" spans="3:4" ht="15">
      <c r="C339" s="54"/>
      <c r="D339" s="54"/>
    </row>
    <row r="340" spans="3:4" ht="15">
      <c r="C340" s="54"/>
      <c r="D340" s="54"/>
    </row>
    <row r="341" spans="3:4" ht="15">
      <c r="C341" s="54"/>
      <c r="D341" s="54"/>
    </row>
    <row r="342" spans="3:4" ht="15">
      <c r="C342" s="54"/>
      <c r="D342" s="54"/>
    </row>
    <row r="343" spans="3:4" ht="15">
      <c r="C343" s="54"/>
      <c r="D343" s="54"/>
    </row>
    <row r="344" spans="3:4" ht="15">
      <c r="C344" s="54"/>
      <c r="D344" s="54"/>
    </row>
    <row r="345" spans="3:4" ht="15">
      <c r="C345" s="54"/>
      <c r="D345" s="54"/>
    </row>
    <row r="346" spans="3:4" ht="15">
      <c r="C346" s="54"/>
      <c r="D346" s="54"/>
    </row>
    <row r="347" spans="3:4" ht="15">
      <c r="C347" s="54"/>
      <c r="D347" s="54"/>
    </row>
    <row r="348" spans="3:4" ht="15">
      <c r="C348" s="54"/>
      <c r="D348" s="54"/>
    </row>
    <row r="349" spans="3:4" ht="15">
      <c r="C349" s="54"/>
      <c r="D349" s="54"/>
    </row>
    <row r="350" spans="3:4" ht="15">
      <c r="C350" s="54"/>
      <c r="D350" s="54"/>
    </row>
    <row r="351" spans="3:4" ht="15">
      <c r="C351" s="54"/>
      <c r="D351" s="54"/>
    </row>
    <row r="352" spans="3:4" ht="15">
      <c r="C352" s="54"/>
      <c r="D352" s="54"/>
    </row>
    <row r="353" spans="3:4" ht="15">
      <c r="C353" s="54"/>
      <c r="D353" s="54"/>
    </row>
    <row r="354" spans="3:4" ht="15">
      <c r="C354" s="54"/>
      <c r="D354" s="54"/>
    </row>
    <row r="355" spans="3:4" ht="15">
      <c r="C355" s="54"/>
      <c r="D355" s="54"/>
    </row>
    <row r="356" spans="3:4" ht="15">
      <c r="C356" s="54"/>
      <c r="D356" s="54"/>
    </row>
    <row r="357" spans="3:4" ht="15">
      <c r="C357" s="54"/>
      <c r="D357" s="54"/>
    </row>
    <row r="358" spans="3:4" ht="15">
      <c r="C358" s="54"/>
      <c r="D358" s="54"/>
    </row>
    <row r="359" spans="3:4" ht="15">
      <c r="C359" s="54"/>
      <c r="D359" s="54"/>
    </row>
    <row r="360" spans="3:4" ht="15">
      <c r="C360" s="54"/>
      <c r="D360" s="54"/>
    </row>
    <row r="361" spans="3:4" ht="15">
      <c r="C361" s="54"/>
      <c r="D361" s="54"/>
    </row>
    <row r="362" spans="3:4" ht="15">
      <c r="C362" s="54"/>
      <c r="D362" s="54"/>
    </row>
    <row r="363" spans="3:4" ht="15">
      <c r="C363" s="54"/>
      <c r="D363" s="54"/>
    </row>
    <row r="364" spans="3:4" ht="15">
      <c r="C364" s="54"/>
      <c r="D364" s="54"/>
    </row>
    <row r="365" spans="3:4" ht="15">
      <c r="C365" s="54"/>
      <c r="D365" s="54"/>
    </row>
    <row r="366" spans="3:4" ht="15">
      <c r="C366" s="54"/>
      <c r="D366" s="54"/>
    </row>
    <row r="367" spans="3:4" ht="15">
      <c r="C367" s="54"/>
      <c r="D367" s="54"/>
    </row>
    <row r="368" spans="3:4" ht="15">
      <c r="C368" s="54"/>
      <c r="D368" s="54"/>
    </row>
    <row r="369" spans="3:4" ht="15">
      <c r="C369" s="54"/>
      <c r="D369" s="54"/>
    </row>
    <row r="370" spans="3:4" ht="15">
      <c r="C370" s="54"/>
      <c r="D370" s="54"/>
    </row>
    <row r="371" spans="3:4" ht="15">
      <c r="C371" s="54"/>
      <c r="D371" s="54"/>
    </row>
    <row r="372" spans="3:4" ht="15">
      <c r="C372" s="54"/>
      <c r="D372" s="54"/>
    </row>
    <row r="373" spans="3:4" ht="15">
      <c r="C373" s="54"/>
      <c r="D373" s="54"/>
    </row>
    <row r="374" spans="3:4" ht="15">
      <c r="C374" s="54"/>
      <c r="D374" s="54"/>
    </row>
    <row r="375" spans="3:4" ht="15">
      <c r="C375" s="54"/>
      <c r="D375" s="54"/>
    </row>
    <row r="376" spans="3:4" ht="15">
      <c r="C376" s="54"/>
      <c r="D376" s="54"/>
    </row>
    <row r="377" spans="3:4" ht="15">
      <c r="C377" s="54"/>
      <c r="D377" s="54"/>
    </row>
    <row r="378" spans="3:4" ht="15">
      <c r="C378" s="54"/>
      <c r="D378" s="54"/>
    </row>
    <row r="379" spans="3:4" ht="15">
      <c r="C379" s="54"/>
      <c r="D379" s="54"/>
    </row>
    <row r="380" spans="3:4" ht="15">
      <c r="C380" s="54"/>
      <c r="D380" s="54"/>
    </row>
    <row r="381" spans="3:4" ht="15">
      <c r="C381" s="54"/>
      <c r="D381" s="54"/>
    </row>
    <row r="382" spans="3:4" ht="15">
      <c r="C382" s="54"/>
      <c r="D382" s="54"/>
    </row>
    <row r="383" spans="3:4" ht="15">
      <c r="C383" s="54"/>
      <c r="D383" s="54"/>
    </row>
    <row r="384" spans="3:4" ht="15">
      <c r="C384" s="54"/>
      <c r="D384" s="54"/>
    </row>
    <row r="385" spans="3:4" ht="15">
      <c r="C385" s="54"/>
      <c r="D385" s="54"/>
    </row>
    <row r="386" spans="3:4" ht="15">
      <c r="C386" s="54"/>
      <c r="D386" s="54"/>
    </row>
    <row r="387" spans="3:4" ht="15">
      <c r="C387" s="54"/>
      <c r="D387" s="54"/>
    </row>
    <row r="388" spans="3:4" ht="15">
      <c r="C388" s="54"/>
      <c r="D388" s="54"/>
    </row>
    <row r="389" spans="3:4" ht="15">
      <c r="C389" s="54"/>
      <c r="D389" s="54"/>
    </row>
    <row r="390" spans="3:4" ht="15">
      <c r="C390" s="54"/>
      <c r="D390" s="54"/>
    </row>
    <row r="391" spans="3:4" ht="15">
      <c r="C391" s="54"/>
      <c r="D391" s="54"/>
    </row>
    <row r="392" spans="3:4" ht="15">
      <c r="C392" s="54"/>
      <c r="D392" s="54"/>
    </row>
    <row r="393" spans="3:4" ht="15">
      <c r="C393" s="54"/>
      <c r="D393" s="54"/>
    </row>
    <row r="394" spans="3:4" ht="15">
      <c r="C394" s="54"/>
      <c r="D394" s="54"/>
    </row>
    <row r="395" spans="3:4" ht="15">
      <c r="C395" s="54"/>
      <c r="D395" s="54"/>
    </row>
    <row r="396" spans="3:4" ht="15">
      <c r="C396" s="54"/>
      <c r="D396" s="54"/>
    </row>
    <row r="397" spans="3:4" ht="15">
      <c r="C397" s="54"/>
      <c r="D397" s="54"/>
    </row>
    <row r="398" spans="3:4" ht="15">
      <c r="C398" s="54"/>
      <c r="D398" s="54"/>
    </row>
    <row r="399" spans="3:4" ht="15">
      <c r="C399" s="54"/>
      <c r="D399" s="54"/>
    </row>
    <row r="400" spans="3:4" ht="15">
      <c r="C400" s="54"/>
      <c r="D400" s="54"/>
    </row>
    <row r="401" spans="3:4" ht="15">
      <c r="C401" s="54"/>
      <c r="D401" s="54"/>
    </row>
    <row r="402" spans="3:4" ht="15">
      <c r="C402" s="54"/>
      <c r="D402" s="54"/>
    </row>
    <row r="403" spans="3:4" ht="15">
      <c r="C403" s="54"/>
      <c r="D403" s="54"/>
    </row>
    <row r="404" spans="3:4" ht="15">
      <c r="C404" s="54"/>
      <c r="D404" s="54"/>
    </row>
    <row r="405" spans="3:4" ht="15">
      <c r="C405" s="54"/>
      <c r="D405" s="54"/>
    </row>
    <row r="406" spans="3:4" ht="15">
      <c r="C406" s="54"/>
      <c r="D406" s="54"/>
    </row>
    <row r="407" spans="3:4" ht="15">
      <c r="C407" s="54"/>
      <c r="D407" s="54"/>
    </row>
    <row r="408" spans="3:4" ht="15">
      <c r="C408" s="54"/>
      <c r="D408" s="54"/>
    </row>
    <row r="409" spans="3:4" ht="15">
      <c r="C409" s="54"/>
      <c r="D409" s="54"/>
    </row>
    <row r="410" spans="3:4" ht="15">
      <c r="C410" s="54"/>
      <c r="D410" s="54"/>
    </row>
    <row r="411" spans="3:4" ht="15">
      <c r="C411" s="54"/>
      <c r="D411" s="54"/>
    </row>
    <row r="412" spans="3:4" ht="15">
      <c r="C412" s="54"/>
      <c r="D412" s="54"/>
    </row>
    <row r="413" spans="3:4" ht="15">
      <c r="C413" s="54"/>
      <c r="D413" s="54"/>
    </row>
    <row r="414" spans="3:4" ht="15">
      <c r="C414" s="54"/>
      <c r="D414" s="54"/>
    </row>
    <row r="415" spans="3:4" ht="15">
      <c r="C415" s="54"/>
      <c r="D415" s="54"/>
    </row>
    <row r="416" spans="3:4" ht="15">
      <c r="C416" s="54"/>
      <c r="D416" s="54"/>
    </row>
    <row r="417" spans="3:4" ht="15">
      <c r="C417" s="54"/>
      <c r="D417" s="54"/>
    </row>
    <row r="418" spans="3:4" ht="15">
      <c r="C418" s="54"/>
      <c r="D418" s="54"/>
    </row>
    <row r="419" spans="3:4" ht="15">
      <c r="C419" s="54"/>
      <c r="D419" s="54"/>
    </row>
    <row r="420" spans="3:4" ht="15">
      <c r="C420" s="54"/>
      <c r="D420" s="54"/>
    </row>
    <row r="421" spans="3:4" ht="15">
      <c r="C421" s="54"/>
      <c r="D421" s="54"/>
    </row>
    <row r="422" spans="3:4" ht="15">
      <c r="C422" s="54"/>
      <c r="D422" s="54"/>
    </row>
    <row r="423" spans="3:4" ht="15">
      <c r="C423" s="54"/>
      <c r="D423" s="54"/>
    </row>
    <row r="424" spans="3:4" ht="15">
      <c r="C424" s="54"/>
      <c r="D424" s="54"/>
    </row>
    <row r="425" spans="3:4" ht="15">
      <c r="C425" s="54"/>
      <c r="D425" s="54"/>
    </row>
    <row r="426" spans="3:4" ht="15">
      <c r="C426" s="54"/>
      <c r="D426" s="54"/>
    </row>
    <row r="427" spans="3:4" ht="15">
      <c r="C427" s="54"/>
      <c r="D427" s="54"/>
    </row>
    <row r="428" spans="3:4" ht="15">
      <c r="C428" s="54"/>
      <c r="D428" s="54"/>
    </row>
    <row r="429" spans="3:4" ht="15">
      <c r="C429" s="54"/>
      <c r="D429" s="54"/>
    </row>
    <row r="430" spans="3:4" ht="15">
      <c r="C430" s="54"/>
      <c r="D430" s="54"/>
    </row>
    <row r="431" spans="3:4" ht="15">
      <c r="C431" s="54"/>
      <c r="D431" s="54"/>
    </row>
    <row r="432" spans="3:4" ht="15">
      <c r="C432" s="54"/>
      <c r="D432" s="54"/>
    </row>
    <row r="433" spans="3:4" ht="15">
      <c r="C433" s="54"/>
      <c r="D433" s="54"/>
    </row>
    <row r="434" spans="3:4" ht="15">
      <c r="C434" s="54"/>
      <c r="D434" s="54"/>
    </row>
    <row r="435" spans="3:4" ht="15">
      <c r="C435" s="54"/>
      <c r="D435" s="54"/>
    </row>
    <row r="436" spans="3:4" ht="15">
      <c r="C436" s="54"/>
      <c r="D436" s="54"/>
    </row>
    <row r="437" spans="3:4" ht="15">
      <c r="C437" s="54"/>
      <c r="D437" s="54"/>
    </row>
    <row r="438" spans="3:4" ht="15">
      <c r="C438" s="54"/>
      <c r="D438" s="54"/>
    </row>
    <row r="439" spans="3:4" ht="15">
      <c r="C439" s="54"/>
      <c r="D439" s="54"/>
    </row>
    <row r="440" spans="3:4" ht="15">
      <c r="C440" s="54"/>
      <c r="D440" s="54"/>
    </row>
    <row r="441" spans="3:4" ht="15">
      <c r="C441" s="54"/>
      <c r="D441" s="54"/>
    </row>
    <row r="442" spans="3:4" ht="15">
      <c r="C442" s="54"/>
      <c r="D442" s="54"/>
    </row>
    <row r="443" spans="3:4" ht="15">
      <c r="C443" s="54"/>
      <c r="D443" s="54"/>
    </row>
    <row r="444" spans="3:4" ht="15">
      <c r="C444" s="54"/>
      <c r="D444" s="54"/>
    </row>
    <row r="445" spans="3:4" ht="15">
      <c r="C445" s="54"/>
      <c r="D445" s="54"/>
    </row>
    <row r="446" spans="3:4" ht="15">
      <c r="C446" s="54"/>
      <c r="D446" s="54"/>
    </row>
    <row r="447" spans="3:4" ht="15">
      <c r="C447" s="54"/>
      <c r="D447" s="54"/>
    </row>
    <row r="448" spans="3:4" ht="15">
      <c r="C448" s="54"/>
      <c r="D448" s="54"/>
    </row>
    <row r="449" spans="3:4" ht="15">
      <c r="C449" s="54"/>
      <c r="D449" s="54"/>
    </row>
    <row r="450" spans="3:4" ht="15">
      <c r="C450" s="54"/>
      <c r="D450" s="54"/>
    </row>
    <row r="451" spans="3:4" ht="15">
      <c r="C451" s="54"/>
      <c r="D451" s="54"/>
    </row>
    <row r="452" spans="3:4" ht="15">
      <c r="C452" s="54"/>
      <c r="D452" s="54"/>
    </row>
    <row r="453" spans="3:4" ht="15">
      <c r="C453" s="54"/>
      <c r="D453" s="54"/>
    </row>
    <row r="454" spans="3:4" ht="15">
      <c r="C454" s="54"/>
      <c r="D454" s="54"/>
    </row>
    <row r="455" spans="3:4" ht="15">
      <c r="C455" s="54"/>
      <c r="D455" s="54"/>
    </row>
    <row r="456" spans="3:4" ht="15">
      <c r="C456" s="54"/>
      <c r="D456" s="54"/>
    </row>
    <row r="457" spans="3:4" ht="15">
      <c r="C457" s="54"/>
      <c r="D457" s="54"/>
    </row>
    <row r="458" spans="3:4" ht="15">
      <c r="C458" s="54"/>
      <c r="D458" s="54"/>
    </row>
    <row r="459" spans="3:4" ht="15">
      <c r="C459" s="54"/>
      <c r="D459" s="54"/>
    </row>
    <row r="460" spans="3:4" ht="15">
      <c r="C460" s="54"/>
      <c r="D460" s="54"/>
    </row>
    <row r="461" spans="3:4" ht="15">
      <c r="C461" s="54"/>
      <c r="D461" s="54"/>
    </row>
    <row r="462" spans="3:4" ht="15">
      <c r="C462" s="54"/>
      <c r="D462" s="54"/>
    </row>
    <row r="463" spans="3:4" ht="15">
      <c r="C463" s="54"/>
      <c r="D463" s="54"/>
    </row>
    <row r="464" spans="3:4" ht="15">
      <c r="C464" s="54"/>
      <c r="D464" s="54"/>
    </row>
    <row r="465" spans="3:4" ht="15">
      <c r="C465" s="54"/>
      <c r="D465" s="54"/>
    </row>
    <row r="466" spans="3:4" ht="15">
      <c r="C466" s="54"/>
      <c r="D466" s="54"/>
    </row>
    <row r="467" spans="3:4" ht="15">
      <c r="C467" s="54"/>
      <c r="D467" s="54"/>
    </row>
    <row r="468" spans="3:4" ht="15">
      <c r="C468" s="54"/>
      <c r="D468" s="54"/>
    </row>
    <row r="469" spans="3:4" ht="15">
      <c r="C469" s="54"/>
      <c r="D469" s="54"/>
    </row>
    <row r="470" spans="3:4" ht="15">
      <c r="C470" s="54"/>
      <c r="D470" s="54"/>
    </row>
    <row r="471" spans="3:4" ht="15">
      <c r="C471" s="54"/>
      <c r="D471" s="54"/>
    </row>
    <row r="472" spans="3:4" ht="15">
      <c r="C472" s="54"/>
      <c r="D472" s="54"/>
    </row>
    <row r="473" spans="3:4" ht="15">
      <c r="C473" s="54"/>
      <c r="D473" s="54"/>
    </row>
    <row r="474" spans="3:4" ht="15">
      <c r="C474" s="54"/>
      <c r="D474" s="54"/>
    </row>
    <row r="475" spans="3:4" ht="15">
      <c r="C475" s="54"/>
      <c r="D475" s="54"/>
    </row>
    <row r="476" spans="3:4" ht="15">
      <c r="C476" s="54"/>
      <c r="D476" s="54"/>
    </row>
    <row r="477" spans="3:4" ht="15">
      <c r="C477" s="54"/>
      <c r="D477" s="54"/>
    </row>
    <row r="478" spans="3:4" ht="15">
      <c r="C478" s="54"/>
      <c r="D478" s="54"/>
    </row>
    <row r="479" spans="3:4" ht="15">
      <c r="C479" s="54"/>
      <c r="D479" s="54"/>
    </row>
    <row r="480" spans="3:4" ht="15">
      <c r="C480" s="54"/>
      <c r="D480" s="54"/>
    </row>
    <row r="481" spans="3:4" ht="15">
      <c r="C481" s="54"/>
      <c r="D481" s="54"/>
    </row>
    <row r="482" spans="3:4" ht="15">
      <c r="C482" s="54"/>
      <c r="D482" s="54"/>
    </row>
    <row r="483" spans="3:4" ht="15">
      <c r="C483" s="54"/>
      <c r="D483" s="54"/>
    </row>
    <row r="484" spans="3:4" ht="15">
      <c r="C484" s="54"/>
      <c r="D484" s="54"/>
    </row>
    <row r="485" spans="3:4" ht="15">
      <c r="C485" s="54"/>
      <c r="D485" s="54"/>
    </row>
    <row r="486" spans="3:4" ht="15">
      <c r="C486" s="54"/>
      <c r="D486" s="54"/>
    </row>
    <row r="487" spans="3:4" ht="15">
      <c r="C487" s="54"/>
      <c r="D487" s="54"/>
    </row>
    <row r="488" spans="3:4" ht="15">
      <c r="C488" s="54"/>
      <c r="D488" s="54"/>
    </row>
    <row r="489" spans="3:4" ht="15">
      <c r="C489" s="54"/>
      <c r="D489" s="54"/>
    </row>
    <row r="490" spans="3:4" ht="15">
      <c r="C490" s="54"/>
      <c r="D490" s="54"/>
    </row>
    <row r="491" spans="3:4" ht="15">
      <c r="C491" s="54"/>
      <c r="D491" s="54"/>
    </row>
    <row r="492" spans="3:4" ht="15">
      <c r="C492" s="54"/>
      <c r="D492" s="54"/>
    </row>
    <row r="493" spans="3:4" ht="15">
      <c r="C493" s="54"/>
      <c r="D493" s="54"/>
    </row>
    <row r="494" spans="3:4" ht="15">
      <c r="C494" s="54"/>
      <c r="D494" s="54"/>
    </row>
    <row r="495" spans="3:4" ht="15">
      <c r="C495" s="54"/>
      <c r="D495" s="54"/>
    </row>
    <row r="496" spans="3:4" ht="15">
      <c r="C496" s="54"/>
      <c r="D496" s="54"/>
    </row>
    <row r="497" spans="3:4" ht="15">
      <c r="C497" s="54"/>
      <c r="D497" s="54"/>
    </row>
    <row r="498" spans="3:4" ht="15">
      <c r="C498" s="54"/>
      <c r="D498" s="54"/>
    </row>
    <row r="499" spans="3:4" ht="15">
      <c r="C499" s="54"/>
      <c r="D499" s="54"/>
    </row>
    <row r="500" spans="3:4" ht="15">
      <c r="C500" s="54"/>
      <c r="D500" s="54"/>
    </row>
    <row r="501" spans="3:4" ht="15">
      <c r="C501" s="54"/>
      <c r="D501" s="54"/>
    </row>
    <row r="502" spans="3:4" ht="15">
      <c r="C502" s="54"/>
      <c r="D502" s="54"/>
    </row>
    <row r="503" spans="3:4" ht="15">
      <c r="C503" s="54"/>
      <c r="D503" s="54"/>
    </row>
    <row r="504" spans="3:4" ht="15">
      <c r="C504" s="54"/>
      <c r="D504" s="54"/>
    </row>
    <row r="505" spans="3:4" ht="15">
      <c r="C505" s="54"/>
      <c r="D505" s="54"/>
    </row>
    <row r="506" spans="3:4" ht="15">
      <c r="C506" s="54"/>
      <c r="D506" s="54"/>
    </row>
    <row r="507" spans="3:4" ht="15">
      <c r="C507" s="54"/>
      <c r="D507" s="54"/>
    </row>
    <row r="508" spans="3:4" ht="15">
      <c r="C508" s="54"/>
      <c r="D508" s="54"/>
    </row>
    <row r="509" spans="3:4" ht="15">
      <c r="C509" s="54"/>
      <c r="D509" s="54"/>
    </row>
    <row r="510" spans="3:4" ht="15">
      <c r="C510" s="54"/>
      <c r="D510" s="54"/>
    </row>
    <row r="511" spans="3:4" ht="15">
      <c r="C511" s="54"/>
      <c r="D511" s="54"/>
    </row>
    <row r="512" spans="3:4" ht="15">
      <c r="C512" s="54"/>
      <c r="D512" s="54"/>
    </row>
    <row r="513" spans="3:4" ht="15">
      <c r="C513" s="54"/>
      <c r="D513" s="54"/>
    </row>
    <row r="514" spans="3:4" ht="15">
      <c r="C514" s="54"/>
      <c r="D514" s="54"/>
    </row>
    <row r="515" spans="3:4" ht="15">
      <c r="C515" s="54"/>
      <c r="D515" s="54"/>
    </row>
  </sheetData>
  <sheetProtection/>
  <mergeCells count="4">
    <mergeCell ref="B4:F4"/>
    <mergeCell ref="A6:A7"/>
    <mergeCell ref="A3:F3"/>
    <mergeCell ref="A2:F2"/>
  </mergeCells>
  <printOptions horizontalCentered="1"/>
  <pageMargins left="0.984251968503937" right="0.984251968503937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71"/>
  <sheetViews>
    <sheetView zoomScalePageLayoutView="0" workbookViewId="0" topLeftCell="A1">
      <selection activeCell="B2" sqref="B2:J2"/>
    </sheetView>
  </sheetViews>
  <sheetFormatPr defaultColWidth="8.875" defaultRowHeight="12.75"/>
  <cols>
    <col min="1" max="1" width="5.25390625" style="960" customWidth="1"/>
    <col min="2" max="2" width="5.125" style="225" customWidth="1"/>
    <col min="3" max="4" width="9.125" style="225" customWidth="1"/>
    <col min="5" max="5" width="5.875" style="225" customWidth="1"/>
    <col min="6" max="6" width="47.125" style="225" customWidth="1"/>
    <col min="7" max="7" width="14.00390625" style="225" customWidth="1"/>
    <col min="8" max="8" width="13.625" style="225" customWidth="1"/>
    <col min="9" max="9" width="15.125" style="1012" customWidth="1"/>
    <col min="10" max="10" width="14.625" style="225" customWidth="1"/>
    <col min="11" max="16384" width="8.875" style="90" customWidth="1"/>
  </cols>
  <sheetData>
    <row r="1" spans="2:10" ht="12.75">
      <c r="B1" s="179"/>
      <c r="C1" s="90"/>
      <c r="D1" s="90"/>
      <c r="E1" s="90"/>
      <c r="F1" s="961"/>
      <c r="G1" s="1127" t="s">
        <v>1463</v>
      </c>
      <c r="H1" s="1128"/>
      <c r="I1" s="1128"/>
      <c r="J1" s="1128"/>
    </row>
    <row r="2" spans="2:10" ht="15.75">
      <c r="B2" s="1129" t="s">
        <v>1138</v>
      </c>
      <c r="C2" s="1129"/>
      <c r="D2" s="1129"/>
      <c r="E2" s="1129"/>
      <c r="F2" s="1129"/>
      <c r="G2" s="1129"/>
      <c r="H2" s="1129"/>
      <c r="I2" s="1129"/>
      <c r="J2" s="1129"/>
    </row>
    <row r="3" spans="1:10" s="184" customFormat="1" ht="15.75">
      <c r="A3" s="828"/>
      <c r="B3" s="179"/>
      <c r="C3" s="179"/>
      <c r="D3" s="179"/>
      <c r="E3" s="179"/>
      <c r="F3" s="1129" t="s">
        <v>637</v>
      </c>
      <c r="G3" s="1129"/>
      <c r="H3" s="1129"/>
      <c r="I3" s="962"/>
      <c r="J3" s="90"/>
    </row>
    <row r="4" spans="2:10" ht="19.5" customHeight="1">
      <c r="B4" s="179"/>
      <c r="C4" s="90"/>
      <c r="D4" s="90"/>
      <c r="E4" s="90"/>
      <c r="F4" s="90"/>
      <c r="G4" s="90"/>
      <c r="H4" s="90"/>
      <c r="I4" s="962"/>
      <c r="J4" s="961" t="s">
        <v>4</v>
      </c>
    </row>
    <row r="5" spans="1:10" ht="50.25" customHeight="1">
      <c r="A5" s="1135" t="s">
        <v>220</v>
      </c>
      <c r="B5" s="1136" t="s">
        <v>10</v>
      </c>
      <c r="C5" s="1137"/>
      <c r="D5" s="1137"/>
      <c r="E5" s="1137"/>
      <c r="F5" s="1138"/>
      <c r="G5" s="963" t="s">
        <v>15</v>
      </c>
      <c r="H5" s="963" t="s">
        <v>19</v>
      </c>
      <c r="I5" s="1115" t="s">
        <v>20</v>
      </c>
      <c r="J5" s="1117" t="s">
        <v>137</v>
      </c>
    </row>
    <row r="6" spans="1:10" ht="15.75" customHeight="1">
      <c r="A6" s="1135"/>
      <c r="B6" s="1139"/>
      <c r="C6" s="1140"/>
      <c r="D6" s="1140"/>
      <c r="E6" s="1140"/>
      <c r="F6" s="1141"/>
      <c r="G6" s="1130" t="s">
        <v>21</v>
      </c>
      <c r="H6" s="1131"/>
      <c r="I6" s="1116"/>
      <c r="J6" s="1118"/>
    </row>
    <row r="7" spans="1:10" s="966" customFormat="1" ht="15.75" customHeight="1">
      <c r="A7" s="1135"/>
      <c r="B7" s="1142" t="s">
        <v>221</v>
      </c>
      <c r="C7" s="1143"/>
      <c r="D7" s="1143"/>
      <c r="E7" s="1143"/>
      <c r="F7" s="1144"/>
      <c r="G7" s="964" t="s">
        <v>222</v>
      </c>
      <c r="H7" s="964" t="s">
        <v>223</v>
      </c>
      <c r="I7" s="965" t="s">
        <v>224</v>
      </c>
      <c r="J7" s="964" t="s">
        <v>225</v>
      </c>
    </row>
    <row r="8" spans="1:10" s="969" customFormat="1" ht="15.75" customHeight="1">
      <c r="A8" s="695">
        <v>1</v>
      </c>
      <c r="B8" s="1124" t="s">
        <v>153</v>
      </c>
      <c r="C8" s="1125"/>
      <c r="D8" s="1125"/>
      <c r="E8" s="1125"/>
      <c r="F8" s="1126"/>
      <c r="G8" s="967">
        <f>SUM(G9:G10)</f>
        <v>2683941</v>
      </c>
      <c r="H8" s="967">
        <f>SUM(H9:H10)</f>
        <v>2484976</v>
      </c>
      <c r="I8" s="967">
        <f>SUM(I9:I10)</f>
        <v>2263441</v>
      </c>
      <c r="J8" s="968">
        <f aca="true" t="shared" si="0" ref="J8:J17">I8/H8</f>
        <v>0.9108502456361751</v>
      </c>
    </row>
    <row r="9" spans="1:10" s="973" customFormat="1" ht="15.75" customHeight="1">
      <c r="A9" s="695">
        <v>2</v>
      </c>
      <c r="B9" s="970" t="s">
        <v>649</v>
      </c>
      <c r="C9" s="1121" t="s">
        <v>650</v>
      </c>
      <c r="D9" s="1122"/>
      <c r="E9" s="1122"/>
      <c r="F9" s="1123"/>
      <c r="G9" s="971">
        <f>G11+G60+G88+G115</f>
        <v>1394894</v>
      </c>
      <c r="H9" s="971">
        <f>H11+H60+H88+H115</f>
        <v>1077838</v>
      </c>
      <c r="I9" s="971">
        <f>I11+I60+I88+I115</f>
        <v>1076559</v>
      </c>
      <c r="J9" s="972">
        <f t="shared" si="0"/>
        <v>0.9988133652738167</v>
      </c>
    </row>
    <row r="10" spans="1:10" s="973" customFormat="1" ht="15.75" customHeight="1">
      <c r="A10" s="695">
        <v>3</v>
      </c>
      <c r="B10" s="970" t="s">
        <v>651</v>
      </c>
      <c r="C10" s="1121" t="s">
        <v>652</v>
      </c>
      <c r="D10" s="1122"/>
      <c r="E10" s="1122"/>
      <c r="F10" s="1123"/>
      <c r="G10" s="971">
        <f>G44+G108+G130</f>
        <v>1289047</v>
      </c>
      <c r="H10" s="971">
        <f>H44+H108+H130</f>
        <v>1407138</v>
      </c>
      <c r="I10" s="971">
        <f>I44+I108+I130</f>
        <v>1186882</v>
      </c>
      <c r="J10" s="972">
        <f t="shared" si="0"/>
        <v>0.8434723531025387</v>
      </c>
    </row>
    <row r="11" spans="1:10" s="978" customFormat="1" ht="18" customHeight="1">
      <c r="A11" s="695">
        <v>4</v>
      </c>
      <c r="B11" s="974" t="s">
        <v>230</v>
      </c>
      <c r="C11" s="1120" t="s">
        <v>231</v>
      </c>
      <c r="D11" s="1120"/>
      <c r="E11" s="1120"/>
      <c r="F11" s="1120"/>
      <c r="G11" s="975">
        <f>SUM(G12+G19+G20+G21+G32+G33)</f>
        <v>779861</v>
      </c>
      <c r="H11" s="975">
        <f>SUM(H12+H19+H20+H21+H32+H33)</f>
        <v>738823</v>
      </c>
      <c r="I11" s="976">
        <f>SUM(I12+I19+I20+I21+I32+I33)</f>
        <v>738714</v>
      </c>
      <c r="J11" s="977">
        <f t="shared" si="0"/>
        <v>0.9998524680471507</v>
      </c>
    </row>
    <row r="12" spans="1:10" s="978" customFormat="1" ht="18" customHeight="1">
      <c r="A12" s="695">
        <v>5</v>
      </c>
      <c r="B12" s="979"/>
      <c r="C12" s="979" t="s">
        <v>232</v>
      </c>
      <c r="D12" s="1119" t="s">
        <v>233</v>
      </c>
      <c r="E12" s="1119"/>
      <c r="F12" s="1119"/>
      <c r="G12" s="980">
        <f>SUM(G13:G18)</f>
        <v>525185</v>
      </c>
      <c r="H12" s="980">
        <f>SUM(H13:H18)</f>
        <v>537190</v>
      </c>
      <c r="I12" s="980">
        <f>SUM(I13:I18)</f>
        <v>537190</v>
      </c>
      <c r="J12" s="981">
        <f t="shared" si="0"/>
        <v>1</v>
      </c>
    </row>
    <row r="13" spans="1:10" s="186" customFormat="1" ht="14.25">
      <c r="A13" s="695">
        <v>6</v>
      </c>
      <c r="B13" s="982"/>
      <c r="C13" s="982"/>
      <c r="D13" s="982" t="s">
        <v>234</v>
      </c>
      <c r="E13" s="982"/>
      <c r="F13" s="982" t="s">
        <v>235</v>
      </c>
      <c r="G13" s="983">
        <v>203895</v>
      </c>
      <c r="H13" s="983">
        <v>204415</v>
      </c>
      <c r="I13" s="984">
        <v>204415</v>
      </c>
      <c r="J13" s="985">
        <f t="shared" si="0"/>
        <v>1</v>
      </c>
    </row>
    <row r="14" spans="1:10" s="92" customFormat="1" ht="14.25">
      <c r="A14" s="695">
        <v>7</v>
      </c>
      <c r="B14" s="982"/>
      <c r="C14" s="986"/>
      <c r="D14" s="982" t="s">
        <v>236</v>
      </c>
      <c r="E14" s="982"/>
      <c r="F14" s="982" t="s">
        <v>237</v>
      </c>
      <c r="G14" s="983">
        <v>130224</v>
      </c>
      <c r="H14" s="983">
        <v>135985</v>
      </c>
      <c r="I14" s="984">
        <v>135985</v>
      </c>
      <c r="J14" s="985">
        <f t="shared" si="0"/>
        <v>1</v>
      </c>
    </row>
    <row r="15" spans="1:10" s="987" customFormat="1" ht="14.25">
      <c r="A15" s="695">
        <v>8</v>
      </c>
      <c r="B15" s="982"/>
      <c r="C15" s="982"/>
      <c r="D15" s="982" t="s">
        <v>238</v>
      </c>
      <c r="E15" s="982"/>
      <c r="F15" s="982" t="s">
        <v>1139</v>
      </c>
      <c r="G15" s="983">
        <v>180567</v>
      </c>
      <c r="H15" s="983">
        <v>178321</v>
      </c>
      <c r="I15" s="984">
        <v>178321</v>
      </c>
      <c r="J15" s="985">
        <f t="shared" si="0"/>
        <v>1</v>
      </c>
    </row>
    <row r="16" spans="1:10" s="987" customFormat="1" ht="14.25">
      <c r="A16" s="695">
        <v>9</v>
      </c>
      <c r="B16" s="982"/>
      <c r="C16" s="982"/>
      <c r="D16" s="982" t="s">
        <v>239</v>
      </c>
      <c r="E16" s="982"/>
      <c r="F16" s="982" t="s">
        <v>240</v>
      </c>
      <c r="G16" s="983">
        <v>10499</v>
      </c>
      <c r="H16" s="983">
        <v>10916</v>
      </c>
      <c r="I16" s="984">
        <v>10916</v>
      </c>
      <c r="J16" s="985">
        <f t="shared" si="0"/>
        <v>1</v>
      </c>
    </row>
    <row r="17" spans="1:10" s="987" customFormat="1" ht="14.25">
      <c r="A17" s="695">
        <v>10</v>
      </c>
      <c r="B17" s="982"/>
      <c r="C17" s="982"/>
      <c r="D17" s="982" t="s">
        <v>241</v>
      </c>
      <c r="E17" s="982"/>
      <c r="F17" s="982" t="s">
        <v>1140</v>
      </c>
      <c r="G17" s="983">
        <v>0</v>
      </c>
      <c r="H17" s="983">
        <v>7553</v>
      </c>
      <c r="I17" s="984">
        <v>7553</v>
      </c>
      <c r="J17" s="985">
        <f t="shared" si="0"/>
        <v>1</v>
      </c>
    </row>
    <row r="18" spans="1:10" s="198" customFormat="1" ht="14.25">
      <c r="A18" s="695">
        <v>11</v>
      </c>
      <c r="B18" s="941"/>
      <c r="C18" s="941"/>
      <c r="D18" s="982" t="s">
        <v>243</v>
      </c>
      <c r="E18" s="941"/>
      <c r="F18" s="982" t="s">
        <v>1141</v>
      </c>
      <c r="G18" s="983">
        <v>0</v>
      </c>
      <c r="H18" s="983">
        <v>0</v>
      </c>
      <c r="I18" s="984">
        <v>0</v>
      </c>
      <c r="J18" s="988" t="s">
        <v>45</v>
      </c>
    </row>
    <row r="19" spans="1:10" s="987" customFormat="1" ht="14.25">
      <c r="A19" s="695">
        <v>12</v>
      </c>
      <c r="B19" s="979"/>
      <c r="C19" s="979" t="s">
        <v>245</v>
      </c>
      <c r="D19" s="1119" t="s">
        <v>246</v>
      </c>
      <c r="E19" s="1119"/>
      <c r="F19" s="1119"/>
      <c r="G19" s="980">
        <v>0</v>
      </c>
      <c r="H19" s="980">
        <v>12783</v>
      </c>
      <c r="I19" s="980">
        <v>12783</v>
      </c>
      <c r="J19" s="981">
        <f>I19/H19</f>
        <v>1</v>
      </c>
    </row>
    <row r="20" spans="1:10" s="987" customFormat="1" ht="14.25">
      <c r="A20" s="695">
        <v>13</v>
      </c>
      <c r="B20" s="979"/>
      <c r="C20" s="979" t="s">
        <v>247</v>
      </c>
      <c r="D20" s="1119" t="s">
        <v>248</v>
      </c>
      <c r="E20" s="1119"/>
      <c r="F20" s="1119"/>
      <c r="G20" s="980">
        <v>0</v>
      </c>
      <c r="H20" s="980">
        <v>0</v>
      </c>
      <c r="I20" s="989">
        <v>0</v>
      </c>
      <c r="J20" s="988" t="s">
        <v>45</v>
      </c>
    </row>
    <row r="21" spans="1:10" s="987" customFormat="1" ht="14.25">
      <c r="A21" s="695">
        <v>14</v>
      </c>
      <c r="B21" s="979"/>
      <c r="C21" s="979" t="s">
        <v>249</v>
      </c>
      <c r="D21" s="1119" t="s">
        <v>250</v>
      </c>
      <c r="E21" s="1119"/>
      <c r="F21" s="1119"/>
      <c r="G21" s="980">
        <f>SUM(G22:G31)</f>
        <v>842</v>
      </c>
      <c r="H21" s="980">
        <f>SUM(H22:H31)</f>
        <v>42197</v>
      </c>
      <c r="I21" s="989">
        <f>SUM(I22:I31)</f>
        <v>42041</v>
      </c>
      <c r="J21" s="981">
        <f>I21/H21</f>
        <v>0.9963030547195298</v>
      </c>
    </row>
    <row r="22" spans="1:10" s="987" customFormat="1" ht="14.25">
      <c r="A22" s="695">
        <v>15</v>
      </c>
      <c r="B22" s="990"/>
      <c r="C22" s="990"/>
      <c r="D22" s="991" t="s">
        <v>251</v>
      </c>
      <c r="E22" s="991" t="s">
        <v>252</v>
      </c>
      <c r="F22" s="991" t="s">
        <v>253</v>
      </c>
      <c r="G22" s="992">
        <v>0</v>
      </c>
      <c r="H22" s="992">
        <v>0</v>
      </c>
      <c r="I22" s="993">
        <v>0</v>
      </c>
      <c r="J22" s="988" t="s">
        <v>45</v>
      </c>
    </row>
    <row r="23" spans="1:10" s="987" customFormat="1" ht="14.25">
      <c r="A23" s="695">
        <v>16</v>
      </c>
      <c r="B23" s="990"/>
      <c r="C23" s="990"/>
      <c r="D23" s="991"/>
      <c r="E23" s="991" t="s">
        <v>254</v>
      </c>
      <c r="F23" s="991" t="s">
        <v>255</v>
      </c>
      <c r="G23" s="992">
        <v>0</v>
      </c>
      <c r="H23" s="992">
        <v>0</v>
      </c>
      <c r="I23" s="993">
        <v>0</v>
      </c>
      <c r="J23" s="988" t="s">
        <v>45</v>
      </c>
    </row>
    <row r="24" spans="1:10" s="987" customFormat="1" ht="14.25">
      <c r="A24" s="695">
        <v>17</v>
      </c>
      <c r="B24" s="990"/>
      <c r="C24" s="990"/>
      <c r="D24" s="991"/>
      <c r="E24" s="991" t="s">
        <v>256</v>
      </c>
      <c r="F24" s="991" t="s">
        <v>257</v>
      </c>
      <c r="G24" s="992">
        <v>0</v>
      </c>
      <c r="H24" s="992">
        <v>0</v>
      </c>
      <c r="I24" s="993">
        <v>0</v>
      </c>
      <c r="J24" s="988" t="s">
        <v>45</v>
      </c>
    </row>
    <row r="25" spans="1:10" s="987" customFormat="1" ht="14.25">
      <c r="A25" s="695">
        <v>18</v>
      </c>
      <c r="B25" s="990"/>
      <c r="C25" s="990"/>
      <c r="D25" s="991"/>
      <c r="E25" s="991" t="s">
        <v>258</v>
      </c>
      <c r="F25" s="991" t="s">
        <v>259</v>
      </c>
      <c r="G25" s="992">
        <v>0</v>
      </c>
      <c r="H25" s="992">
        <v>0</v>
      </c>
      <c r="I25" s="993">
        <v>0</v>
      </c>
      <c r="J25" s="988" t="s">
        <v>45</v>
      </c>
    </row>
    <row r="26" spans="1:10" s="987" customFormat="1" ht="14.25">
      <c r="A26" s="695">
        <v>19</v>
      </c>
      <c r="B26" s="990"/>
      <c r="C26" s="990"/>
      <c r="D26" s="991"/>
      <c r="E26" s="991" t="s">
        <v>260</v>
      </c>
      <c r="F26" s="991" t="s">
        <v>261</v>
      </c>
      <c r="G26" s="992">
        <v>0</v>
      </c>
      <c r="H26" s="992">
        <v>0</v>
      </c>
      <c r="I26" s="993">
        <v>0</v>
      </c>
      <c r="J26" s="988" t="s">
        <v>45</v>
      </c>
    </row>
    <row r="27" spans="1:10" s="987" customFormat="1" ht="14.25">
      <c r="A27" s="695">
        <v>20</v>
      </c>
      <c r="B27" s="990"/>
      <c r="C27" s="990"/>
      <c r="D27" s="991"/>
      <c r="E27" s="991" t="s">
        <v>262</v>
      </c>
      <c r="F27" s="991" t="s">
        <v>263</v>
      </c>
      <c r="G27" s="992">
        <v>0</v>
      </c>
      <c r="H27" s="992">
        <v>0</v>
      </c>
      <c r="I27" s="993">
        <v>0</v>
      </c>
      <c r="J27" s="988" t="s">
        <v>45</v>
      </c>
    </row>
    <row r="28" spans="1:10" s="987" customFormat="1" ht="14.25">
      <c r="A28" s="695">
        <v>21</v>
      </c>
      <c r="B28" s="990"/>
      <c r="C28" s="990"/>
      <c r="D28" s="991"/>
      <c r="E28" s="991" t="s">
        <v>264</v>
      </c>
      <c r="F28" s="991" t="s">
        <v>265</v>
      </c>
      <c r="G28" s="992">
        <v>0</v>
      </c>
      <c r="H28" s="992">
        <v>0</v>
      </c>
      <c r="I28" s="993">
        <v>0</v>
      </c>
      <c r="J28" s="988" t="s">
        <v>45</v>
      </c>
    </row>
    <row r="29" spans="1:10" s="198" customFormat="1" ht="14.25">
      <c r="A29" s="695">
        <v>22</v>
      </c>
      <c r="B29" s="990"/>
      <c r="C29" s="990"/>
      <c r="D29" s="991"/>
      <c r="E29" s="991" t="s">
        <v>266</v>
      </c>
      <c r="F29" s="991" t="s">
        <v>267</v>
      </c>
      <c r="G29" s="992">
        <v>842</v>
      </c>
      <c r="H29" s="992">
        <v>42197</v>
      </c>
      <c r="I29" s="993">
        <v>42041</v>
      </c>
      <c r="J29" s="994">
        <f>I29/H29</f>
        <v>0.9963030547195298</v>
      </c>
    </row>
    <row r="30" spans="1:10" s="995" customFormat="1" ht="14.25">
      <c r="A30" s="695">
        <v>23</v>
      </c>
      <c r="B30" s="990"/>
      <c r="C30" s="990"/>
      <c r="D30" s="991"/>
      <c r="E30" s="991" t="s">
        <v>268</v>
      </c>
      <c r="F30" s="991" t="s">
        <v>269</v>
      </c>
      <c r="G30" s="992">
        <v>0</v>
      </c>
      <c r="H30" s="992">
        <v>0</v>
      </c>
      <c r="I30" s="993">
        <v>0</v>
      </c>
      <c r="J30" s="988" t="s">
        <v>45</v>
      </c>
    </row>
    <row r="31" spans="1:10" s="987" customFormat="1" ht="14.25">
      <c r="A31" s="695">
        <v>24</v>
      </c>
      <c r="B31" s="990"/>
      <c r="C31" s="990"/>
      <c r="D31" s="991"/>
      <c r="E31" s="991" t="s">
        <v>270</v>
      </c>
      <c r="F31" s="991" t="s">
        <v>271</v>
      </c>
      <c r="G31" s="992">
        <v>0</v>
      </c>
      <c r="H31" s="992">
        <v>0</v>
      </c>
      <c r="I31" s="993">
        <v>0</v>
      </c>
      <c r="J31" s="988" t="s">
        <v>45</v>
      </c>
    </row>
    <row r="32" spans="1:10" s="987" customFormat="1" ht="14.25">
      <c r="A32" s="695">
        <v>25</v>
      </c>
      <c r="B32" s="979"/>
      <c r="C32" s="979" t="s">
        <v>272</v>
      </c>
      <c r="D32" s="1119" t="s">
        <v>273</v>
      </c>
      <c r="E32" s="1119"/>
      <c r="F32" s="1119"/>
      <c r="G32" s="980">
        <v>0</v>
      </c>
      <c r="H32" s="980">
        <v>0</v>
      </c>
      <c r="I32" s="989">
        <v>0</v>
      </c>
      <c r="J32" s="988" t="s">
        <v>45</v>
      </c>
    </row>
    <row r="33" spans="1:10" s="987" customFormat="1" ht="14.25">
      <c r="A33" s="695">
        <v>26</v>
      </c>
      <c r="B33" s="979"/>
      <c r="C33" s="979" t="s">
        <v>274</v>
      </c>
      <c r="D33" s="1119" t="s">
        <v>275</v>
      </c>
      <c r="E33" s="1119"/>
      <c r="F33" s="1119"/>
      <c r="G33" s="980">
        <f>SUM(G34:G43)</f>
        <v>253834</v>
      </c>
      <c r="H33" s="980">
        <f>SUM(H34:H43)</f>
        <v>146653</v>
      </c>
      <c r="I33" s="989">
        <f>SUM(I34:I43)</f>
        <v>146700</v>
      </c>
      <c r="J33" s="981">
        <f>I33/H33</f>
        <v>1.0003204844087745</v>
      </c>
    </row>
    <row r="34" spans="1:10" s="987" customFormat="1" ht="14.25">
      <c r="A34" s="695">
        <v>27</v>
      </c>
      <c r="B34" s="990"/>
      <c r="C34" s="990"/>
      <c r="D34" s="991" t="s">
        <v>251</v>
      </c>
      <c r="E34" s="991" t="s">
        <v>252</v>
      </c>
      <c r="F34" s="991" t="s">
        <v>253</v>
      </c>
      <c r="G34" s="992">
        <v>0</v>
      </c>
      <c r="H34" s="992">
        <v>0</v>
      </c>
      <c r="I34" s="993">
        <v>0</v>
      </c>
      <c r="J34" s="988" t="s">
        <v>45</v>
      </c>
    </row>
    <row r="35" spans="1:10" s="186" customFormat="1" ht="14.25">
      <c r="A35" s="695">
        <v>28</v>
      </c>
      <c r="B35" s="990"/>
      <c r="C35" s="990"/>
      <c r="D35" s="991"/>
      <c r="E35" s="991" t="s">
        <v>254</v>
      </c>
      <c r="F35" s="991" t="s">
        <v>255</v>
      </c>
      <c r="G35" s="992">
        <v>0</v>
      </c>
      <c r="H35" s="992">
        <v>0</v>
      </c>
      <c r="I35" s="993">
        <v>0</v>
      </c>
      <c r="J35" s="988" t="s">
        <v>45</v>
      </c>
    </row>
    <row r="36" spans="1:10" s="92" customFormat="1" ht="14.25">
      <c r="A36" s="695">
        <v>29</v>
      </c>
      <c r="B36" s="996"/>
      <c r="C36" s="996"/>
      <c r="D36" s="997"/>
      <c r="E36" s="997" t="s">
        <v>256</v>
      </c>
      <c r="F36" s="997" t="s">
        <v>257</v>
      </c>
      <c r="G36" s="992">
        <v>15388</v>
      </c>
      <c r="H36" s="992">
        <v>21882</v>
      </c>
      <c r="I36" s="993">
        <v>21835</v>
      </c>
      <c r="J36" s="994">
        <f>I36/H36</f>
        <v>0.9978521158943424</v>
      </c>
    </row>
    <row r="37" spans="1:10" s="92" customFormat="1" ht="14.25">
      <c r="A37" s="695">
        <v>30</v>
      </c>
      <c r="B37" s="990"/>
      <c r="C37" s="990"/>
      <c r="D37" s="991"/>
      <c r="E37" s="991" t="s">
        <v>258</v>
      </c>
      <c r="F37" s="991" t="s">
        <v>259</v>
      </c>
      <c r="G37" s="992">
        <v>49418</v>
      </c>
      <c r="H37" s="992">
        <v>49311</v>
      </c>
      <c r="I37" s="993">
        <v>49245</v>
      </c>
      <c r="J37" s="994">
        <f>I37/H37</f>
        <v>0.9986615562450569</v>
      </c>
    </row>
    <row r="38" spans="1:10" s="987" customFormat="1" ht="14.25">
      <c r="A38" s="695">
        <v>31</v>
      </c>
      <c r="B38" s="990"/>
      <c r="C38" s="990"/>
      <c r="D38" s="991"/>
      <c r="E38" s="991" t="s">
        <v>260</v>
      </c>
      <c r="F38" s="991" t="s">
        <v>261</v>
      </c>
      <c r="G38" s="992">
        <v>39922</v>
      </c>
      <c r="H38" s="992">
        <v>34513</v>
      </c>
      <c r="I38" s="993">
        <v>34494</v>
      </c>
      <c r="J38" s="994">
        <f>I38/H38</f>
        <v>0.9994494828035813</v>
      </c>
    </row>
    <row r="39" spans="1:10" s="987" customFormat="1" ht="14.25">
      <c r="A39" s="695">
        <v>32</v>
      </c>
      <c r="B39" s="990"/>
      <c r="C39" s="990"/>
      <c r="D39" s="991"/>
      <c r="E39" s="991" t="s">
        <v>262</v>
      </c>
      <c r="F39" s="991" t="s">
        <v>263</v>
      </c>
      <c r="G39" s="992">
        <v>146146</v>
      </c>
      <c r="H39" s="992">
        <v>37987</v>
      </c>
      <c r="I39" s="993">
        <v>38078</v>
      </c>
      <c r="J39" s="994">
        <f>I39/H39</f>
        <v>1.0023955563745492</v>
      </c>
    </row>
    <row r="40" spans="1:10" s="987" customFormat="1" ht="14.25">
      <c r="A40" s="695">
        <v>33</v>
      </c>
      <c r="B40" s="990"/>
      <c r="C40" s="990"/>
      <c r="D40" s="991"/>
      <c r="E40" s="991" t="s">
        <v>264</v>
      </c>
      <c r="F40" s="991" t="s">
        <v>265</v>
      </c>
      <c r="G40" s="992">
        <v>2960</v>
      </c>
      <c r="H40" s="992">
        <v>2960</v>
      </c>
      <c r="I40" s="993">
        <v>3048</v>
      </c>
      <c r="J40" s="994">
        <f>I40/H40</f>
        <v>1.0297297297297296</v>
      </c>
    </row>
    <row r="41" spans="1:10" s="987" customFormat="1" ht="14.25">
      <c r="A41" s="695">
        <v>34</v>
      </c>
      <c r="B41" s="990"/>
      <c r="C41" s="990"/>
      <c r="D41" s="991"/>
      <c r="E41" s="991" t="s">
        <v>266</v>
      </c>
      <c r="F41" s="991" t="s">
        <v>267</v>
      </c>
      <c r="G41" s="992">
        <v>0</v>
      </c>
      <c r="H41" s="992">
        <v>0</v>
      </c>
      <c r="I41" s="993">
        <v>0</v>
      </c>
      <c r="J41" s="988" t="s">
        <v>45</v>
      </c>
    </row>
    <row r="42" spans="1:10" s="987" customFormat="1" ht="14.25">
      <c r="A42" s="695">
        <v>35</v>
      </c>
      <c r="B42" s="990"/>
      <c r="C42" s="990"/>
      <c r="D42" s="991"/>
      <c r="E42" s="991" t="s">
        <v>268</v>
      </c>
      <c r="F42" s="991" t="s">
        <v>269</v>
      </c>
      <c r="G42" s="992">
        <v>0</v>
      </c>
      <c r="H42" s="992">
        <v>0</v>
      </c>
      <c r="I42" s="993">
        <v>0</v>
      </c>
      <c r="J42" s="988" t="s">
        <v>45</v>
      </c>
    </row>
    <row r="43" spans="1:10" s="987" customFormat="1" ht="14.25">
      <c r="A43" s="695">
        <v>36</v>
      </c>
      <c r="B43" s="990"/>
      <c r="C43" s="990"/>
      <c r="D43" s="991"/>
      <c r="E43" s="991" t="s">
        <v>270</v>
      </c>
      <c r="F43" s="991" t="s">
        <v>271</v>
      </c>
      <c r="G43" s="992">
        <v>0</v>
      </c>
      <c r="H43" s="992">
        <v>0</v>
      </c>
      <c r="I43" s="993">
        <v>0</v>
      </c>
      <c r="J43" s="988" t="s">
        <v>45</v>
      </c>
    </row>
    <row r="44" spans="1:10" s="987" customFormat="1" ht="14.25">
      <c r="A44" s="695">
        <v>37</v>
      </c>
      <c r="B44" s="974" t="s">
        <v>276</v>
      </c>
      <c r="C44" s="1120" t="s">
        <v>277</v>
      </c>
      <c r="D44" s="1120"/>
      <c r="E44" s="1120"/>
      <c r="F44" s="1120"/>
      <c r="G44" s="975">
        <f>SUM(G45:G49)</f>
        <v>1032834</v>
      </c>
      <c r="H44" s="975">
        <f>SUM(H45:H49)</f>
        <v>1153788</v>
      </c>
      <c r="I44" s="976">
        <f>SUM(I45:I49)</f>
        <v>1154140</v>
      </c>
      <c r="J44" s="977">
        <f>I44/H44</f>
        <v>1.0003050820428017</v>
      </c>
    </row>
    <row r="45" spans="1:10" s="987" customFormat="1" ht="14.25">
      <c r="A45" s="695">
        <v>38</v>
      </c>
      <c r="B45" s="979"/>
      <c r="C45" s="979" t="s">
        <v>278</v>
      </c>
      <c r="D45" s="1119" t="s">
        <v>279</v>
      </c>
      <c r="E45" s="1119"/>
      <c r="F45" s="1119"/>
      <c r="G45" s="980">
        <v>0</v>
      </c>
      <c r="H45" s="980">
        <v>16148</v>
      </c>
      <c r="I45" s="989">
        <v>16148</v>
      </c>
      <c r="J45" s="981">
        <f>I45/H45</f>
        <v>1</v>
      </c>
    </row>
    <row r="46" spans="1:10" s="92" customFormat="1" ht="14.25">
      <c r="A46" s="695">
        <v>39</v>
      </c>
      <c r="B46" s="979"/>
      <c r="C46" s="979" t="s">
        <v>280</v>
      </c>
      <c r="D46" s="1119" t="s">
        <v>281</v>
      </c>
      <c r="E46" s="1119"/>
      <c r="F46" s="1119"/>
      <c r="G46" s="980">
        <v>0</v>
      </c>
      <c r="H46" s="980">
        <v>0</v>
      </c>
      <c r="I46" s="989">
        <v>0</v>
      </c>
      <c r="J46" s="988" t="s">
        <v>45</v>
      </c>
    </row>
    <row r="47" spans="1:10" s="987" customFormat="1" ht="14.25">
      <c r="A47" s="695">
        <v>40</v>
      </c>
      <c r="B47" s="979"/>
      <c r="C47" s="979" t="s">
        <v>282</v>
      </c>
      <c r="D47" s="1119" t="s">
        <v>283</v>
      </c>
      <c r="E47" s="1119"/>
      <c r="F47" s="1119"/>
      <c r="G47" s="980">
        <v>0</v>
      </c>
      <c r="H47" s="980">
        <v>2199</v>
      </c>
      <c r="I47" s="989">
        <v>0</v>
      </c>
      <c r="J47" s="988" t="s">
        <v>45</v>
      </c>
    </row>
    <row r="48" spans="1:10" s="987" customFormat="1" ht="14.25">
      <c r="A48" s="695">
        <v>41</v>
      </c>
      <c r="B48" s="979"/>
      <c r="C48" s="979" t="s">
        <v>284</v>
      </c>
      <c r="D48" s="1119" t="s">
        <v>285</v>
      </c>
      <c r="E48" s="1119"/>
      <c r="F48" s="1119"/>
      <c r="G48" s="980">
        <v>0</v>
      </c>
      <c r="H48" s="980">
        <v>0</v>
      </c>
      <c r="I48" s="989">
        <v>0</v>
      </c>
      <c r="J48" s="988" t="s">
        <v>45</v>
      </c>
    </row>
    <row r="49" spans="1:10" s="987" customFormat="1" ht="14.25">
      <c r="A49" s="695">
        <v>42</v>
      </c>
      <c r="B49" s="979"/>
      <c r="C49" s="979" t="s">
        <v>286</v>
      </c>
      <c r="D49" s="1119" t="s">
        <v>287</v>
      </c>
      <c r="E49" s="1119"/>
      <c r="F49" s="1119"/>
      <c r="G49" s="980">
        <f>SUM(G50:G59)</f>
        <v>1032834</v>
      </c>
      <c r="H49" s="980">
        <f>SUM(H50:H59)</f>
        <v>1135441</v>
      </c>
      <c r="I49" s="980">
        <f>SUM(I50:I59)</f>
        <v>1137992</v>
      </c>
      <c r="J49" s="981">
        <f>I49/H49</f>
        <v>1.0022467041440286</v>
      </c>
    </row>
    <row r="50" spans="1:10" s="987" customFormat="1" ht="14.25">
      <c r="A50" s="695">
        <v>43</v>
      </c>
      <c r="B50" s="990"/>
      <c r="C50" s="990"/>
      <c r="D50" s="991" t="s">
        <v>251</v>
      </c>
      <c r="E50" s="991" t="s">
        <v>252</v>
      </c>
      <c r="F50" s="991" t="s">
        <v>253</v>
      </c>
      <c r="G50" s="992">
        <v>0</v>
      </c>
      <c r="H50" s="992">
        <v>0</v>
      </c>
      <c r="I50" s="993">
        <v>0</v>
      </c>
      <c r="J50" s="988" t="s">
        <v>45</v>
      </c>
    </row>
    <row r="51" spans="1:10" s="987" customFormat="1" ht="14.25">
      <c r="A51" s="695">
        <v>44</v>
      </c>
      <c r="B51" s="990"/>
      <c r="C51" s="990"/>
      <c r="D51" s="991"/>
      <c r="E51" s="991" t="s">
        <v>254</v>
      </c>
      <c r="F51" s="991" t="s">
        <v>255</v>
      </c>
      <c r="G51" s="992">
        <v>0</v>
      </c>
      <c r="H51" s="992">
        <v>0</v>
      </c>
      <c r="I51" s="993">
        <v>0</v>
      </c>
      <c r="J51" s="988" t="s">
        <v>45</v>
      </c>
    </row>
    <row r="52" spans="1:10" s="92" customFormat="1" ht="14.25">
      <c r="A52" s="695">
        <v>45</v>
      </c>
      <c r="B52" s="996"/>
      <c r="C52" s="996"/>
      <c r="D52" s="997"/>
      <c r="E52" s="997" t="s">
        <v>256</v>
      </c>
      <c r="F52" s="997" t="s">
        <v>257</v>
      </c>
      <c r="G52" s="992">
        <v>958761</v>
      </c>
      <c r="H52" s="992">
        <v>1069191</v>
      </c>
      <c r="I52" s="993">
        <f>1076344+1</f>
        <v>1076345</v>
      </c>
      <c r="J52" s="994">
        <f>I52/H52</f>
        <v>1.0066910402350937</v>
      </c>
    </row>
    <row r="53" spans="1:10" s="987" customFormat="1" ht="14.25">
      <c r="A53" s="695">
        <v>46</v>
      </c>
      <c r="B53" s="990"/>
      <c r="C53" s="990"/>
      <c r="D53" s="991"/>
      <c r="E53" s="991" t="s">
        <v>258</v>
      </c>
      <c r="F53" s="991" t="s">
        <v>259</v>
      </c>
      <c r="G53" s="992">
        <v>65850</v>
      </c>
      <c r="H53" s="992">
        <v>66250</v>
      </c>
      <c r="I53" s="993">
        <v>61647</v>
      </c>
      <c r="J53" s="994">
        <f>I53/H53</f>
        <v>0.9305207547169811</v>
      </c>
    </row>
    <row r="54" spans="1:10" s="987" customFormat="1" ht="14.25">
      <c r="A54" s="695">
        <v>47</v>
      </c>
      <c r="B54" s="990"/>
      <c r="C54" s="990"/>
      <c r="D54" s="991"/>
      <c r="E54" s="991" t="s">
        <v>260</v>
      </c>
      <c r="F54" s="991" t="s">
        <v>261</v>
      </c>
      <c r="G54" s="992">
        <v>0</v>
      </c>
      <c r="H54" s="992">
        <v>0</v>
      </c>
      <c r="I54" s="993">
        <v>0</v>
      </c>
      <c r="J54" s="988" t="s">
        <v>45</v>
      </c>
    </row>
    <row r="55" spans="1:10" s="987" customFormat="1" ht="14.25">
      <c r="A55" s="695">
        <v>48</v>
      </c>
      <c r="B55" s="990"/>
      <c r="C55" s="990"/>
      <c r="D55" s="991"/>
      <c r="E55" s="991" t="s">
        <v>262</v>
      </c>
      <c r="F55" s="991" t="s">
        <v>263</v>
      </c>
      <c r="G55" s="992">
        <v>8223</v>
      </c>
      <c r="H55" s="992">
        <v>0</v>
      </c>
      <c r="I55" s="993">
        <v>0</v>
      </c>
      <c r="J55" s="988" t="s">
        <v>45</v>
      </c>
    </row>
    <row r="56" spans="1:10" s="987" customFormat="1" ht="14.25">
      <c r="A56" s="695">
        <v>49</v>
      </c>
      <c r="B56" s="990"/>
      <c r="C56" s="990"/>
      <c r="D56" s="991"/>
      <c r="E56" s="991" t="s">
        <v>264</v>
      </c>
      <c r="F56" s="991" t="s">
        <v>265</v>
      </c>
      <c r="G56" s="992">
        <v>0</v>
      </c>
      <c r="H56" s="992">
        <v>0</v>
      </c>
      <c r="I56" s="993">
        <v>0</v>
      </c>
      <c r="J56" s="988" t="s">
        <v>45</v>
      </c>
    </row>
    <row r="57" spans="1:10" s="987" customFormat="1" ht="14.25">
      <c r="A57" s="695">
        <v>50</v>
      </c>
      <c r="B57" s="990"/>
      <c r="C57" s="990"/>
      <c r="D57" s="991"/>
      <c r="E57" s="991" t="s">
        <v>266</v>
      </c>
      <c r="F57" s="991" t="s">
        <v>267</v>
      </c>
      <c r="G57" s="992">
        <v>0</v>
      </c>
      <c r="H57" s="992">
        <v>0</v>
      </c>
      <c r="I57" s="993">
        <v>0</v>
      </c>
      <c r="J57" s="988" t="s">
        <v>45</v>
      </c>
    </row>
    <row r="58" spans="1:10" s="987" customFormat="1" ht="14.25">
      <c r="A58" s="695">
        <v>51</v>
      </c>
      <c r="B58" s="990"/>
      <c r="C58" s="990"/>
      <c r="D58" s="991"/>
      <c r="E58" s="991" t="s">
        <v>268</v>
      </c>
      <c r="F58" s="991" t="s">
        <v>269</v>
      </c>
      <c r="G58" s="992">
        <v>0</v>
      </c>
      <c r="H58" s="992">
        <v>0</v>
      </c>
      <c r="I58" s="993">
        <v>0</v>
      </c>
      <c r="J58" s="988" t="s">
        <v>45</v>
      </c>
    </row>
    <row r="59" spans="1:10" s="987" customFormat="1" ht="14.25">
      <c r="A59" s="695">
        <v>52</v>
      </c>
      <c r="B59" s="990"/>
      <c r="C59" s="990"/>
      <c r="D59" s="991"/>
      <c r="E59" s="991" t="s">
        <v>270</v>
      </c>
      <c r="F59" s="991" t="s">
        <v>271</v>
      </c>
      <c r="G59" s="992">
        <v>0</v>
      </c>
      <c r="H59" s="992">
        <v>0</v>
      </c>
      <c r="I59" s="993">
        <v>0</v>
      </c>
      <c r="J59" s="988" t="s">
        <v>45</v>
      </c>
    </row>
    <row r="60" spans="1:10" s="987" customFormat="1" ht="14.25">
      <c r="A60" s="695">
        <v>53</v>
      </c>
      <c r="B60" s="974" t="s">
        <v>288</v>
      </c>
      <c r="C60" s="1120" t="s">
        <v>167</v>
      </c>
      <c r="D60" s="1120"/>
      <c r="E60" s="1120"/>
      <c r="F60" s="1120"/>
      <c r="G60" s="975">
        <f>SUM(G61+G62+G63+G64+G67+G78)</f>
        <v>169000</v>
      </c>
      <c r="H60" s="975">
        <f>SUM(H61+H62+H63+H64+H67+H78)</f>
        <v>172504</v>
      </c>
      <c r="I60" s="976">
        <f>SUM(I61+I62+I63+I64+I67+I78)</f>
        <v>191361</v>
      </c>
      <c r="J60" s="977">
        <f>I60/H60</f>
        <v>1.1093134072253397</v>
      </c>
    </row>
    <row r="61" spans="1:10" s="186" customFormat="1" ht="14.25">
      <c r="A61" s="695">
        <v>54</v>
      </c>
      <c r="B61" s="979"/>
      <c r="C61" s="979" t="s">
        <v>289</v>
      </c>
      <c r="D61" s="1119" t="s">
        <v>290</v>
      </c>
      <c r="E61" s="1119"/>
      <c r="F61" s="1119"/>
      <c r="G61" s="980">
        <v>0</v>
      </c>
      <c r="H61" s="980">
        <v>0</v>
      </c>
      <c r="I61" s="989">
        <v>0</v>
      </c>
      <c r="J61" s="988" t="s">
        <v>45</v>
      </c>
    </row>
    <row r="62" spans="1:10" s="92" customFormat="1" ht="14.25">
      <c r="A62" s="695">
        <v>55</v>
      </c>
      <c r="B62" s="979"/>
      <c r="C62" s="979" t="s">
        <v>291</v>
      </c>
      <c r="D62" s="1119" t="s">
        <v>292</v>
      </c>
      <c r="E62" s="1119"/>
      <c r="F62" s="1119"/>
      <c r="G62" s="980">
        <v>0</v>
      </c>
      <c r="H62" s="980">
        <v>0</v>
      </c>
      <c r="I62" s="989">
        <v>0</v>
      </c>
      <c r="J62" s="988" t="s">
        <v>45</v>
      </c>
    </row>
    <row r="63" spans="1:10" s="987" customFormat="1" ht="14.25">
      <c r="A63" s="695">
        <v>56</v>
      </c>
      <c r="B63" s="979"/>
      <c r="C63" s="979" t="s">
        <v>293</v>
      </c>
      <c r="D63" s="1119" t="s">
        <v>294</v>
      </c>
      <c r="E63" s="1119"/>
      <c r="F63" s="1119"/>
      <c r="G63" s="980">
        <v>0</v>
      </c>
      <c r="H63" s="980">
        <v>0</v>
      </c>
      <c r="I63" s="989">
        <v>0</v>
      </c>
      <c r="J63" s="988" t="s">
        <v>45</v>
      </c>
    </row>
    <row r="64" spans="1:10" s="987" customFormat="1" ht="14.25">
      <c r="A64" s="695">
        <v>57</v>
      </c>
      <c r="B64" s="979"/>
      <c r="C64" s="979" t="s">
        <v>295</v>
      </c>
      <c r="D64" s="1119" t="s">
        <v>296</v>
      </c>
      <c r="E64" s="1119"/>
      <c r="F64" s="1119"/>
      <c r="G64" s="980">
        <f>SUM(G65:G66)</f>
        <v>26500</v>
      </c>
      <c r="H64" s="980">
        <f>SUM(H65:H66)</f>
        <v>26500</v>
      </c>
      <c r="I64" s="980">
        <f>SUM(I65:I66)</f>
        <v>25794</v>
      </c>
      <c r="J64" s="981">
        <f aca="true" t="shared" si="1" ref="J64:J70">I64/H64</f>
        <v>0.9733584905660377</v>
      </c>
    </row>
    <row r="65" spans="1:10" s="92" customFormat="1" ht="14.25">
      <c r="A65" s="695">
        <v>58</v>
      </c>
      <c r="B65" s="990"/>
      <c r="C65" s="990"/>
      <c r="D65" s="991"/>
      <c r="E65" s="991"/>
      <c r="F65" s="991" t="s">
        <v>297</v>
      </c>
      <c r="G65" s="992">
        <v>25500</v>
      </c>
      <c r="H65" s="992">
        <v>25500</v>
      </c>
      <c r="I65" s="993">
        <v>24919</v>
      </c>
      <c r="J65" s="994">
        <f t="shared" si="1"/>
        <v>0.9772156862745098</v>
      </c>
    </row>
    <row r="66" spans="1:10" s="92" customFormat="1" ht="14.25">
      <c r="A66" s="695">
        <v>59</v>
      </c>
      <c r="B66" s="990"/>
      <c r="C66" s="990"/>
      <c r="D66" s="991"/>
      <c r="E66" s="991"/>
      <c r="F66" s="991" t="s">
        <v>298</v>
      </c>
      <c r="G66" s="992">
        <v>1000</v>
      </c>
      <c r="H66" s="992">
        <v>1000</v>
      </c>
      <c r="I66" s="993">
        <v>875</v>
      </c>
      <c r="J66" s="994">
        <f t="shared" si="1"/>
        <v>0.875</v>
      </c>
    </row>
    <row r="67" spans="1:10" s="92" customFormat="1" ht="14.25">
      <c r="A67" s="695">
        <v>60</v>
      </c>
      <c r="B67" s="979"/>
      <c r="C67" s="979" t="s">
        <v>299</v>
      </c>
      <c r="D67" s="1119" t="s">
        <v>300</v>
      </c>
      <c r="E67" s="1119"/>
      <c r="F67" s="1119"/>
      <c r="G67" s="980">
        <f>SUM(G68+G71+G72+G73+G75)</f>
        <v>140700</v>
      </c>
      <c r="H67" s="980">
        <f>SUM(H68+H71+H72+H73+H75)</f>
        <v>144204</v>
      </c>
      <c r="I67" s="980">
        <f>SUM(I68+I71+I72+I73+I75)</f>
        <v>164696</v>
      </c>
      <c r="J67" s="981">
        <f t="shared" si="1"/>
        <v>1.142104241213836</v>
      </c>
    </row>
    <row r="68" spans="1:10" s="186" customFormat="1" ht="14.25">
      <c r="A68" s="695">
        <v>61</v>
      </c>
      <c r="B68" s="982"/>
      <c r="C68" s="982"/>
      <c r="D68" s="982" t="s">
        <v>301</v>
      </c>
      <c r="E68" s="982" t="s">
        <v>302</v>
      </c>
      <c r="F68" s="982"/>
      <c r="G68" s="983">
        <f>SUM(G69:G70)</f>
        <v>120500</v>
      </c>
      <c r="H68" s="983">
        <f>SUM(H69:H70)</f>
        <v>124004</v>
      </c>
      <c r="I68" s="983">
        <f>SUM(I69:I70)</f>
        <v>144147</v>
      </c>
      <c r="J68" s="985">
        <f t="shared" si="1"/>
        <v>1.1624383084416632</v>
      </c>
    </row>
    <row r="69" spans="1:10" s="92" customFormat="1" ht="14.25">
      <c r="A69" s="695">
        <v>62</v>
      </c>
      <c r="B69" s="990"/>
      <c r="C69" s="990"/>
      <c r="D69" s="991"/>
      <c r="E69" s="991"/>
      <c r="F69" s="991" t="s">
        <v>303</v>
      </c>
      <c r="G69" s="992">
        <v>120000</v>
      </c>
      <c r="H69" s="992">
        <v>123504</v>
      </c>
      <c r="I69" s="993">
        <v>144147</v>
      </c>
      <c r="J69" s="994">
        <f t="shared" si="1"/>
        <v>1.1671443839875633</v>
      </c>
    </row>
    <row r="70" spans="1:10" s="987" customFormat="1" ht="14.25">
      <c r="A70" s="695">
        <v>63</v>
      </c>
      <c r="B70" s="990"/>
      <c r="C70" s="990"/>
      <c r="D70" s="991"/>
      <c r="E70" s="991"/>
      <c r="F70" s="991" t="s">
        <v>304</v>
      </c>
      <c r="G70" s="992">
        <v>500</v>
      </c>
      <c r="H70" s="992">
        <v>500</v>
      </c>
      <c r="I70" s="993">
        <v>0</v>
      </c>
      <c r="J70" s="994">
        <f t="shared" si="1"/>
        <v>0</v>
      </c>
    </row>
    <row r="71" spans="1:10" s="987" customFormat="1" ht="14.25">
      <c r="A71" s="695">
        <v>64</v>
      </c>
      <c r="B71" s="982"/>
      <c r="C71" s="982"/>
      <c r="D71" s="982" t="s">
        <v>305</v>
      </c>
      <c r="E71" s="982" t="s">
        <v>306</v>
      </c>
      <c r="F71" s="982"/>
      <c r="G71" s="983">
        <v>0</v>
      </c>
      <c r="H71" s="983">
        <v>0</v>
      </c>
      <c r="I71" s="984">
        <v>0</v>
      </c>
      <c r="J71" s="988" t="s">
        <v>45</v>
      </c>
    </row>
    <row r="72" spans="1:10" s="987" customFormat="1" ht="14.25">
      <c r="A72" s="695">
        <v>65</v>
      </c>
      <c r="B72" s="982"/>
      <c r="C72" s="982"/>
      <c r="D72" s="982" t="s">
        <v>307</v>
      </c>
      <c r="E72" s="982" t="s">
        <v>308</v>
      </c>
      <c r="F72" s="982"/>
      <c r="G72" s="983">
        <v>0</v>
      </c>
      <c r="H72" s="983">
        <v>0</v>
      </c>
      <c r="I72" s="984">
        <v>0</v>
      </c>
      <c r="J72" s="988" t="s">
        <v>45</v>
      </c>
    </row>
    <row r="73" spans="1:10" s="987" customFormat="1" ht="14.25">
      <c r="A73" s="695">
        <v>66</v>
      </c>
      <c r="B73" s="982"/>
      <c r="C73" s="982"/>
      <c r="D73" s="982" t="s">
        <v>309</v>
      </c>
      <c r="E73" s="982" t="s">
        <v>310</v>
      </c>
      <c r="F73" s="982"/>
      <c r="G73" s="983">
        <f>SUM(G74)</f>
        <v>20000</v>
      </c>
      <c r="H73" s="983">
        <f>SUM(H74:H74)</f>
        <v>20000</v>
      </c>
      <c r="I73" s="983">
        <f>SUM(I74:I74)</f>
        <v>20075</v>
      </c>
      <c r="J73" s="985">
        <f>I73/H73</f>
        <v>1.00375</v>
      </c>
    </row>
    <row r="74" spans="1:10" s="987" customFormat="1" ht="14.25">
      <c r="A74" s="695">
        <v>67</v>
      </c>
      <c r="B74" s="990"/>
      <c r="C74" s="990"/>
      <c r="D74" s="990"/>
      <c r="E74" s="991"/>
      <c r="F74" s="991" t="s">
        <v>311</v>
      </c>
      <c r="G74" s="992">
        <v>20000</v>
      </c>
      <c r="H74" s="992">
        <v>20000</v>
      </c>
      <c r="I74" s="993">
        <v>20075</v>
      </c>
      <c r="J74" s="994">
        <f>I74/H74</f>
        <v>1.00375</v>
      </c>
    </row>
    <row r="75" spans="1:10" s="987" customFormat="1" ht="14.25">
      <c r="A75" s="695">
        <v>68</v>
      </c>
      <c r="B75" s="982"/>
      <c r="C75" s="982"/>
      <c r="D75" s="982" t="s">
        <v>312</v>
      </c>
      <c r="E75" s="982" t="s">
        <v>313</v>
      </c>
      <c r="F75" s="982"/>
      <c r="G75" s="983">
        <f>SUM(G76:G77)</f>
        <v>200</v>
      </c>
      <c r="H75" s="983">
        <f>SUM(H76:H77)</f>
        <v>200</v>
      </c>
      <c r="I75" s="983">
        <f>SUM(I76:I77)</f>
        <v>474</v>
      </c>
      <c r="J75" s="985">
        <f>I75/H75</f>
        <v>2.37</v>
      </c>
    </row>
    <row r="76" spans="1:10" s="987" customFormat="1" ht="14.25">
      <c r="A76" s="695">
        <v>69</v>
      </c>
      <c r="B76" s="990"/>
      <c r="C76" s="990"/>
      <c r="D76" s="990"/>
      <c r="E76" s="991"/>
      <c r="F76" s="991" t="s">
        <v>314</v>
      </c>
      <c r="G76" s="992">
        <v>200</v>
      </c>
      <c r="H76" s="992">
        <v>200</v>
      </c>
      <c r="I76" s="993">
        <v>474</v>
      </c>
      <c r="J76" s="994">
        <f aca="true" t="shared" si="2" ref="J76:J144">I76/H76</f>
        <v>2.37</v>
      </c>
    </row>
    <row r="77" spans="1:10" s="92" customFormat="1" ht="14.25">
      <c r="A77" s="695">
        <v>70</v>
      </c>
      <c r="B77" s="990"/>
      <c r="C77" s="990"/>
      <c r="D77" s="990"/>
      <c r="E77" s="991"/>
      <c r="F77" s="991" t="s">
        <v>315</v>
      </c>
      <c r="G77" s="992">
        <v>0</v>
      </c>
      <c r="H77" s="992">
        <v>0</v>
      </c>
      <c r="I77" s="993">
        <v>0</v>
      </c>
      <c r="J77" s="988" t="s">
        <v>45</v>
      </c>
    </row>
    <row r="78" spans="1:10" s="987" customFormat="1" ht="14.25">
      <c r="A78" s="695">
        <v>71</v>
      </c>
      <c r="B78" s="979"/>
      <c r="C78" s="979" t="s">
        <v>316</v>
      </c>
      <c r="D78" s="1119" t="s">
        <v>317</v>
      </c>
      <c r="E78" s="1119"/>
      <c r="F78" s="1119"/>
      <c r="G78" s="980">
        <f>SUM(G79:G87)</f>
        <v>1800</v>
      </c>
      <c r="H78" s="980">
        <f>SUM(H79:H87)</f>
        <v>1800</v>
      </c>
      <c r="I78" s="980">
        <f>SUM(I79:I87)</f>
        <v>871</v>
      </c>
      <c r="J78" s="981">
        <f t="shared" si="2"/>
        <v>0.48388888888888887</v>
      </c>
    </row>
    <row r="79" spans="1:10" s="987" customFormat="1" ht="14.25">
      <c r="A79" s="695">
        <v>72</v>
      </c>
      <c r="B79" s="998"/>
      <c r="C79" s="998"/>
      <c r="D79" s="998"/>
      <c r="E79" s="991"/>
      <c r="F79" s="991" t="s">
        <v>318</v>
      </c>
      <c r="G79" s="992">
        <v>0</v>
      </c>
      <c r="H79" s="992">
        <v>0</v>
      </c>
      <c r="I79" s="993">
        <v>0</v>
      </c>
      <c r="J79" s="988" t="s">
        <v>45</v>
      </c>
    </row>
    <row r="80" spans="1:10" s="987" customFormat="1" ht="14.25">
      <c r="A80" s="695">
        <v>73</v>
      </c>
      <c r="B80" s="990"/>
      <c r="C80" s="990"/>
      <c r="D80" s="990"/>
      <c r="E80" s="991"/>
      <c r="F80" s="991" t="s">
        <v>319</v>
      </c>
      <c r="G80" s="992">
        <v>100</v>
      </c>
      <c r="H80" s="992">
        <v>50</v>
      </c>
      <c r="I80" s="993">
        <v>0</v>
      </c>
      <c r="J80" s="994">
        <f t="shared" si="2"/>
        <v>0</v>
      </c>
    </row>
    <row r="81" spans="1:10" s="987" customFormat="1" ht="14.25">
      <c r="A81" s="695">
        <v>74</v>
      </c>
      <c r="B81" s="998"/>
      <c r="C81" s="998"/>
      <c r="D81" s="998"/>
      <c r="E81" s="991"/>
      <c r="F81" s="991" t="s">
        <v>320</v>
      </c>
      <c r="G81" s="992">
        <v>0</v>
      </c>
      <c r="H81" s="992">
        <v>0</v>
      </c>
      <c r="I81" s="993">
        <v>0</v>
      </c>
      <c r="J81" s="988" t="s">
        <v>45</v>
      </c>
    </row>
    <row r="82" spans="1:10" s="987" customFormat="1" ht="14.25">
      <c r="A82" s="695">
        <v>75</v>
      </c>
      <c r="B82" s="998"/>
      <c r="C82" s="998"/>
      <c r="D82" s="998"/>
      <c r="E82" s="991"/>
      <c r="F82" s="991" t="s">
        <v>321</v>
      </c>
      <c r="G82" s="992">
        <v>0</v>
      </c>
      <c r="H82" s="992">
        <v>0</v>
      </c>
      <c r="I82" s="993">
        <v>0</v>
      </c>
      <c r="J82" s="988" t="s">
        <v>45</v>
      </c>
    </row>
    <row r="83" spans="1:10" s="987" customFormat="1" ht="14.25">
      <c r="A83" s="695">
        <v>76</v>
      </c>
      <c r="B83" s="998"/>
      <c r="C83" s="998"/>
      <c r="D83" s="998"/>
      <c r="E83" s="991"/>
      <c r="F83" s="991" t="s">
        <v>322</v>
      </c>
      <c r="G83" s="992">
        <v>0</v>
      </c>
      <c r="H83" s="992">
        <v>0</v>
      </c>
      <c r="I83" s="993">
        <v>0</v>
      </c>
      <c r="J83" s="988" t="s">
        <v>45</v>
      </c>
    </row>
    <row r="84" spans="1:10" s="987" customFormat="1" ht="14.25">
      <c r="A84" s="695">
        <v>77</v>
      </c>
      <c r="B84" s="998"/>
      <c r="C84" s="998"/>
      <c r="D84" s="998"/>
      <c r="E84" s="991"/>
      <c r="F84" s="991" t="s">
        <v>323</v>
      </c>
      <c r="G84" s="992">
        <v>0</v>
      </c>
      <c r="H84" s="992">
        <v>50</v>
      </c>
      <c r="I84" s="993">
        <v>10</v>
      </c>
      <c r="J84" s="994">
        <f t="shared" si="2"/>
        <v>0.2</v>
      </c>
    </row>
    <row r="85" spans="1:10" s="92" customFormat="1" ht="33.75">
      <c r="A85" s="695">
        <v>78</v>
      </c>
      <c r="B85" s="990"/>
      <c r="C85" s="990"/>
      <c r="D85" s="990"/>
      <c r="E85" s="990"/>
      <c r="F85" s="999" t="s">
        <v>324</v>
      </c>
      <c r="G85" s="992">
        <v>200</v>
      </c>
      <c r="H85" s="992">
        <v>200</v>
      </c>
      <c r="I85" s="993">
        <v>500</v>
      </c>
      <c r="J85" s="994">
        <f t="shared" si="2"/>
        <v>2.5</v>
      </c>
    </row>
    <row r="86" spans="1:10" s="92" customFormat="1" ht="14.25">
      <c r="A86" s="695">
        <v>79</v>
      </c>
      <c r="B86" s="998"/>
      <c r="C86" s="998"/>
      <c r="D86" s="998"/>
      <c r="E86" s="998"/>
      <c r="F86" s="991" t="s">
        <v>325</v>
      </c>
      <c r="G86" s="992">
        <v>0</v>
      </c>
      <c r="H86" s="992">
        <v>0</v>
      </c>
      <c r="I86" s="993">
        <v>0</v>
      </c>
      <c r="J86" s="988" t="s">
        <v>45</v>
      </c>
    </row>
    <row r="87" spans="1:10" s="978" customFormat="1" ht="14.25" customHeight="1">
      <c r="A87" s="695">
        <v>80</v>
      </c>
      <c r="B87" s="990"/>
      <c r="C87" s="990"/>
      <c r="D87" s="990"/>
      <c r="E87" s="990"/>
      <c r="F87" s="997" t="s">
        <v>326</v>
      </c>
      <c r="G87" s="992">
        <v>1500</v>
      </c>
      <c r="H87" s="992">
        <v>1500</v>
      </c>
      <c r="I87" s="993">
        <v>361</v>
      </c>
      <c r="J87" s="994">
        <f t="shared" si="2"/>
        <v>0.24066666666666667</v>
      </c>
    </row>
    <row r="88" spans="1:10" s="186" customFormat="1" ht="14.25">
      <c r="A88" s="695">
        <v>81</v>
      </c>
      <c r="B88" s="974" t="s">
        <v>327</v>
      </c>
      <c r="C88" s="1120" t="s">
        <v>328</v>
      </c>
      <c r="D88" s="1120"/>
      <c r="E88" s="1120"/>
      <c r="F88" s="1120"/>
      <c r="G88" s="975">
        <f>SUM(G89+G90+G93+G95+G98+G99+G100+G101+G103+G104+G105)</f>
        <v>424365</v>
      </c>
      <c r="H88" s="975">
        <f>SUM(H89+H90+H93+H95+H98+H99+H100+H101+H103+H104+H105)</f>
        <v>141733</v>
      </c>
      <c r="I88" s="975">
        <f>SUM(I89+I90+I93+I95+I98+I99+I100+I101+I103+I104+I105)</f>
        <v>143374</v>
      </c>
      <c r="J88" s="977">
        <f t="shared" si="2"/>
        <v>1.0115781081328978</v>
      </c>
    </row>
    <row r="89" spans="1:10" s="92" customFormat="1" ht="14.25">
      <c r="A89" s="695">
        <v>82</v>
      </c>
      <c r="B89" s="982"/>
      <c r="C89" s="982"/>
      <c r="D89" s="982" t="s">
        <v>329</v>
      </c>
      <c r="E89" s="982" t="s">
        <v>732</v>
      </c>
      <c r="F89" s="982"/>
      <c r="G89" s="983">
        <v>8037</v>
      </c>
      <c r="H89" s="983">
        <v>8261</v>
      </c>
      <c r="I89" s="984">
        <v>10911</v>
      </c>
      <c r="J89" s="985">
        <f t="shared" si="2"/>
        <v>1.3207844086672316</v>
      </c>
    </row>
    <row r="90" spans="1:10" s="987" customFormat="1" ht="14.25">
      <c r="A90" s="695">
        <v>83</v>
      </c>
      <c r="B90" s="982"/>
      <c r="C90" s="982"/>
      <c r="D90" s="982" t="s">
        <v>330</v>
      </c>
      <c r="E90" s="982" t="s">
        <v>331</v>
      </c>
      <c r="F90" s="982"/>
      <c r="G90" s="983">
        <v>85516</v>
      </c>
      <c r="H90" s="983">
        <v>85711</v>
      </c>
      <c r="I90" s="984">
        <v>88588</v>
      </c>
      <c r="J90" s="985">
        <f t="shared" si="2"/>
        <v>1.0335662867076572</v>
      </c>
    </row>
    <row r="91" spans="1:10" s="987" customFormat="1" ht="14.25">
      <c r="A91" s="695">
        <v>84</v>
      </c>
      <c r="B91" s="990"/>
      <c r="C91" s="990"/>
      <c r="D91" s="991" t="s">
        <v>251</v>
      </c>
      <c r="E91" s="991"/>
      <c r="F91" s="991" t="s">
        <v>332</v>
      </c>
      <c r="G91" s="992">
        <v>10986</v>
      </c>
      <c r="H91" s="992">
        <v>11101</v>
      </c>
      <c r="I91" s="993">
        <v>13299</v>
      </c>
      <c r="J91" s="994">
        <f t="shared" si="2"/>
        <v>1.1980001801639493</v>
      </c>
    </row>
    <row r="92" spans="1:10" s="987" customFormat="1" ht="14.25">
      <c r="A92" s="695">
        <v>85</v>
      </c>
      <c r="B92" s="990"/>
      <c r="C92" s="990"/>
      <c r="D92" s="991"/>
      <c r="E92" s="991"/>
      <c r="F92" s="991" t="s">
        <v>1142</v>
      </c>
      <c r="G92" s="992">
        <v>0</v>
      </c>
      <c r="H92" s="992">
        <v>0</v>
      </c>
      <c r="I92" s="993">
        <v>0</v>
      </c>
      <c r="J92" s="988" t="s">
        <v>45</v>
      </c>
    </row>
    <row r="93" spans="1:10" s="987" customFormat="1" ht="14.25">
      <c r="A93" s="695">
        <v>86</v>
      </c>
      <c r="B93" s="982"/>
      <c r="C93" s="982"/>
      <c r="D93" s="982" t="s">
        <v>333</v>
      </c>
      <c r="E93" s="982" t="s">
        <v>334</v>
      </c>
      <c r="F93" s="982"/>
      <c r="G93" s="983">
        <v>10835</v>
      </c>
      <c r="H93" s="983">
        <v>11013</v>
      </c>
      <c r="I93" s="984">
        <v>8892</v>
      </c>
      <c r="J93" s="985">
        <f t="shared" si="2"/>
        <v>0.8074094252247344</v>
      </c>
    </row>
    <row r="94" spans="1:10" s="987" customFormat="1" ht="14.25">
      <c r="A94" s="695">
        <v>87</v>
      </c>
      <c r="B94" s="990"/>
      <c r="C94" s="990"/>
      <c r="D94" s="991" t="s">
        <v>251</v>
      </c>
      <c r="E94" s="991"/>
      <c r="F94" s="991" t="s">
        <v>335</v>
      </c>
      <c r="G94" s="992">
        <v>7475</v>
      </c>
      <c r="H94" s="992">
        <v>7572</v>
      </c>
      <c r="I94" s="993">
        <v>5978</v>
      </c>
      <c r="J94" s="994">
        <f t="shared" si="2"/>
        <v>0.7894875858425779</v>
      </c>
    </row>
    <row r="95" spans="1:10" s="987" customFormat="1" ht="14.25">
      <c r="A95" s="695">
        <v>88</v>
      </c>
      <c r="B95" s="982"/>
      <c r="C95" s="982"/>
      <c r="D95" s="982" t="s">
        <v>336</v>
      </c>
      <c r="E95" s="982" t="s">
        <v>337</v>
      </c>
      <c r="F95" s="982"/>
      <c r="G95" s="983">
        <v>695</v>
      </c>
      <c r="H95" s="983">
        <v>829</v>
      </c>
      <c r="I95" s="984">
        <v>1006</v>
      </c>
      <c r="J95" s="985">
        <f t="shared" si="2"/>
        <v>1.2135102533172497</v>
      </c>
    </row>
    <row r="96" spans="1:10" s="987" customFormat="1" ht="14.25">
      <c r="A96" s="695">
        <v>89</v>
      </c>
      <c r="B96" s="990"/>
      <c r="C96" s="990"/>
      <c r="D96" s="991" t="s">
        <v>251</v>
      </c>
      <c r="E96" s="991"/>
      <c r="F96" s="991" t="s">
        <v>338</v>
      </c>
      <c r="G96" s="992">
        <v>0</v>
      </c>
      <c r="H96" s="992">
        <v>0</v>
      </c>
      <c r="I96" s="993">
        <v>0</v>
      </c>
      <c r="J96" s="988" t="s">
        <v>45</v>
      </c>
    </row>
    <row r="97" spans="1:10" s="92" customFormat="1" ht="14.25">
      <c r="A97" s="695">
        <v>90</v>
      </c>
      <c r="B97" s="990"/>
      <c r="C97" s="990"/>
      <c r="D97" s="991"/>
      <c r="E97" s="991"/>
      <c r="F97" s="991" t="s">
        <v>339</v>
      </c>
      <c r="G97" s="992">
        <v>695</v>
      </c>
      <c r="H97" s="992">
        <v>829</v>
      </c>
      <c r="I97" s="993">
        <v>1006</v>
      </c>
      <c r="J97" s="994">
        <f t="shared" si="2"/>
        <v>1.2135102533172497</v>
      </c>
    </row>
    <row r="98" spans="1:10" s="987" customFormat="1" ht="14.25">
      <c r="A98" s="695">
        <v>91</v>
      </c>
      <c r="B98" s="982"/>
      <c r="C98" s="982"/>
      <c r="D98" s="982" t="s">
        <v>340</v>
      </c>
      <c r="E98" s="982" t="s">
        <v>341</v>
      </c>
      <c r="F98" s="982"/>
      <c r="G98" s="983">
        <v>10183</v>
      </c>
      <c r="H98" s="983">
        <v>10183</v>
      </c>
      <c r="I98" s="984">
        <v>7008</v>
      </c>
      <c r="J98" s="985">
        <f t="shared" si="2"/>
        <v>0.6882058332514976</v>
      </c>
    </row>
    <row r="99" spans="1:10" s="987" customFormat="1" ht="14.25">
      <c r="A99" s="695">
        <v>92</v>
      </c>
      <c r="B99" s="982"/>
      <c r="C99" s="982"/>
      <c r="D99" s="982" t="s">
        <v>342</v>
      </c>
      <c r="E99" s="982" t="s">
        <v>343</v>
      </c>
      <c r="F99" s="982"/>
      <c r="G99" s="983">
        <v>23714</v>
      </c>
      <c r="H99" s="983">
        <v>23881</v>
      </c>
      <c r="I99" s="984">
        <v>23135</v>
      </c>
      <c r="J99" s="985">
        <f t="shared" si="2"/>
        <v>0.9687617771450107</v>
      </c>
    </row>
    <row r="100" spans="1:10" s="987" customFormat="1" ht="14.25">
      <c r="A100" s="695">
        <v>93</v>
      </c>
      <c r="B100" s="982"/>
      <c r="C100" s="982"/>
      <c r="D100" s="982" t="s">
        <v>344</v>
      </c>
      <c r="E100" s="982" t="s">
        <v>345</v>
      </c>
      <c r="F100" s="982"/>
      <c r="G100" s="983">
        <v>284628</v>
      </c>
      <c r="H100" s="983">
        <v>77</v>
      </c>
      <c r="I100" s="984">
        <v>0</v>
      </c>
      <c r="J100" s="985">
        <f t="shared" si="2"/>
        <v>0</v>
      </c>
    </row>
    <row r="101" spans="1:10" s="987" customFormat="1" ht="14.25">
      <c r="A101" s="695">
        <v>94</v>
      </c>
      <c r="B101" s="982"/>
      <c r="C101" s="982"/>
      <c r="D101" s="982" t="s">
        <v>346</v>
      </c>
      <c r="E101" s="982" t="s">
        <v>1143</v>
      </c>
      <c r="F101" s="982"/>
      <c r="G101" s="983">
        <v>487</v>
      </c>
      <c r="H101" s="983">
        <v>487</v>
      </c>
      <c r="I101" s="984">
        <v>304</v>
      </c>
      <c r="J101" s="985">
        <f t="shared" si="2"/>
        <v>0.6242299794661191</v>
      </c>
    </row>
    <row r="102" spans="1:10" s="987" customFormat="1" ht="14.25">
      <c r="A102" s="695">
        <v>95</v>
      </c>
      <c r="B102" s="982"/>
      <c r="C102" s="982"/>
      <c r="D102" s="991" t="s">
        <v>251</v>
      </c>
      <c r="E102" s="991"/>
      <c r="F102" s="991" t="s">
        <v>335</v>
      </c>
      <c r="G102" s="983">
        <v>48</v>
      </c>
      <c r="H102" s="983">
        <v>48</v>
      </c>
      <c r="I102" s="984">
        <v>0</v>
      </c>
      <c r="J102" s="985">
        <f t="shared" si="2"/>
        <v>0</v>
      </c>
    </row>
    <row r="103" spans="1:10" s="987" customFormat="1" ht="14.25">
      <c r="A103" s="695">
        <v>96</v>
      </c>
      <c r="B103" s="982"/>
      <c r="C103" s="982"/>
      <c r="D103" s="982" t="s">
        <v>347</v>
      </c>
      <c r="E103" s="982" t="s">
        <v>348</v>
      </c>
      <c r="F103" s="982"/>
      <c r="G103" s="983">
        <v>0</v>
      </c>
      <c r="H103" s="983">
        <v>104</v>
      </c>
      <c r="I103" s="984">
        <v>104</v>
      </c>
      <c r="J103" s="985">
        <f t="shared" si="2"/>
        <v>1</v>
      </c>
    </row>
    <row r="104" spans="1:10" s="987" customFormat="1" ht="14.25">
      <c r="A104" s="695">
        <v>97</v>
      </c>
      <c r="B104" s="982"/>
      <c r="C104" s="982"/>
      <c r="D104" s="982" t="s">
        <v>349</v>
      </c>
      <c r="E104" s="1145" t="s">
        <v>1144</v>
      </c>
      <c r="F104" s="1145"/>
      <c r="G104" s="983">
        <v>0</v>
      </c>
      <c r="H104" s="983">
        <v>54</v>
      </c>
      <c r="I104" s="984">
        <v>104</v>
      </c>
      <c r="J104" s="985">
        <f t="shared" si="2"/>
        <v>1.9259259259259258</v>
      </c>
    </row>
    <row r="105" spans="1:10" s="987" customFormat="1" ht="24" customHeight="1">
      <c r="A105" s="695">
        <v>98</v>
      </c>
      <c r="B105" s="941"/>
      <c r="C105" s="941"/>
      <c r="D105" s="982" t="s">
        <v>1145</v>
      </c>
      <c r="E105" s="1132" t="s">
        <v>1146</v>
      </c>
      <c r="F105" s="1133"/>
      <c r="G105" s="992">
        <v>270</v>
      </c>
      <c r="H105" s="992">
        <v>1133</v>
      </c>
      <c r="I105" s="993">
        <v>3322</v>
      </c>
      <c r="J105" s="985">
        <f t="shared" si="2"/>
        <v>2.9320388349514563</v>
      </c>
    </row>
    <row r="106" spans="1:10" s="987" customFormat="1" ht="45">
      <c r="A106" s="695">
        <v>99</v>
      </c>
      <c r="B106" s="941"/>
      <c r="C106" s="941"/>
      <c r="D106" s="1000" t="s">
        <v>251</v>
      </c>
      <c r="E106" s="999" t="s">
        <v>45</v>
      </c>
      <c r="F106" s="999" t="s">
        <v>1147</v>
      </c>
      <c r="G106" s="992">
        <v>0</v>
      </c>
      <c r="H106" s="992">
        <v>0</v>
      </c>
      <c r="I106" s="993">
        <v>0</v>
      </c>
      <c r="J106" s="988" t="s">
        <v>45</v>
      </c>
    </row>
    <row r="107" spans="1:10" s="987" customFormat="1" ht="14.25">
      <c r="A107" s="695">
        <v>100</v>
      </c>
      <c r="B107" s="990"/>
      <c r="C107" s="990"/>
      <c r="D107" s="990"/>
      <c r="E107" s="991" t="s">
        <v>45</v>
      </c>
      <c r="F107" s="1001" t="s">
        <v>350</v>
      </c>
      <c r="G107" s="992">
        <v>0</v>
      </c>
      <c r="H107" s="992">
        <v>741</v>
      </c>
      <c r="I107" s="993">
        <v>1921</v>
      </c>
      <c r="J107" s="994">
        <f t="shared" si="2"/>
        <v>2.592442645074224</v>
      </c>
    </row>
    <row r="108" spans="1:10" s="92" customFormat="1" ht="14.25">
      <c r="A108" s="695">
        <v>101</v>
      </c>
      <c r="B108" s="974" t="s">
        <v>351</v>
      </c>
      <c r="C108" s="1120" t="s">
        <v>168</v>
      </c>
      <c r="D108" s="1120"/>
      <c r="E108" s="1120"/>
      <c r="F108" s="1120"/>
      <c r="G108" s="975">
        <f>SUM(G109+G110+G112+G113+G114)</f>
        <v>43272</v>
      </c>
      <c r="H108" s="975">
        <f>SUM(H109+H110+H112+H113+H114)</f>
        <v>36892</v>
      </c>
      <c r="I108" s="976">
        <f>SUM(I109+I110+I112+I113+I114)</f>
        <v>8036</v>
      </c>
      <c r="J108" s="977">
        <f t="shared" si="2"/>
        <v>0.21782500271061478</v>
      </c>
    </row>
    <row r="109" spans="1:10" s="987" customFormat="1" ht="14.25">
      <c r="A109" s="695">
        <v>102</v>
      </c>
      <c r="B109" s="979"/>
      <c r="C109" s="979" t="s">
        <v>352</v>
      </c>
      <c r="D109" s="1119" t="s">
        <v>30</v>
      </c>
      <c r="E109" s="1119"/>
      <c r="F109" s="1119"/>
      <c r="G109" s="980">
        <v>0</v>
      </c>
      <c r="H109" s="980">
        <v>0</v>
      </c>
      <c r="I109" s="989">
        <v>0</v>
      </c>
      <c r="J109" s="988" t="s">
        <v>45</v>
      </c>
    </row>
    <row r="110" spans="1:10" s="987" customFormat="1" ht="14.25">
      <c r="A110" s="695">
        <v>103</v>
      </c>
      <c r="B110" s="979"/>
      <c r="C110" s="979" t="s">
        <v>353</v>
      </c>
      <c r="D110" s="1119" t="s">
        <v>354</v>
      </c>
      <c r="E110" s="1119"/>
      <c r="F110" s="1119"/>
      <c r="G110" s="980">
        <v>43272</v>
      </c>
      <c r="H110" s="980">
        <v>36882</v>
      </c>
      <c r="I110" s="989">
        <v>8026</v>
      </c>
      <c r="J110" s="981">
        <f t="shared" si="2"/>
        <v>0.21761292771541674</v>
      </c>
    </row>
    <row r="111" spans="1:10" s="987" customFormat="1" ht="14.25">
      <c r="A111" s="695">
        <v>104</v>
      </c>
      <c r="B111" s="990"/>
      <c r="C111" s="990"/>
      <c r="D111" s="991" t="s">
        <v>251</v>
      </c>
      <c r="E111" s="991" t="s">
        <v>45</v>
      </c>
      <c r="F111" s="991" t="s">
        <v>355</v>
      </c>
      <c r="G111" s="992">
        <v>0</v>
      </c>
      <c r="H111" s="992">
        <v>20</v>
      </c>
      <c r="I111" s="993">
        <v>45</v>
      </c>
      <c r="J111" s="994">
        <f t="shared" si="2"/>
        <v>2.25</v>
      </c>
    </row>
    <row r="112" spans="1:10" s="987" customFormat="1" ht="14.25">
      <c r="A112" s="695">
        <v>105</v>
      </c>
      <c r="B112" s="979"/>
      <c r="C112" s="979" t="s">
        <v>356</v>
      </c>
      <c r="D112" s="1119" t="s">
        <v>357</v>
      </c>
      <c r="E112" s="1119"/>
      <c r="F112" s="1119"/>
      <c r="G112" s="980">
        <v>0</v>
      </c>
      <c r="H112" s="980">
        <v>0</v>
      </c>
      <c r="I112" s="989">
        <v>0</v>
      </c>
      <c r="J112" s="988" t="s">
        <v>45</v>
      </c>
    </row>
    <row r="113" spans="1:10" s="987" customFormat="1" ht="14.25">
      <c r="A113" s="695">
        <v>106</v>
      </c>
      <c r="B113" s="979"/>
      <c r="C113" s="979" t="s">
        <v>358</v>
      </c>
      <c r="D113" s="1119" t="s">
        <v>359</v>
      </c>
      <c r="E113" s="1119"/>
      <c r="F113" s="1119"/>
      <c r="G113" s="980">
        <v>0</v>
      </c>
      <c r="H113" s="980">
        <v>10</v>
      </c>
      <c r="I113" s="989">
        <v>10</v>
      </c>
      <c r="J113" s="994">
        <f t="shared" si="2"/>
        <v>1</v>
      </c>
    </row>
    <row r="114" spans="1:10" s="186" customFormat="1" ht="14.25">
      <c r="A114" s="695">
        <v>107</v>
      </c>
      <c r="B114" s="979"/>
      <c r="C114" s="979" t="s">
        <v>360</v>
      </c>
      <c r="D114" s="1119" t="s">
        <v>361</v>
      </c>
      <c r="E114" s="1119"/>
      <c r="F114" s="1119"/>
      <c r="G114" s="980">
        <v>0</v>
      </c>
      <c r="H114" s="980">
        <v>0</v>
      </c>
      <c r="I114" s="989">
        <v>0</v>
      </c>
      <c r="J114" s="988" t="s">
        <v>45</v>
      </c>
    </row>
    <row r="115" spans="1:10" s="92" customFormat="1" ht="14.25">
      <c r="A115" s="695">
        <v>108</v>
      </c>
      <c r="B115" s="974" t="s">
        <v>362</v>
      </c>
      <c r="C115" s="1120" t="s">
        <v>363</v>
      </c>
      <c r="D115" s="1120"/>
      <c r="E115" s="1120"/>
      <c r="F115" s="1120"/>
      <c r="G115" s="975">
        <f>SUM(G116+G119+G129)</f>
        <v>21668</v>
      </c>
      <c r="H115" s="975">
        <f>SUM(H116+H119+H129)</f>
        <v>24778</v>
      </c>
      <c r="I115" s="976">
        <f>SUM(I116+I119+I129)</f>
        <v>3110</v>
      </c>
      <c r="J115" s="977">
        <f t="shared" si="2"/>
        <v>0.1255145693760594</v>
      </c>
    </row>
    <row r="116" spans="1:10" s="92" customFormat="1" ht="14.25">
      <c r="A116" s="695">
        <v>109</v>
      </c>
      <c r="B116" s="979"/>
      <c r="C116" s="979" t="s">
        <v>364</v>
      </c>
      <c r="D116" s="1119" t="s">
        <v>365</v>
      </c>
      <c r="E116" s="1119"/>
      <c r="F116" s="1119"/>
      <c r="G116" s="980">
        <v>0</v>
      </c>
      <c r="H116" s="980">
        <v>0</v>
      </c>
      <c r="I116" s="989">
        <v>0</v>
      </c>
      <c r="J116" s="988" t="s">
        <v>45</v>
      </c>
    </row>
    <row r="117" spans="1:10" s="92" customFormat="1" ht="14.25">
      <c r="A117" s="695">
        <v>110</v>
      </c>
      <c r="B117" s="979"/>
      <c r="C117" s="979" t="s">
        <v>366</v>
      </c>
      <c r="D117" s="1119" t="s">
        <v>1148</v>
      </c>
      <c r="E117" s="1119"/>
      <c r="F117" s="1119"/>
      <c r="G117" s="980">
        <v>0</v>
      </c>
      <c r="H117" s="980">
        <v>0</v>
      </c>
      <c r="I117" s="989">
        <v>0</v>
      </c>
      <c r="J117" s="988" t="s">
        <v>45</v>
      </c>
    </row>
    <row r="118" spans="1:10" s="92" customFormat="1" ht="14.25">
      <c r="A118" s="695">
        <v>111</v>
      </c>
      <c r="B118" s="979"/>
      <c r="C118" s="979" t="s">
        <v>378</v>
      </c>
      <c r="D118" s="1119" t="s">
        <v>1149</v>
      </c>
      <c r="E118" s="1119"/>
      <c r="F118" s="1119"/>
      <c r="G118" s="980">
        <v>0</v>
      </c>
      <c r="H118" s="980">
        <v>0</v>
      </c>
      <c r="I118" s="989">
        <v>0</v>
      </c>
      <c r="J118" s="988" t="s">
        <v>45</v>
      </c>
    </row>
    <row r="119" spans="1:10" s="186" customFormat="1" ht="14.25">
      <c r="A119" s="695">
        <v>112</v>
      </c>
      <c r="B119" s="979"/>
      <c r="C119" s="979" t="s">
        <v>1150</v>
      </c>
      <c r="D119" s="1119" t="s">
        <v>367</v>
      </c>
      <c r="E119" s="1119"/>
      <c r="F119" s="1119"/>
      <c r="G119" s="980">
        <f>SUM(G120:G128)</f>
        <v>21668</v>
      </c>
      <c r="H119" s="980">
        <f>SUM(H120:H128)</f>
        <v>24547</v>
      </c>
      <c r="I119" s="980">
        <f>SUM(I120:I128)</f>
        <v>2879</v>
      </c>
      <c r="J119" s="981">
        <f t="shared" si="2"/>
        <v>0.11728520796838718</v>
      </c>
    </row>
    <row r="120" spans="1:10" s="92" customFormat="1" ht="14.25">
      <c r="A120" s="695">
        <v>113</v>
      </c>
      <c r="B120" s="941"/>
      <c r="C120" s="941"/>
      <c r="D120" s="991" t="s">
        <v>251</v>
      </c>
      <c r="E120" s="991" t="s">
        <v>252</v>
      </c>
      <c r="F120" s="991" t="s">
        <v>368</v>
      </c>
      <c r="G120" s="992">
        <v>0</v>
      </c>
      <c r="H120" s="992">
        <v>0</v>
      </c>
      <c r="I120" s="993">
        <v>0</v>
      </c>
      <c r="J120" s="988" t="s">
        <v>45</v>
      </c>
    </row>
    <row r="121" spans="1:10" s="92" customFormat="1" ht="14.25">
      <c r="A121" s="695">
        <v>114</v>
      </c>
      <c r="B121" s="941"/>
      <c r="C121" s="941"/>
      <c r="D121" s="991"/>
      <c r="E121" s="991" t="s">
        <v>254</v>
      </c>
      <c r="F121" s="991" t="s">
        <v>647</v>
      </c>
      <c r="G121" s="992">
        <v>7000</v>
      </c>
      <c r="H121" s="992">
        <v>7000</v>
      </c>
      <c r="I121" s="993">
        <v>0</v>
      </c>
      <c r="J121" s="981">
        <f t="shared" si="2"/>
        <v>0</v>
      </c>
    </row>
    <row r="122" spans="1:10" ht="14.25">
      <c r="A122" s="695">
        <v>115</v>
      </c>
      <c r="B122" s="941"/>
      <c r="C122" s="941"/>
      <c r="D122" s="991"/>
      <c r="E122" s="991" t="s">
        <v>256</v>
      </c>
      <c r="F122" s="991" t="s">
        <v>369</v>
      </c>
      <c r="G122" s="992">
        <v>0</v>
      </c>
      <c r="H122" s="992">
        <v>0</v>
      </c>
      <c r="I122" s="993">
        <v>0</v>
      </c>
      <c r="J122" s="988" t="s">
        <v>45</v>
      </c>
    </row>
    <row r="123" spans="1:10" ht="14.25">
      <c r="A123" s="695">
        <v>116</v>
      </c>
      <c r="B123" s="941"/>
      <c r="C123" s="941"/>
      <c r="D123" s="991"/>
      <c r="E123" s="991" t="s">
        <v>258</v>
      </c>
      <c r="F123" s="991" t="s">
        <v>370</v>
      </c>
      <c r="G123" s="992">
        <v>0</v>
      </c>
      <c r="H123" s="992">
        <v>0</v>
      </c>
      <c r="I123" s="993">
        <v>0</v>
      </c>
      <c r="J123" s="988" t="s">
        <v>45</v>
      </c>
    </row>
    <row r="124" spans="1:10" ht="14.25">
      <c r="A124" s="695">
        <v>117</v>
      </c>
      <c r="B124" s="941"/>
      <c r="C124" s="941"/>
      <c r="D124" s="991"/>
      <c r="E124" s="991" t="s">
        <v>260</v>
      </c>
      <c r="F124" s="991" t="s">
        <v>371</v>
      </c>
      <c r="G124" s="992">
        <v>0</v>
      </c>
      <c r="H124" s="992">
        <v>0</v>
      </c>
      <c r="I124" s="993">
        <v>0</v>
      </c>
      <c r="J124" s="988" t="s">
        <v>45</v>
      </c>
    </row>
    <row r="125" spans="1:10" ht="14.25">
      <c r="A125" s="695">
        <v>118</v>
      </c>
      <c r="B125" s="941"/>
      <c r="C125" s="941"/>
      <c r="D125" s="991"/>
      <c r="E125" s="991" t="s">
        <v>262</v>
      </c>
      <c r="F125" s="991" t="s">
        <v>372</v>
      </c>
      <c r="G125" s="992">
        <v>0</v>
      </c>
      <c r="H125" s="992">
        <v>0</v>
      </c>
      <c r="I125" s="993">
        <v>0</v>
      </c>
      <c r="J125" s="988" t="s">
        <v>45</v>
      </c>
    </row>
    <row r="126" spans="1:10" ht="14.25">
      <c r="A126" s="695">
        <v>119</v>
      </c>
      <c r="B126" s="941"/>
      <c r="C126" s="941"/>
      <c r="D126" s="991"/>
      <c r="E126" s="991" t="s">
        <v>264</v>
      </c>
      <c r="F126" s="991" t="s">
        <v>373</v>
      </c>
      <c r="G126" s="992">
        <v>0</v>
      </c>
      <c r="H126" s="992">
        <v>2879</v>
      </c>
      <c r="I126" s="993">
        <v>2879</v>
      </c>
      <c r="J126" s="994">
        <f>I126/H126</f>
        <v>1</v>
      </c>
    </row>
    <row r="127" spans="1:10" ht="14.25">
      <c r="A127" s="695">
        <v>120</v>
      </c>
      <c r="B127" s="941"/>
      <c r="C127" s="941"/>
      <c r="D127" s="991"/>
      <c r="E127" s="991" t="s">
        <v>266</v>
      </c>
      <c r="F127" s="991" t="s">
        <v>374</v>
      </c>
      <c r="G127" s="992">
        <v>14668</v>
      </c>
      <c r="H127" s="992">
        <v>14668</v>
      </c>
      <c r="I127" s="993">
        <v>0</v>
      </c>
      <c r="J127" s="981">
        <f t="shared" si="2"/>
        <v>0</v>
      </c>
    </row>
    <row r="128" spans="1:10" ht="14.25">
      <c r="A128" s="695">
        <v>121</v>
      </c>
      <c r="B128" s="941"/>
      <c r="C128" s="941"/>
      <c r="D128" s="991"/>
      <c r="E128" s="991" t="s">
        <v>268</v>
      </c>
      <c r="F128" s="991" t="s">
        <v>1151</v>
      </c>
      <c r="G128" s="992">
        <v>0</v>
      </c>
      <c r="H128" s="992">
        <v>0</v>
      </c>
      <c r="I128" s="993">
        <v>0</v>
      </c>
      <c r="J128" s="988" t="s">
        <v>45</v>
      </c>
    </row>
    <row r="129" spans="1:10" ht="14.25">
      <c r="A129" s="695">
        <v>122</v>
      </c>
      <c r="B129" s="979"/>
      <c r="C129" s="979" t="s">
        <v>1152</v>
      </c>
      <c r="D129" s="1119" t="s">
        <v>379</v>
      </c>
      <c r="E129" s="1119"/>
      <c r="F129" s="1119"/>
      <c r="G129" s="980">
        <v>0</v>
      </c>
      <c r="H129" s="980">
        <v>231</v>
      </c>
      <c r="I129" s="989">
        <v>231</v>
      </c>
      <c r="J129" s="994">
        <f>I129/H129</f>
        <v>1</v>
      </c>
    </row>
    <row r="130" spans="1:10" ht="14.25">
      <c r="A130" s="695">
        <v>123</v>
      </c>
      <c r="B130" s="974" t="s">
        <v>380</v>
      </c>
      <c r="C130" s="1120" t="s">
        <v>381</v>
      </c>
      <c r="D130" s="1120"/>
      <c r="E130" s="1120"/>
      <c r="F130" s="1120"/>
      <c r="G130" s="975">
        <f>SUM(G131:G135)</f>
        <v>212941</v>
      </c>
      <c r="H130" s="975">
        <f>SUM(H131:H135)</f>
        <v>216458</v>
      </c>
      <c r="I130" s="976">
        <f>SUM(I131:I135)</f>
        <v>24706</v>
      </c>
      <c r="J130" s="977">
        <f t="shared" si="2"/>
        <v>0.11413761561134261</v>
      </c>
    </row>
    <row r="131" spans="1:10" ht="14.25">
      <c r="A131" s="695">
        <v>124</v>
      </c>
      <c r="B131" s="979"/>
      <c r="C131" s="979" t="s">
        <v>382</v>
      </c>
      <c r="D131" s="1119" t="s">
        <v>383</v>
      </c>
      <c r="E131" s="1119"/>
      <c r="F131" s="1119"/>
      <c r="G131" s="980">
        <v>0</v>
      </c>
      <c r="H131" s="980">
        <v>0</v>
      </c>
      <c r="I131" s="989">
        <v>0</v>
      </c>
      <c r="J131" s="988" t="s">
        <v>45</v>
      </c>
    </row>
    <row r="132" spans="1:10" ht="14.25">
      <c r="A132" s="695">
        <v>125</v>
      </c>
      <c r="B132" s="979"/>
      <c r="C132" s="979" t="s">
        <v>384</v>
      </c>
      <c r="D132" s="1119" t="s">
        <v>1153</v>
      </c>
      <c r="E132" s="1119"/>
      <c r="F132" s="1119"/>
      <c r="G132" s="980">
        <v>0</v>
      </c>
      <c r="H132" s="980">
        <v>0</v>
      </c>
      <c r="I132" s="989">
        <v>0</v>
      </c>
      <c r="J132" s="988" t="s">
        <v>45</v>
      </c>
    </row>
    <row r="133" spans="1:10" ht="14.25">
      <c r="A133" s="695">
        <v>126</v>
      </c>
      <c r="B133" s="979"/>
      <c r="C133" s="979" t="s">
        <v>386</v>
      </c>
      <c r="D133" s="1119" t="s">
        <v>1154</v>
      </c>
      <c r="E133" s="1119"/>
      <c r="F133" s="1119"/>
      <c r="G133" s="980">
        <v>0</v>
      </c>
      <c r="H133" s="980">
        <v>0</v>
      </c>
      <c r="I133" s="989">
        <v>0</v>
      </c>
      <c r="J133" s="988" t="s">
        <v>45</v>
      </c>
    </row>
    <row r="134" spans="1:10" ht="14.25">
      <c r="A134" s="695">
        <v>127</v>
      </c>
      <c r="B134" s="941"/>
      <c r="C134" s="979" t="s">
        <v>1155</v>
      </c>
      <c r="D134" s="1119" t="s">
        <v>385</v>
      </c>
      <c r="E134" s="1119"/>
      <c r="F134" s="1119"/>
      <c r="G134" s="980">
        <v>40540</v>
      </c>
      <c r="H134" s="980">
        <v>40540</v>
      </c>
      <c r="I134" s="989">
        <v>0</v>
      </c>
      <c r="J134" s="981">
        <f t="shared" si="2"/>
        <v>0</v>
      </c>
    </row>
    <row r="135" spans="1:10" ht="14.25">
      <c r="A135" s="695">
        <v>128</v>
      </c>
      <c r="B135" s="941"/>
      <c r="C135" s="979" t="s">
        <v>1156</v>
      </c>
      <c r="D135" s="1119" t="s">
        <v>387</v>
      </c>
      <c r="E135" s="1119"/>
      <c r="F135" s="1119"/>
      <c r="G135" s="980">
        <v>172401</v>
      </c>
      <c r="H135" s="980">
        <v>175918</v>
      </c>
      <c r="I135" s="989">
        <v>24706</v>
      </c>
      <c r="J135" s="981">
        <f t="shared" si="2"/>
        <v>0.14044043247422094</v>
      </c>
    </row>
    <row r="136" spans="1:10" ht="16.5">
      <c r="A136" s="695">
        <v>129</v>
      </c>
      <c r="B136" s="1124" t="s">
        <v>653</v>
      </c>
      <c r="C136" s="1125"/>
      <c r="D136" s="1125"/>
      <c r="E136" s="1125"/>
      <c r="F136" s="1126"/>
      <c r="G136" s="1002">
        <f>SUM(G137)</f>
        <v>4850</v>
      </c>
      <c r="H136" s="1002">
        <f>SUM(H137)</f>
        <v>263423</v>
      </c>
      <c r="I136" s="1002">
        <f>SUM(I137)</f>
        <v>273007</v>
      </c>
      <c r="J136" s="1003">
        <f t="shared" si="2"/>
        <v>1.0363825482209224</v>
      </c>
    </row>
    <row r="137" spans="1:10" ht="14.25">
      <c r="A137" s="695">
        <v>130</v>
      </c>
      <c r="B137" s="974" t="s">
        <v>388</v>
      </c>
      <c r="C137" s="1120" t="s">
        <v>389</v>
      </c>
      <c r="D137" s="1120"/>
      <c r="E137" s="1120"/>
      <c r="F137" s="1120"/>
      <c r="G137" s="975">
        <f>SUM(G138+G153+G154)</f>
        <v>4850</v>
      </c>
      <c r="H137" s="975">
        <f>SUM(H138+H153+H154)</f>
        <v>263423</v>
      </c>
      <c r="I137" s="976">
        <f>SUM(I138+I153+I154)</f>
        <v>273007</v>
      </c>
      <c r="J137" s="977">
        <f t="shared" si="2"/>
        <v>1.0363825482209224</v>
      </c>
    </row>
    <row r="138" spans="1:10" ht="14.25">
      <c r="A138" s="695">
        <v>131</v>
      </c>
      <c r="B138" s="941"/>
      <c r="C138" s="979" t="s">
        <v>390</v>
      </c>
      <c r="D138" s="1119" t="s">
        <v>391</v>
      </c>
      <c r="E138" s="1119"/>
      <c r="F138" s="1119"/>
      <c r="G138" s="980">
        <f>SUM(G139+G143+G144+G147+G148+G149+G150+G151)</f>
        <v>4850</v>
      </c>
      <c r="H138" s="980">
        <f>SUM(H139+H143+H144+H147+H148+H149+H150+H151)</f>
        <v>263423</v>
      </c>
      <c r="I138" s="989">
        <f>SUM(I139+I143+I144+I147+I148+I149+I150+I151)</f>
        <v>273007</v>
      </c>
      <c r="J138" s="981">
        <f t="shared" si="2"/>
        <v>1.0363825482209224</v>
      </c>
    </row>
    <row r="139" spans="1:10" s="92" customFormat="1" ht="14.25">
      <c r="A139" s="695">
        <v>132</v>
      </c>
      <c r="B139" s="982"/>
      <c r="C139" s="982"/>
      <c r="D139" s="982" t="s">
        <v>392</v>
      </c>
      <c r="E139" s="982" t="s">
        <v>393</v>
      </c>
      <c r="F139" s="982"/>
      <c r="G139" s="983">
        <f>SUM(G140:G142)</f>
        <v>0</v>
      </c>
      <c r="H139" s="983">
        <f>SUM(H140:H142)</f>
        <v>123644</v>
      </c>
      <c r="I139" s="984">
        <f>SUM(I140:I142)</f>
        <v>123644</v>
      </c>
      <c r="J139" s="981">
        <f t="shared" si="2"/>
        <v>1</v>
      </c>
    </row>
    <row r="140" spans="1:10" ht="14.25">
      <c r="A140" s="695">
        <v>133</v>
      </c>
      <c r="B140" s="1004"/>
      <c r="C140" s="1004"/>
      <c r="D140" s="1004"/>
      <c r="E140" s="1004" t="s">
        <v>394</v>
      </c>
      <c r="F140" s="1004" t="s">
        <v>1157</v>
      </c>
      <c r="G140" s="1005"/>
      <c r="H140" s="1005">
        <v>0</v>
      </c>
      <c r="I140" s="1006">
        <v>0</v>
      </c>
      <c r="J140" s="988" t="s">
        <v>45</v>
      </c>
    </row>
    <row r="141" spans="1:10" ht="14.25">
      <c r="A141" s="695">
        <v>134</v>
      </c>
      <c r="B141" s="1004"/>
      <c r="C141" s="1004"/>
      <c r="D141" s="1004"/>
      <c r="E141" s="1004" t="s">
        <v>395</v>
      </c>
      <c r="F141" s="1004" t="s">
        <v>396</v>
      </c>
      <c r="G141" s="1005">
        <v>0</v>
      </c>
      <c r="H141" s="1005">
        <v>123644</v>
      </c>
      <c r="I141" s="1006">
        <v>123644</v>
      </c>
      <c r="J141" s="981">
        <f t="shared" si="2"/>
        <v>1</v>
      </c>
    </row>
    <row r="142" spans="1:10" ht="14.25">
      <c r="A142" s="695">
        <v>135</v>
      </c>
      <c r="B142" s="1004"/>
      <c r="C142" s="1004"/>
      <c r="D142" s="1004"/>
      <c r="E142" s="1004" t="s">
        <v>397</v>
      </c>
      <c r="F142" s="1004" t="s">
        <v>1158</v>
      </c>
      <c r="G142" s="1005">
        <v>0</v>
      </c>
      <c r="H142" s="1005">
        <v>0</v>
      </c>
      <c r="I142" s="1006">
        <v>0</v>
      </c>
      <c r="J142" s="988" t="s">
        <v>45</v>
      </c>
    </row>
    <row r="143" spans="1:10" ht="14.25">
      <c r="A143" s="695">
        <v>136</v>
      </c>
      <c r="B143" s="982"/>
      <c r="C143" s="982"/>
      <c r="D143" s="982" t="s">
        <v>398</v>
      </c>
      <c r="E143" s="982" t="s">
        <v>399</v>
      </c>
      <c r="F143" s="982"/>
      <c r="G143" s="983">
        <v>0</v>
      </c>
      <c r="H143" s="983">
        <v>0</v>
      </c>
      <c r="I143" s="984">
        <v>0</v>
      </c>
      <c r="J143" s="988" t="s">
        <v>45</v>
      </c>
    </row>
    <row r="144" spans="1:10" ht="14.25">
      <c r="A144" s="695">
        <v>137</v>
      </c>
      <c r="B144" s="982"/>
      <c r="C144" s="982"/>
      <c r="D144" s="982" t="s">
        <v>400</v>
      </c>
      <c r="E144" s="982" t="s">
        <v>401</v>
      </c>
      <c r="F144" s="982"/>
      <c r="G144" s="983">
        <f>SUM(G145:G146)</f>
        <v>4850</v>
      </c>
      <c r="H144" s="983">
        <f>SUM(H145:H146)</f>
        <v>139779</v>
      </c>
      <c r="I144" s="983">
        <f>SUM(I145:I146)</f>
        <v>131727</v>
      </c>
      <c r="J144" s="981">
        <f t="shared" si="2"/>
        <v>0.9423947803318095</v>
      </c>
    </row>
    <row r="145" spans="1:10" ht="14.25">
      <c r="A145" s="695">
        <v>138</v>
      </c>
      <c r="B145" s="1004"/>
      <c r="C145" s="1004"/>
      <c r="D145" s="1004"/>
      <c r="E145" s="1004" t="s">
        <v>402</v>
      </c>
      <c r="F145" s="1004" t="s">
        <v>403</v>
      </c>
      <c r="G145" s="1005">
        <v>4850</v>
      </c>
      <c r="H145" s="1005">
        <v>139779</v>
      </c>
      <c r="I145" s="1005">
        <f>139779-10830+2778</f>
        <v>131727</v>
      </c>
      <c r="J145" s="981">
        <f>I145/H145</f>
        <v>0.9423947803318095</v>
      </c>
    </row>
    <row r="146" spans="1:10" ht="14.25">
      <c r="A146" s="695">
        <v>139</v>
      </c>
      <c r="B146" s="1004"/>
      <c r="C146" s="1004"/>
      <c r="D146" s="1004"/>
      <c r="E146" s="1004" t="s">
        <v>404</v>
      </c>
      <c r="F146" s="1004" t="s">
        <v>405</v>
      </c>
      <c r="G146" s="1005">
        <v>0</v>
      </c>
      <c r="H146" s="1005">
        <v>0</v>
      </c>
      <c r="I146" s="1006">
        <v>0</v>
      </c>
      <c r="J146" s="988" t="s">
        <v>45</v>
      </c>
    </row>
    <row r="147" spans="1:10" ht="14.25">
      <c r="A147" s="695">
        <v>140</v>
      </c>
      <c r="B147" s="982"/>
      <c r="C147" s="982"/>
      <c r="D147" s="982" t="s">
        <v>406</v>
      </c>
      <c r="E147" s="982" t="s">
        <v>407</v>
      </c>
      <c r="F147" s="982"/>
      <c r="G147" s="983">
        <v>0</v>
      </c>
      <c r="H147" s="983">
        <v>0</v>
      </c>
      <c r="I147" s="984">
        <v>17636</v>
      </c>
      <c r="J147" s="988" t="s">
        <v>45</v>
      </c>
    </row>
    <row r="148" spans="1:10" ht="14.25">
      <c r="A148" s="695">
        <v>141</v>
      </c>
      <c r="B148" s="982"/>
      <c r="C148" s="982"/>
      <c r="D148" s="982" t="s">
        <v>408</v>
      </c>
      <c r="E148" s="982" t="s">
        <v>409</v>
      </c>
      <c r="F148" s="982"/>
      <c r="G148" s="983">
        <v>0</v>
      </c>
      <c r="H148" s="983">
        <v>0</v>
      </c>
      <c r="I148" s="984">
        <v>0</v>
      </c>
      <c r="J148" s="988" t="s">
        <v>45</v>
      </c>
    </row>
    <row r="149" spans="1:10" ht="14.25">
      <c r="A149" s="695">
        <v>142</v>
      </c>
      <c r="B149" s="982"/>
      <c r="C149" s="982"/>
      <c r="D149" s="982" t="s">
        <v>410</v>
      </c>
      <c r="E149" s="982" t="s">
        <v>411</v>
      </c>
      <c r="F149" s="982"/>
      <c r="G149" s="983">
        <v>0</v>
      </c>
      <c r="H149" s="983">
        <v>0</v>
      </c>
      <c r="I149" s="984">
        <v>0</v>
      </c>
      <c r="J149" s="988" t="s">
        <v>45</v>
      </c>
    </row>
    <row r="150" spans="1:10" ht="14.25">
      <c r="A150" s="695">
        <v>143</v>
      </c>
      <c r="B150" s="982"/>
      <c r="C150" s="982"/>
      <c r="D150" s="982" t="s">
        <v>412</v>
      </c>
      <c r="E150" s="982" t="s">
        <v>1159</v>
      </c>
      <c r="F150" s="982"/>
      <c r="G150" s="983">
        <v>0</v>
      </c>
      <c r="H150" s="983">
        <v>0</v>
      </c>
      <c r="I150" s="984">
        <v>0</v>
      </c>
      <c r="J150" s="988" t="s">
        <v>45</v>
      </c>
    </row>
    <row r="151" spans="1:10" ht="14.25">
      <c r="A151" s="695">
        <v>144</v>
      </c>
      <c r="B151" s="982"/>
      <c r="C151" s="982"/>
      <c r="D151" s="982" t="s">
        <v>414</v>
      </c>
      <c r="E151" s="982" t="s">
        <v>415</v>
      </c>
      <c r="F151" s="982"/>
      <c r="G151" s="983">
        <v>0</v>
      </c>
      <c r="H151" s="983">
        <v>0</v>
      </c>
      <c r="I151" s="984">
        <v>0</v>
      </c>
      <c r="J151" s="988" t="s">
        <v>45</v>
      </c>
    </row>
    <row r="152" spans="1:10" ht="14.25">
      <c r="A152" s="695">
        <v>145</v>
      </c>
      <c r="B152" s="982"/>
      <c r="C152" s="982"/>
      <c r="D152" s="982" t="s">
        <v>1160</v>
      </c>
      <c r="E152" s="982" t="s">
        <v>1161</v>
      </c>
      <c r="F152" s="982"/>
      <c r="G152" s="983">
        <v>0</v>
      </c>
      <c r="H152" s="983">
        <v>0</v>
      </c>
      <c r="I152" s="984">
        <v>0</v>
      </c>
      <c r="J152" s="988" t="s">
        <v>45</v>
      </c>
    </row>
    <row r="153" spans="1:10" s="92" customFormat="1" ht="14.25">
      <c r="A153" s="695">
        <v>146</v>
      </c>
      <c r="B153" s="941"/>
      <c r="C153" s="979" t="s">
        <v>416</v>
      </c>
      <c r="D153" s="1119" t="s">
        <v>417</v>
      </c>
      <c r="E153" s="1119"/>
      <c r="F153" s="1119"/>
      <c r="G153" s="980">
        <v>0</v>
      </c>
      <c r="H153" s="980">
        <v>0</v>
      </c>
      <c r="I153" s="989">
        <v>0</v>
      </c>
      <c r="J153" s="988" t="s">
        <v>45</v>
      </c>
    </row>
    <row r="154" spans="1:10" s="978" customFormat="1" ht="18" customHeight="1">
      <c r="A154" s="695">
        <v>147</v>
      </c>
      <c r="B154" s="941"/>
      <c r="C154" s="979" t="s">
        <v>418</v>
      </c>
      <c r="D154" s="1119" t="s">
        <v>419</v>
      </c>
      <c r="E154" s="1119"/>
      <c r="F154" s="1119"/>
      <c r="G154" s="980">
        <v>0</v>
      </c>
      <c r="H154" s="980">
        <v>0</v>
      </c>
      <c r="I154" s="989">
        <v>0</v>
      </c>
      <c r="J154" s="988" t="s">
        <v>45</v>
      </c>
    </row>
    <row r="155" spans="1:10" s="186" customFormat="1" ht="14.25">
      <c r="A155" s="695">
        <v>148</v>
      </c>
      <c r="B155" s="941"/>
      <c r="C155" s="979" t="s">
        <v>1162</v>
      </c>
      <c r="D155" s="1119" t="s">
        <v>1163</v>
      </c>
      <c r="E155" s="1119"/>
      <c r="F155" s="1119"/>
      <c r="G155" s="288">
        <v>0</v>
      </c>
      <c r="H155" s="264">
        <v>0</v>
      </c>
      <c r="I155" s="757">
        <v>0</v>
      </c>
      <c r="J155" s="988" t="s">
        <v>45</v>
      </c>
    </row>
    <row r="156" spans="1:10" s="1011" customFormat="1" ht="18.75">
      <c r="A156" s="1007">
        <v>149</v>
      </c>
      <c r="B156" s="1134" t="s">
        <v>654</v>
      </c>
      <c r="C156" s="1134"/>
      <c r="D156" s="1134"/>
      <c r="E156" s="1134"/>
      <c r="F156" s="1134"/>
      <c r="G156" s="1008">
        <f>SUM(G137+G130+G115+G108+G88+G60+G44+G11)</f>
        <v>2688791</v>
      </c>
      <c r="H156" s="1008">
        <f>SUM(H137+H130+H115+H108+H88+H60+H44+H11)</f>
        <v>2748399</v>
      </c>
      <c r="I156" s="1009">
        <f>SUM(I137+I130+I115+I108+I88+I60+I44+I11)</f>
        <v>2536448</v>
      </c>
      <c r="J156" s="1010">
        <f>I156/H156</f>
        <v>0.922882012400674</v>
      </c>
    </row>
    <row r="157" spans="1:10" s="978" customFormat="1" ht="18" customHeight="1">
      <c r="A157" s="653"/>
      <c r="B157" s="225"/>
      <c r="C157" s="225"/>
      <c r="D157" s="225"/>
      <c r="E157" s="225"/>
      <c r="F157" s="225"/>
      <c r="G157" s="225"/>
      <c r="H157" s="225"/>
      <c r="I157" s="1012"/>
      <c r="J157" s="225"/>
    </row>
    <row r="158" spans="1:10" s="186" customFormat="1" ht="14.25">
      <c r="A158" s="185"/>
      <c r="B158" s="225"/>
      <c r="C158" s="225"/>
      <c r="D158" s="225"/>
      <c r="E158" s="225"/>
      <c r="F158" s="225"/>
      <c r="G158" s="225"/>
      <c r="H158" s="225"/>
      <c r="I158" s="1012"/>
      <c r="J158" s="225"/>
    </row>
    <row r="159" spans="1:10" s="966" customFormat="1" ht="14.25">
      <c r="A159" s="653"/>
      <c r="B159" s="225"/>
      <c r="C159" s="225"/>
      <c r="D159" s="225"/>
      <c r="E159" s="225"/>
      <c r="F159" s="225"/>
      <c r="G159" s="225"/>
      <c r="H159" s="225"/>
      <c r="I159" s="1012"/>
      <c r="J159" s="225"/>
    </row>
    <row r="160" spans="1:10" s="978" customFormat="1" ht="18" customHeight="1">
      <c r="A160" s="653"/>
      <c r="B160" s="225"/>
      <c r="C160" s="225"/>
      <c r="D160" s="225"/>
      <c r="E160" s="225"/>
      <c r="F160" s="225"/>
      <c r="G160" s="225"/>
      <c r="H160" s="225"/>
      <c r="I160" s="1012"/>
      <c r="J160" s="225"/>
    </row>
    <row r="161" spans="1:10" s="186" customFormat="1" ht="14.25">
      <c r="A161" s="185"/>
      <c r="B161" s="225"/>
      <c r="C161" s="225"/>
      <c r="D161" s="225"/>
      <c r="E161" s="225"/>
      <c r="F161" s="225"/>
      <c r="G161" s="225"/>
      <c r="H161" s="225"/>
      <c r="I161" s="1012"/>
      <c r="J161" s="225"/>
    </row>
    <row r="162" spans="1:10" s="186" customFormat="1" ht="14.25">
      <c r="A162" s="185"/>
      <c r="B162" s="225"/>
      <c r="C162" s="225"/>
      <c r="D162" s="225"/>
      <c r="E162" s="225"/>
      <c r="F162" s="225"/>
      <c r="G162" s="225"/>
      <c r="H162" s="225"/>
      <c r="I162" s="1012"/>
      <c r="J162" s="225"/>
    </row>
    <row r="163" spans="1:10" s="966" customFormat="1" ht="14.25">
      <c r="A163" s="653"/>
      <c r="B163" s="225"/>
      <c r="C163" s="225"/>
      <c r="D163" s="225"/>
      <c r="E163" s="225"/>
      <c r="F163" s="225"/>
      <c r="G163" s="225"/>
      <c r="H163" s="225"/>
      <c r="I163" s="1012"/>
      <c r="J163" s="225"/>
    </row>
    <row r="164" spans="1:10" s="978" customFormat="1" ht="18" customHeight="1">
      <c r="A164" s="653"/>
      <c r="B164" s="225"/>
      <c r="C164" s="225"/>
      <c r="D164" s="225"/>
      <c r="E164" s="225"/>
      <c r="F164" s="225"/>
      <c r="G164" s="225"/>
      <c r="H164" s="225"/>
      <c r="I164" s="1012"/>
      <c r="J164" s="225"/>
    </row>
    <row r="165" spans="1:10" s="186" customFormat="1" ht="14.25">
      <c r="A165" s="185"/>
      <c r="B165" s="225"/>
      <c r="C165" s="225"/>
      <c r="D165" s="225"/>
      <c r="E165" s="225"/>
      <c r="F165" s="225"/>
      <c r="G165" s="225"/>
      <c r="H165" s="225"/>
      <c r="I165" s="1012"/>
      <c r="J165" s="225"/>
    </row>
    <row r="166" spans="1:10" s="186" customFormat="1" ht="14.25">
      <c r="A166" s="185"/>
      <c r="B166" s="225"/>
      <c r="C166" s="225"/>
      <c r="D166" s="225"/>
      <c r="E166" s="225"/>
      <c r="F166" s="225"/>
      <c r="G166" s="225"/>
      <c r="H166" s="225"/>
      <c r="I166" s="1012"/>
      <c r="J166" s="225"/>
    </row>
    <row r="167" spans="1:10" s="978" customFormat="1" ht="18" customHeight="1">
      <c r="A167" s="653"/>
      <c r="B167" s="225"/>
      <c r="C167" s="225"/>
      <c r="D167" s="225"/>
      <c r="E167" s="225"/>
      <c r="F167" s="225"/>
      <c r="G167" s="225"/>
      <c r="H167" s="225"/>
      <c r="I167" s="1012"/>
      <c r="J167" s="225"/>
    </row>
    <row r="168" spans="1:10" s="186" customFormat="1" ht="14.25">
      <c r="A168" s="185"/>
      <c r="B168" s="225"/>
      <c r="C168" s="225"/>
      <c r="D168" s="225"/>
      <c r="E168" s="225"/>
      <c r="F168" s="225"/>
      <c r="G168" s="225"/>
      <c r="H168" s="225"/>
      <c r="I168" s="1012"/>
      <c r="J168" s="225"/>
    </row>
    <row r="169" spans="1:10" s="186" customFormat="1" ht="14.25">
      <c r="A169" s="185"/>
      <c r="B169" s="225"/>
      <c r="C169" s="225"/>
      <c r="D169" s="225"/>
      <c r="E169" s="225"/>
      <c r="F169" s="225"/>
      <c r="G169" s="225"/>
      <c r="H169" s="225"/>
      <c r="I169" s="1012"/>
      <c r="J169" s="225"/>
    </row>
    <row r="170" spans="1:10" s="186" customFormat="1" ht="15.75" customHeight="1">
      <c r="A170" s="185"/>
      <c r="B170" s="225"/>
      <c r="C170" s="225"/>
      <c r="D170" s="225"/>
      <c r="E170" s="225"/>
      <c r="F170" s="225"/>
      <c r="G170" s="225"/>
      <c r="H170" s="225"/>
      <c r="I170" s="1012"/>
      <c r="J170" s="225"/>
    </row>
    <row r="171" spans="1:10" s="1014" customFormat="1" ht="16.5">
      <c r="A171" s="1013"/>
      <c r="B171" s="225"/>
      <c r="C171" s="225"/>
      <c r="D171" s="225"/>
      <c r="E171" s="225"/>
      <c r="F171" s="225"/>
      <c r="G171" s="225"/>
      <c r="H171" s="225"/>
      <c r="I171" s="1012"/>
      <c r="J171" s="225"/>
    </row>
  </sheetData>
  <sheetProtection/>
  <mergeCells count="60">
    <mergeCell ref="D133:F133"/>
    <mergeCell ref="D155:F155"/>
    <mergeCell ref="D138:F138"/>
    <mergeCell ref="D153:F153"/>
    <mergeCell ref="D154:F154"/>
    <mergeCell ref="C137:F137"/>
    <mergeCell ref="A5:A7"/>
    <mergeCell ref="B5:F6"/>
    <mergeCell ref="B7:F7"/>
    <mergeCell ref="B8:F8"/>
    <mergeCell ref="C9:F9"/>
    <mergeCell ref="C130:F130"/>
    <mergeCell ref="C88:F88"/>
    <mergeCell ref="E104:F104"/>
    <mergeCell ref="D116:F116"/>
    <mergeCell ref="D119:F119"/>
    <mergeCell ref="E105:F105"/>
    <mergeCell ref="B156:F156"/>
    <mergeCell ref="D131:F131"/>
    <mergeCell ref="D134:F134"/>
    <mergeCell ref="D135:F135"/>
    <mergeCell ref="D132:F132"/>
    <mergeCell ref="D129:F129"/>
    <mergeCell ref="C108:F108"/>
    <mergeCell ref="D109:F109"/>
    <mergeCell ref="D110:F110"/>
    <mergeCell ref="D112:F112"/>
    <mergeCell ref="D113:F113"/>
    <mergeCell ref="D117:F117"/>
    <mergeCell ref="D118:F118"/>
    <mergeCell ref="D114:F114"/>
    <mergeCell ref="C115:F115"/>
    <mergeCell ref="D62:F62"/>
    <mergeCell ref="D63:F63"/>
    <mergeCell ref="D64:F64"/>
    <mergeCell ref="D67:F67"/>
    <mergeCell ref="D78:F78"/>
    <mergeCell ref="D47:F47"/>
    <mergeCell ref="D48:F48"/>
    <mergeCell ref="D49:F49"/>
    <mergeCell ref="C60:F60"/>
    <mergeCell ref="D61:F61"/>
    <mergeCell ref="D45:F45"/>
    <mergeCell ref="D46:F46"/>
    <mergeCell ref="D12:F12"/>
    <mergeCell ref="C10:F10"/>
    <mergeCell ref="B136:F136"/>
    <mergeCell ref="G1:J1"/>
    <mergeCell ref="B2:J2"/>
    <mergeCell ref="C11:F11"/>
    <mergeCell ref="F3:H3"/>
    <mergeCell ref="G6:H6"/>
    <mergeCell ref="I5:I6"/>
    <mergeCell ref="J5:J6"/>
    <mergeCell ref="D21:F21"/>
    <mergeCell ref="D32:F32"/>
    <mergeCell ref="D33:F33"/>
    <mergeCell ref="C44:F44"/>
    <mergeCell ref="D19:F19"/>
    <mergeCell ref="D20:F20"/>
  </mergeCells>
  <printOptions horizontalCentered="1"/>
  <pageMargins left="0.3937007874015748" right="0.3937007874015748" top="0.984251968503937" bottom="0.3937007874015748" header="0.1968503937007874" footer="0.1968503937007874"/>
  <pageSetup horizontalDpi="600" verticalDpi="600" orientation="portrait" paperSize="9" scale="59" r:id="rId1"/>
  <headerFooter alignWithMargins="0">
    <oddHeader>&amp;C&amp;P</oddHeader>
  </headerFooter>
  <rowBreaks count="2" manualBreakCount="2">
    <brk id="77" max="9" man="1"/>
    <brk id="156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625" style="229" bestFit="1" customWidth="1"/>
    <col min="2" max="2" width="81.875" style="104" customWidth="1"/>
    <col min="3" max="3" width="13.875" style="106" customWidth="1"/>
    <col min="4" max="6" width="15.875" style="101" customWidth="1"/>
    <col min="7" max="16384" width="9.125" style="101" customWidth="1"/>
  </cols>
  <sheetData>
    <row r="1" spans="2:5" ht="15">
      <c r="B1" s="103"/>
      <c r="C1" s="148" t="s">
        <v>1481</v>
      </c>
      <c r="D1" s="100"/>
      <c r="E1" s="100"/>
    </row>
    <row r="2" spans="2:6" ht="15">
      <c r="B2" s="103"/>
      <c r="C2" s="105"/>
      <c r="D2" s="99"/>
      <c r="E2" s="99"/>
      <c r="F2" s="99"/>
    </row>
    <row r="3" spans="1:6" ht="16.5" customHeight="1">
      <c r="A3" s="1286" t="s">
        <v>79</v>
      </c>
      <c r="B3" s="1286"/>
      <c r="C3" s="1286"/>
      <c r="D3" s="108"/>
      <c r="E3" s="108"/>
      <c r="F3" s="108"/>
    </row>
    <row r="4" spans="1:6" ht="16.5">
      <c r="A4" s="1286" t="s">
        <v>1277</v>
      </c>
      <c r="B4" s="1286"/>
      <c r="C4" s="1286"/>
      <c r="D4" s="108"/>
      <c r="E4" s="108"/>
      <c r="F4" s="108"/>
    </row>
    <row r="5" spans="1:6" ht="16.5">
      <c r="A5" s="230"/>
      <c r="B5" s="98"/>
      <c r="C5" s="98"/>
      <c r="D5" s="108"/>
      <c r="E5" s="108"/>
      <c r="F5" s="108"/>
    </row>
    <row r="6" spans="1:6" ht="17.25" thickBot="1">
      <c r="A6" s="230"/>
      <c r="B6" s="98"/>
      <c r="C6" s="97" t="s">
        <v>6</v>
      </c>
      <c r="D6" s="108"/>
      <c r="E6" s="108"/>
      <c r="F6" s="108"/>
    </row>
    <row r="7" spans="1:3" ht="15">
      <c r="A7" s="1291" t="s">
        <v>220</v>
      </c>
      <c r="B7" s="233" t="s">
        <v>11</v>
      </c>
      <c r="C7" s="234" t="s">
        <v>44</v>
      </c>
    </row>
    <row r="8" spans="1:3" s="90" customFormat="1" ht="12.75" thickBot="1">
      <c r="A8" s="1292"/>
      <c r="B8" s="235" t="s">
        <v>221</v>
      </c>
      <c r="C8" s="236" t="s">
        <v>222</v>
      </c>
    </row>
    <row r="9" spans="1:3" ht="15">
      <c r="A9" s="232" t="s">
        <v>91</v>
      </c>
      <c r="B9" s="1287" t="s">
        <v>77</v>
      </c>
      <c r="C9" s="1288"/>
    </row>
    <row r="10" spans="1:3" ht="15">
      <c r="A10" s="232" t="s">
        <v>92</v>
      </c>
      <c r="B10" s="231" t="s">
        <v>165</v>
      </c>
      <c r="C10" s="239">
        <v>5924</v>
      </c>
    </row>
    <row r="11" spans="1:3" ht="30">
      <c r="A11" s="232" t="s">
        <v>93</v>
      </c>
      <c r="B11" s="231" t="s">
        <v>154</v>
      </c>
      <c r="C11" s="239">
        <v>3472</v>
      </c>
    </row>
    <row r="12" spans="1:3" ht="15">
      <c r="A12" s="232" t="s">
        <v>94</v>
      </c>
      <c r="B12" s="231" t="s">
        <v>1263</v>
      </c>
      <c r="C12" s="239">
        <v>511</v>
      </c>
    </row>
    <row r="13" spans="1:3" ht="15">
      <c r="A13" s="232" t="s">
        <v>95</v>
      </c>
      <c r="B13" s="231" t="s">
        <v>1264</v>
      </c>
      <c r="C13" s="239">
        <v>43</v>
      </c>
    </row>
    <row r="14" spans="1:3" ht="15">
      <c r="A14" s="232" t="s">
        <v>96</v>
      </c>
      <c r="B14" s="231" t="s">
        <v>1265</v>
      </c>
      <c r="C14" s="239">
        <v>17636</v>
      </c>
    </row>
    <row r="15" spans="1:3" ht="15">
      <c r="A15" s="232" t="s">
        <v>74</v>
      </c>
      <c r="B15" s="231" t="s">
        <v>1266</v>
      </c>
      <c r="C15" s="239">
        <v>4477</v>
      </c>
    </row>
    <row r="16" spans="1:3" ht="30">
      <c r="A16" s="342" t="s">
        <v>97</v>
      </c>
      <c r="B16" s="231" t="s">
        <v>1267</v>
      </c>
      <c r="C16" s="239">
        <v>49</v>
      </c>
    </row>
    <row r="17" spans="1:3" ht="15">
      <c r="A17" s="232" t="s">
        <v>98</v>
      </c>
      <c r="B17" s="231" t="s">
        <v>1268</v>
      </c>
      <c r="C17" s="239">
        <v>608</v>
      </c>
    </row>
    <row r="18" spans="1:3" ht="15.75" customHeight="1">
      <c r="A18" s="232" t="s">
        <v>99</v>
      </c>
      <c r="B18" s="231" t="s">
        <v>1270</v>
      </c>
      <c r="C18" s="239">
        <v>187</v>
      </c>
    </row>
    <row r="19" spans="1:3" ht="15">
      <c r="A19" s="232" t="s">
        <v>100</v>
      </c>
      <c r="B19" s="231" t="s">
        <v>1269</v>
      </c>
      <c r="C19" s="239">
        <v>4582</v>
      </c>
    </row>
    <row r="20" spans="1:3" ht="15" customHeight="1">
      <c r="A20" s="232" t="s">
        <v>101</v>
      </c>
      <c r="B20" s="231" t="s">
        <v>1440</v>
      </c>
      <c r="C20" s="239">
        <v>4260</v>
      </c>
    </row>
    <row r="21" spans="1:3" ht="16.5" customHeight="1">
      <c r="A21" s="232" t="s">
        <v>102</v>
      </c>
      <c r="B21" s="231" t="s">
        <v>1271</v>
      </c>
      <c r="C21" s="239">
        <v>920</v>
      </c>
    </row>
    <row r="22" spans="1:3" ht="17.25" customHeight="1">
      <c r="A22" s="232" t="s">
        <v>103</v>
      </c>
      <c r="B22" s="231" t="s">
        <v>1272</v>
      </c>
      <c r="C22" s="239">
        <v>2000</v>
      </c>
    </row>
    <row r="23" spans="1:3" ht="17.25" customHeight="1">
      <c r="A23" s="232" t="s">
        <v>104</v>
      </c>
      <c r="B23" s="231" t="s">
        <v>1273</v>
      </c>
      <c r="C23" s="239">
        <v>4763</v>
      </c>
    </row>
    <row r="24" spans="1:3" ht="20.25" customHeight="1">
      <c r="A24" s="232" t="s">
        <v>105</v>
      </c>
      <c r="B24" s="231" t="s">
        <v>1275</v>
      </c>
      <c r="C24" s="239">
        <v>192</v>
      </c>
    </row>
    <row r="25" spans="1:3" ht="31.5" customHeight="1">
      <c r="A25" s="342" t="s">
        <v>106</v>
      </c>
      <c r="B25" s="231" t="s">
        <v>1274</v>
      </c>
      <c r="C25" s="239">
        <v>22265</v>
      </c>
    </row>
    <row r="26" spans="1:3" ht="45.75" customHeight="1">
      <c r="A26" s="232" t="s">
        <v>107</v>
      </c>
      <c r="B26" s="231" t="s">
        <v>1439</v>
      </c>
      <c r="C26" s="239">
        <v>2686</v>
      </c>
    </row>
    <row r="27" spans="1:3" s="102" customFormat="1" ht="15.75" thickBot="1">
      <c r="A27" s="232" t="s">
        <v>108</v>
      </c>
      <c r="B27" s="237" t="s">
        <v>78</v>
      </c>
      <c r="C27" s="240">
        <f>SUM(C10:C26)</f>
        <v>74575</v>
      </c>
    </row>
    <row r="28" spans="1:3" ht="15">
      <c r="A28" s="232" t="s">
        <v>109</v>
      </c>
      <c r="B28" s="1287" t="s">
        <v>2</v>
      </c>
      <c r="C28" s="1288"/>
    </row>
    <row r="29" spans="1:3" ht="15">
      <c r="A29" s="232" t="s">
        <v>162</v>
      </c>
      <c r="B29" s="231" t="s">
        <v>1268</v>
      </c>
      <c r="C29" s="239">
        <v>292</v>
      </c>
    </row>
    <row r="30" spans="1:3" ht="15">
      <c r="A30" s="232" t="s">
        <v>163</v>
      </c>
      <c r="B30" s="813" t="s">
        <v>1278</v>
      </c>
      <c r="C30" s="814">
        <v>1</v>
      </c>
    </row>
    <row r="31" spans="1:3" s="102" customFormat="1" ht="15.75" thickBot="1">
      <c r="A31" s="232" t="s">
        <v>164</v>
      </c>
      <c r="B31" s="238" t="s">
        <v>55</v>
      </c>
      <c r="C31" s="325">
        <f>SUM(C29:C30)</f>
        <v>293</v>
      </c>
    </row>
    <row r="32" spans="1:3" ht="15">
      <c r="A32" s="232" t="s">
        <v>1441</v>
      </c>
      <c r="B32" s="1289" t="s">
        <v>172</v>
      </c>
      <c r="C32" s="1290"/>
    </row>
    <row r="33" spans="1:3" ht="15">
      <c r="A33" s="232" t="s">
        <v>110</v>
      </c>
      <c r="B33" s="231"/>
      <c r="C33" s="343">
        <v>0</v>
      </c>
    </row>
    <row r="34" spans="1:3" s="102" customFormat="1" ht="15.75" customHeight="1" thickBot="1">
      <c r="A34" s="1041" t="s">
        <v>111</v>
      </c>
      <c r="B34" s="328" t="s">
        <v>172</v>
      </c>
      <c r="C34" s="107">
        <f>SUM(C33:C33)</f>
        <v>0</v>
      </c>
    </row>
    <row r="35" spans="1:3" ht="16.5" thickBot="1">
      <c r="A35" s="1042" t="s">
        <v>112</v>
      </c>
      <c r="B35" s="326" t="s">
        <v>1276</v>
      </c>
      <c r="C35" s="327">
        <f>SUM(C27,C31,C34)</f>
        <v>74868</v>
      </c>
    </row>
  </sheetData>
  <sheetProtection/>
  <mergeCells count="6">
    <mergeCell ref="A3:C3"/>
    <mergeCell ref="B9:C9"/>
    <mergeCell ref="B32:C32"/>
    <mergeCell ref="A4:C4"/>
    <mergeCell ref="A7:A8"/>
    <mergeCell ref="B28:C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L79"/>
  <sheetViews>
    <sheetView zoomScalePageLayoutView="0" workbookViewId="0" topLeftCell="A1">
      <selection activeCell="A2" sqref="A2"/>
    </sheetView>
  </sheetViews>
  <sheetFormatPr defaultColWidth="8.875" defaultRowHeight="12.75"/>
  <cols>
    <col min="1" max="1" width="4.625" style="851" customWidth="1"/>
    <col min="2" max="2" width="36.125" style="225" customWidth="1"/>
    <col min="3" max="3" width="15.00390625" style="225" customWidth="1"/>
    <col min="4" max="4" width="10.00390625" style="225" customWidth="1"/>
    <col min="5" max="5" width="11.875" style="225" customWidth="1"/>
    <col min="6" max="6" width="11.75390625" style="225" customWidth="1"/>
    <col min="7" max="7" width="11.25390625" style="225" customWidth="1"/>
    <col min="8" max="8" width="11.75390625" style="225" customWidth="1"/>
    <col min="9" max="10" width="15.375" style="225" customWidth="1"/>
    <col min="11" max="11" width="16.625" style="225" customWidth="1"/>
    <col min="12" max="12" width="15.375" style="225" customWidth="1"/>
    <col min="13" max="16384" width="8.875" style="59" customWidth="1"/>
  </cols>
  <sheetData>
    <row r="1" spans="1:12" ht="15.75">
      <c r="A1" s="1340" t="s">
        <v>1482</v>
      </c>
      <c r="B1" s="1340"/>
      <c r="C1" s="1340"/>
      <c r="D1" s="1340"/>
      <c r="E1" s="1340"/>
      <c r="F1" s="1340"/>
      <c r="G1" s="1340"/>
      <c r="H1" s="1340"/>
      <c r="I1" s="1340"/>
      <c r="J1" s="1340"/>
      <c r="K1" s="1340"/>
      <c r="L1" s="1340"/>
    </row>
    <row r="2" ht="15" customHeight="1"/>
    <row r="3" spans="1:11" s="61" customFormat="1" ht="34.5" customHeight="1">
      <c r="A3" s="851"/>
      <c r="B3" s="1341" t="s">
        <v>1380</v>
      </c>
      <c r="C3" s="1341"/>
      <c r="D3" s="1341"/>
      <c r="E3" s="1341"/>
      <c r="F3" s="1341"/>
      <c r="G3" s="1341"/>
      <c r="H3" s="1341"/>
      <c r="I3" s="1341"/>
      <c r="J3" s="1341"/>
      <c r="K3" s="1341"/>
    </row>
    <row r="4" spans="1:12" s="61" customFormat="1" ht="15" customHeight="1">
      <c r="A4" s="851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1:12" s="63" customFormat="1" ht="13.5" thickBot="1">
      <c r="A5" s="851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s="62" customFormat="1" ht="15" customHeight="1">
      <c r="A6" s="1342" t="s">
        <v>220</v>
      </c>
      <c r="B6" s="1345" t="s">
        <v>11</v>
      </c>
      <c r="C6" s="1348" t="s">
        <v>1381</v>
      </c>
      <c r="D6" s="1349"/>
      <c r="E6" s="1349"/>
      <c r="F6" s="1349"/>
      <c r="G6" s="1349"/>
      <c r="H6" s="1350"/>
      <c r="I6" s="1301" t="s">
        <v>1382</v>
      </c>
      <c r="J6" s="1301" t="s">
        <v>1420</v>
      </c>
      <c r="K6" s="1301" t="s">
        <v>1383</v>
      </c>
      <c r="L6" s="1304" t="s">
        <v>1421</v>
      </c>
    </row>
    <row r="7" spans="1:12" s="61" customFormat="1" ht="15">
      <c r="A7" s="1343"/>
      <c r="B7" s="1346"/>
      <c r="C7" s="1351" t="s">
        <v>1384</v>
      </c>
      <c r="D7" s="1352" t="s">
        <v>1385</v>
      </c>
      <c r="E7" s="1353"/>
      <c r="F7" s="1353"/>
      <c r="G7" s="1353"/>
      <c r="H7" s="1354"/>
      <c r="I7" s="1302"/>
      <c r="J7" s="1302"/>
      <c r="K7" s="1302"/>
      <c r="L7" s="1305"/>
    </row>
    <row r="8" spans="1:12" s="63" customFormat="1" ht="19.5" customHeight="1">
      <c r="A8" s="1344"/>
      <c r="B8" s="1347"/>
      <c r="C8" s="1351"/>
      <c r="D8" s="875" t="s">
        <v>1386</v>
      </c>
      <c r="E8" s="875" t="s">
        <v>1387</v>
      </c>
      <c r="F8" s="875" t="s">
        <v>1388</v>
      </c>
      <c r="G8" s="875" t="s">
        <v>1389</v>
      </c>
      <c r="H8" s="876" t="s">
        <v>1252</v>
      </c>
      <c r="I8" s="1303"/>
      <c r="J8" s="1303"/>
      <c r="K8" s="1303"/>
      <c r="L8" s="1306"/>
    </row>
    <row r="9" spans="1:12" s="63" customFormat="1" ht="15" customHeight="1">
      <c r="A9" s="1050" t="s">
        <v>221</v>
      </c>
      <c r="B9" s="1058" t="s">
        <v>222</v>
      </c>
      <c r="C9" s="1059" t="s">
        <v>223</v>
      </c>
      <c r="D9" s="193" t="s">
        <v>224</v>
      </c>
      <c r="E9" s="876" t="s">
        <v>225</v>
      </c>
      <c r="F9" s="876" t="s">
        <v>226</v>
      </c>
      <c r="G9" s="876" t="s">
        <v>227</v>
      </c>
      <c r="H9" s="876" t="s">
        <v>228</v>
      </c>
      <c r="I9" s="1060" t="s">
        <v>229</v>
      </c>
      <c r="J9" s="1061" t="s">
        <v>118</v>
      </c>
      <c r="K9" s="1062" t="s">
        <v>119</v>
      </c>
      <c r="L9" s="1063" t="s">
        <v>120</v>
      </c>
    </row>
    <row r="10" spans="1:12" s="63" customFormat="1" ht="15" customHeight="1">
      <c r="A10" s="852"/>
      <c r="B10" s="853"/>
      <c r="C10" s="1065"/>
      <c r="D10" s="1065"/>
      <c r="E10" s="1065"/>
      <c r="F10" s="1065"/>
      <c r="G10" s="1065"/>
      <c r="H10" s="1065"/>
      <c r="I10" s="1056"/>
      <c r="J10" s="1056"/>
      <c r="K10" s="1057"/>
      <c r="L10" s="1064"/>
    </row>
    <row r="11" spans="1:12" s="63" customFormat="1" ht="16.5" thickBot="1">
      <c r="A11" s="855">
        <v>1</v>
      </c>
      <c r="B11" s="1337" t="s">
        <v>1390</v>
      </c>
      <c r="C11" s="1338"/>
      <c r="D11" s="1338"/>
      <c r="E11" s="1338"/>
      <c r="F11" s="1338"/>
      <c r="G11" s="1338"/>
      <c r="H11" s="1338"/>
      <c r="I11" s="1339"/>
      <c r="J11" s="1066"/>
      <c r="K11" s="1067"/>
      <c r="L11" s="1068"/>
    </row>
    <row r="12" spans="1:12" s="63" customFormat="1" ht="15" customHeight="1">
      <c r="A12" s="855">
        <v>2</v>
      </c>
      <c r="B12" s="877" t="s">
        <v>1391</v>
      </c>
      <c r="C12" s="878">
        <f>SUM(H12+G12+F12+E12+D12)</f>
        <v>0</v>
      </c>
      <c r="D12" s="879"/>
      <c r="E12" s="879"/>
      <c r="F12" s="879"/>
      <c r="G12" s="879"/>
      <c r="H12" s="879"/>
      <c r="I12" s="880"/>
      <c r="J12" s="880"/>
      <c r="K12" s="880"/>
      <c r="L12" s="895"/>
    </row>
    <row r="13" spans="1:12" s="63" customFormat="1" ht="13.5" thickBot="1">
      <c r="A13" s="855">
        <v>3</v>
      </c>
      <c r="B13" s="881" t="s">
        <v>1392</v>
      </c>
      <c r="C13" s="882">
        <f>SUM(H13+G13+F13+E13+D13)</f>
        <v>21900</v>
      </c>
      <c r="D13" s="883"/>
      <c r="E13" s="264"/>
      <c r="F13" s="264">
        <v>2670</v>
      </c>
      <c r="G13" s="264">
        <v>19230</v>
      </c>
      <c r="H13" s="264"/>
      <c r="I13" s="884">
        <v>12456</v>
      </c>
      <c r="J13" s="884">
        <v>12409</v>
      </c>
      <c r="K13" s="884"/>
      <c r="L13" s="904"/>
    </row>
    <row r="14" spans="1:12" s="63" customFormat="1" ht="13.5" thickBot="1">
      <c r="A14" s="855">
        <v>4</v>
      </c>
      <c r="B14" s="885" t="s">
        <v>1393</v>
      </c>
      <c r="C14" s="886">
        <f>SUM(H14+G14+F14+E14+D14)</f>
        <v>21900</v>
      </c>
      <c r="D14" s="887">
        <f aca="true" t="shared" si="0" ref="D14:L14">SUM(D12+D13)</f>
        <v>0</v>
      </c>
      <c r="E14" s="887">
        <f t="shared" si="0"/>
        <v>0</v>
      </c>
      <c r="F14" s="887">
        <f t="shared" si="0"/>
        <v>2670</v>
      </c>
      <c r="G14" s="887">
        <f t="shared" si="0"/>
        <v>19230</v>
      </c>
      <c r="H14" s="888">
        <f t="shared" si="0"/>
        <v>0</v>
      </c>
      <c r="I14" s="889">
        <f t="shared" si="0"/>
        <v>12456</v>
      </c>
      <c r="J14" s="889">
        <f t="shared" si="0"/>
        <v>12409</v>
      </c>
      <c r="K14" s="889">
        <f t="shared" si="0"/>
        <v>0</v>
      </c>
      <c r="L14" s="1043">
        <f t="shared" si="0"/>
        <v>0</v>
      </c>
    </row>
    <row r="15" spans="1:12" s="63" customFormat="1" ht="15" customHeight="1" thickBot="1">
      <c r="A15" s="855"/>
      <c r="B15" s="1322"/>
      <c r="C15" s="1323"/>
      <c r="D15" s="1324"/>
      <c r="E15" s="1324"/>
      <c r="F15" s="1324"/>
      <c r="G15" s="1324"/>
      <c r="H15" s="1324"/>
      <c r="I15" s="1325"/>
      <c r="J15" s="890"/>
      <c r="K15" s="891"/>
      <c r="L15" s="1044"/>
    </row>
    <row r="16" spans="1:12" s="63" customFormat="1" ht="12.75">
      <c r="A16" s="856">
        <v>5</v>
      </c>
      <c r="B16" s="892" t="s">
        <v>1394</v>
      </c>
      <c r="C16" s="893">
        <f>SUM(D16:H16)</f>
        <v>2000</v>
      </c>
      <c r="D16" s="894"/>
      <c r="E16" s="264"/>
      <c r="F16" s="264"/>
      <c r="G16" s="264">
        <v>2000</v>
      </c>
      <c r="H16" s="264"/>
      <c r="I16" s="880"/>
      <c r="J16" s="880"/>
      <c r="K16" s="880"/>
      <c r="L16" s="895"/>
    </row>
    <row r="17" spans="1:12" s="63" customFormat="1" ht="12.75">
      <c r="A17" s="856">
        <v>6</v>
      </c>
      <c r="B17" s="892" t="s">
        <v>1395</v>
      </c>
      <c r="C17" s="896">
        <f>SUM(D17:H17)</f>
        <v>0</v>
      </c>
      <c r="D17" s="894"/>
      <c r="E17" s="894"/>
      <c r="F17" s="894"/>
      <c r="G17" s="894"/>
      <c r="H17" s="894"/>
      <c r="I17" s="897"/>
      <c r="J17" s="897"/>
      <c r="K17" s="897"/>
      <c r="L17" s="898"/>
    </row>
    <row r="18" spans="1:12" s="63" customFormat="1" ht="15" customHeight="1">
      <c r="A18" s="856">
        <v>7</v>
      </c>
      <c r="B18" s="899" t="s">
        <v>1396</v>
      </c>
      <c r="C18" s="896">
        <f>SUM(D18:H18)</f>
        <v>6100</v>
      </c>
      <c r="D18" s="900"/>
      <c r="E18" s="900"/>
      <c r="F18" s="264">
        <v>1200</v>
      </c>
      <c r="G18" s="264">
        <v>4900</v>
      </c>
      <c r="H18" s="894"/>
      <c r="I18" s="901"/>
      <c r="J18" s="901"/>
      <c r="K18" s="901">
        <v>5818</v>
      </c>
      <c r="L18" s="902">
        <v>5605</v>
      </c>
    </row>
    <row r="19" spans="1:12" s="63" customFormat="1" ht="12.75">
      <c r="A19" s="856">
        <v>8</v>
      </c>
      <c r="B19" s="903" t="s">
        <v>1397</v>
      </c>
      <c r="C19" s="896">
        <f>SUM(D19:H19)</f>
        <v>13800</v>
      </c>
      <c r="D19" s="900"/>
      <c r="E19" s="900"/>
      <c r="F19" s="757">
        <v>1470</v>
      </c>
      <c r="G19" s="264">
        <v>12330</v>
      </c>
      <c r="H19" s="264"/>
      <c r="I19" s="884"/>
      <c r="J19" s="884"/>
      <c r="K19" s="884"/>
      <c r="L19" s="904"/>
    </row>
    <row r="20" spans="1:12" s="63" customFormat="1" ht="13.5" thickBot="1">
      <c r="A20" s="856">
        <v>9</v>
      </c>
      <c r="B20" s="903" t="s">
        <v>1398</v>
      </c>
      <c r="C20" s="905">
        <f>SUM(D20:H20)</f>
        <v>0</v>
      </c>
      <c r="D20" s="906"/>
      <c r="E20" s="906"/>
      <c r="F20" s="906"/>
      <c r="G20" s="906"/>
      <c r="H20" s="906"/>
      <c r="I20" s="907"/>
      <c r="J20" s="907"/>
      <c r="K20" s="907">
        <v>2</v>
      </c>
      <c r="L20" s="908">
        <v>0</v>
      </c>
    </row>
    <row r="21" spans="1:12" s="63" customFormat="1" ht="15" customHeight="1" thickBot="1">
      <c r="A21" s="857">
        <v>10</v>
      </c>
      <c r="B21" s="909" t="s">
        <v>1399</v>
      </c>
      <c r="C21" s="910">
        <f aca="true" t="shared" si="1" ref="C21:L21">SUM(C16:C20)</f>
        <v>21900</v>
      </c>
      <c r="D21" s="911">
        <f t="shared" si="1"/>
        <v>0</v>
      </c>
      <c r="E21" s="911">
        <f t="shared" si="1"/>
        <v>0</v>
      </c>
      <c r="F21" s="911">
        <f t="shared" si="1"/>
        <v>2670</v>
      </c>
      <c r="G21" s="911">
        <f t="shared" si="1"/>
        <v>19230</v>
      </c>
      <c r="H21" s="911">
        <f t="shared" si="1"/>
        <v>0</v>
      </c>
      <c r="I21" s="912">
        <f t="shared" si="1"/>
        <v>0</v>
      </c>
      <c r="J21" s="912">
        <f t="shared" si="1"/>
        <v>0</v>
      </c>
      <c r="K21" s="912">
        <f t="shared" si="1"/>
        <v>5820</v>
      </c>
      <c r="L21" s="1045">
        <f t="shared" si="1"/>
        <v>5605</v>
      </c>
    </row>
    <row r="22" spans="1:12" s="63" customFormat="1" ht="14.25" thickBot="1" thickTop="1">
      <c r="A22" s="858"/>
      <c r="B22" s="1326"/>
      <c r="C22" s="1327"/>
      <c r="D22" s="1327"/>
      <c r="E22" s="1327"/>
      <c r="F22" s="1327"/>
      <c r="G22" s="1327"/>
      <c r="H22" s="1327"/>
      <c r="I22" s="1327"/>
      <c r="J22" s="1327"/>
      <c r="K22" s="1327"/>
      <c r="L22" s="866"/>
    </row>
    <row r="23" spans="1:12" s="63" customFormat="1" ht="17.25" thickBot="1" thickTop="1">
      <c r="A23" s="859">
        <v>11</v>
      </c>
      <c r="B23" s="1328" t="s">
        <v>1400</v>
      </c>
      <c r="C23" s="1329"/>
      <c r="D23" s="1329"/>
      <c r="E23" s="1329"/>
      <c r="F23" s="1329"/>
      <c r="G23" s="1329"/>
      <c r="H23" s="1329"/>
      <c r="I23" s="1330"/>
      <c r="J23" s="913"/>
      <c r="K23" s="914"/>
      <c r="L23" s="915"/>
    </row>
    <row r="24" spans="1:12" ht="15" customHeight="1">
      <c r="A24" s="855">
        <v>12</v>
      </c>
      <c r="B24" s="877" t="s">
        <v>1401</v>
      </c>
      <c r="C24" s="916">
        <v>189679</v>
      </c>
      <c r="D24" s="1331">
        <v>61656</v>
      </c>
      <c r="E24" s="1331">
        <v>120570</v>
      </c>
      <c r="F24" s="1331">
        <v>63867</v>
      </c>
      <c r="G24" s="1333"/>
      <c r="H24" s="1335"/>
      <c r="I24" s="880">
        <f>172401+35888</f>
        <v>208289</v>
      </c>
      <c r="J24" s="880">
        <v>21189</v>
      </c>
      <c r="K24" s="880"/>
      <c r="L24" s="895"/>
    </row>
    <row r="25" spans="1:12" ht="15.75">
      <c r="A25" s="855">
        <v>13</v>
      </c>
      <c r="B25" s="881" t="s">
        <v>1402</v>
      </c>
      <c r="C25" s="917">
        <v>56414</v>
      </c>
      <c r="D25" s="1332"/>
      <c r="E25" s="1332"/>
      <c r="F25" s="1332"/>
      <c r="G25" s="1334"/>
      <c r="H25" s="1336"/>
      <c r="I25" s="884">
        <f>850+9</f>
        <v>859</v>
      </c>
      <c r="J25" s="884">
        <v>86</v>
      </c>
      <c r="K25" s="884"/>
      <c r="L25" s="904"/>
    </row>
    <row r="26" spans="1:12" ht="15.75">
      <c r="A26" s="860">
        <v>14</v>
      </c>
      <c r="B26" s="881" t="s">
        <v>1403</v>
      </c>
      <c r="C26" s="918">
        <v>2791977</v>
      </c>
      <c r="D26" s="919">
        <v>699507</v>
      </c>
      <c r="E26" s="264">
        <v>1367887</v>
      </c>
      <c r="F26" s="264">
        <v>724583</v>
      </c>
      <c r="G26" s="264"/>
      <c r="H26" s="264"/>
      <c r="I26" s="884">
        <v>560125</v>
      </c>
      <c r="J26" s="884">
        <v>593984</v>
      </c>
      <c r="K26" s="884"/>
      <c r="L26" s="904"/>
    </row>
    <row r="27" spans="1:12" ht="16.5" thickBot="1">
      <c r="A27" s="855">
        <v>15</v>
      </c>
      <c r="B27" s="881" t="s">
        <v>1404</v>
      </c>
      <c r="C27" s="920"/>
      <c r="D27" s="883"/>
      <c r="E27" s="921"/>
      <c r="F27" s="921"/>
      <c r="G27" s="921"/>
      <c r="H27" s="921"/>
      <c r="I27" s="922"/>
      <c r="J27" s="922"/>
      <c r="K27" s="907"/>
      <c r="L27" s="908"/>
    </row>
    <row r="28" spans="1:12" ht="16.5" thickBot="1">
      <c r="A28" s="855">
        <v>16</v>
      </c>
      <c r="B28" s="885" t="s">
        <v>1393</v>
      </c>
      <c r="C28" s="886">
        <f>SUM(C24:C27)</f>
        <v>3038070</v>
      </c>
      <c r="D28" s="887">
        <f aca="true" t="shared" si="2" ref="D28:L28">SUM(D24:D27)</f>
        <v>761163</v>
      </c>
      <c r="E28" s="887">
        <f t="shared" si="2"/>
        <v>1488457</v>
      </c>
      <c r="F28" s="887">
        <f t="shared" si="2"/>
        <v>788450</v>
      </c>
      <c r="G28" s="887">
        <f t="shared" si="2"/>
        <v>0</v>
      </c>
      <c r="H28" s="887">
        <f t="shared" si="2"/>
        <v>0</v>
      </c>
      <c r="I28" s="889">
        <f t="shared" si="2"/>
        <v>769273</v>
      </c>
      <c r="J28" s="889">
        <f t="shared" si="2"/>
        <v>615259</v>
      </c>
      <c r="K28" s="889">
        <f t="shared" si="2"/>
        <v>0</v>
      </c>
      <c r="L28" s="1043">
        <f t="shared" si="2"/>
        <v>0</v>
      </c>
    </row>
    <row r="29" spans="1:12" ht="16.5" thickBot="1">
      <c r="A29" s="855"/>
      <c r="B29" s="1298"/>
      <c r="C29" s="1299"/>
      <c r="D29" s="1299"/>
      <c r="E29" s="1299"/>
      <c r="F29" s="1299"/>
      <c r="G29" s="1299"/>
      <c r="H29" s="1299"/>
      <c r="I29" s="1300"/>
      <c r="J29" s="890"/>
      <c r="K29" s="891"/>
      <c r="L29" s="924"/>
    </row>
    <row r="30" spans="1:12" ht="15.75">
      <c r="A30" s="856">
        <v>17</v>
      </c>
      <c r="B30" s="925" t="s">
        <v>1394</v>
      </c>
      <c r="C30" s="893">
        <v>2981656</v>
      </c>
      <c r="D30" s="1313">
        <v>761163</v>
      </c>
      <c r="E30" s="1315">
        <v>1488457</v>
      </c>
      <c r="F30" s="1315">
        <v>788450</v>
      </c>
      <c r="G30" s="879"/>
      <c r="H30" s="926"/>
      <c r="I30" s="880"/>
      <c r="J30" s="880"/>
      <c r="K30" s="880">
        <f>732526+35888</f>
        <v>768414</v>
      </c>
      <c r="L30" s="895">
        <v>661013</v>
      </c>
    </row>
    <row r="31" spans="1:12" ht="15.75">
      <c r="A31" s="856">
        <v>18</v>
      </c>
      <c r="B31" s="899" t="s">
        <v>1395</v>
      </c>
      <c r="C31" s="896">
        <v>56414</v>
      </c>
      <c r="D31" s="1314"/>
      <c r="E31" s="1316"/>
      <c r="F31" s="1316"/>
      <c r="G31" s="900"/>
      <c r="H31" s="927"/>
      <c r="I31" s="884"/>
      <c r="J31" s="884"/>
      <c r="K31" s="884">
        <v>35480</v>
      </c>
      <c r="L31" s="904">
        <v>18460</v>
      </c>
    </row>
    <row r="32" spans="1:12" ht="15.75">
      <c r="A32" s="856">
        <v>19</v>
      </c>
      <c r="B32" s="903" t="s">
        <v>1397</v>
      </c>
      <c r="C32" s="896"/>
      <c r="D32" s="900"/>
      <c r="E32" s="900"/>
      <c r="F32" s="900"/>
      <c r="G32" s="900"/>
      <c r="H32" s="927"/>
      <c r="I32" s="884"/>
      <c r="J32" s="884"/>
      <c r="K32" s="884"/>
      <c r="L32" s="904"/>
    </row>
    <row r="33" spans="1:12" ht="15.75">
      <c r="A33" s="856">
        <v>20</v>
      </c>
      <c r="B33" s="903" t="s">
        <v>1398</v>
      </c>
      <c r="C33" s="896"/>
      <c r="D33" s="900"/>
      <c r="E33" s="900"/>
      <c r="F33" s="900"/>
      <c r="G33" s="900"/>
      <c r="H33" s="927"/>
      <c r="I33" s="884"/>
      <c r="J33" s="884"/>
      <c r="K33" s="884">
        <f>201+850+9</f>
        <v>1060</v>
      </c>
      <c r="L33" s="904">
        <v>384</v>
      </c>
    </row>
    <row r="34" spans="1:12" ht="16.5" thickBot="1">
      <c r="A34" s="856">
        <v>21</v>
      </c>
      <c r="B34" s="928" t="s">
        <v>1405</v>
      </c>
      <c r="C34" s="929"/>
      <c r="D34" s="930"/>
      <c r="E34" s="930"/>
      <c r="F34" s="930"/>
      <c r="G34" s="930"/>
      <c r="H34" s="931"/>
      <c r="I34" s="929"/>
      <c r="J34" s="929"/>
      <c r="K34" s="884"/>
      <c r="L34" s="902"/>
    </row>
    <row r="35" spans="1:12" ht="16.5" thickBot="1">
      <c r="A35" s="861">
        <v>22</v>
      </c>
      <c r="B35" s="932" t="s">
        <v>1399</v>
      </c>
      <c r="C35" s="910">
        <f aca="true" t="shared" si="3" ref="C35:H35">SUM(C30:C33)</f>
        <v>3038070</v>
      </c>
      <c r="D35" s="911">
        <f t="shared" si="3"/>
        <v>761163</v>
      </c>
      <c r="E35" s="911">
        <f t="shared" si="3"/>
        <v>1488457</v>
      </c>
      <c r="F35" s="911">
        <f t="shared" si="3"/>
        <v>788450</v>
      </c>
      <c r="G35" s="911">
        <f t="shared" si="3"/>
        <v>0</v>
      </c>
      <c r="H35" s="911">
        <f t="shared" si="3"/>
        <v>0</v>
      </c>
      <c r="I35" s="910">
        <f>SUM(I30:I34)</f>
        <v>0</v>
      </c>
      <c r="J35" s="910">
        <f>SUM(J30:J34)</f>
        <v>0</v>
      </c>
      <c r="K35" s="910">
        <f>SUM(K30:K34)</f>
        <v>804954</v>
      </c>
      <c r="L35" s="1045">
        <f>SUM(L30:L34)</f>
        <v>679857</v>
      </c>
    </row>
    <row r="36" spans="1:12" ht="17.25" thickBot="1" thickTop="1">
      <c r="A36" s="862"/>
      <c r="B36" s="1317"/>
      <c r="C36" s="1307"/>
      <c r="D36" s="1307"/>
      <c r="E36" s="1307"/>
      <c r="F36" s="1307"/>
      <c r="G36" s="1307"/>
      <c r="H36" s="1307"/>
      <c r="I36" s="1307"/>
      <c r="J36" s="1307"/>
      <c r="K36" s="1318"/>
      <c r="L36" s="867"/>
    </row>
    <row r="37" spans="1:12" ht="17.25" thickBot="1" thickTop="1">
      <c r="A37" s="859">
        <v>23</v>
      </c>
      <c r="B37" s="1319" t="s">
        <v>1406</v>
      </c>
      <c r="C37" s="1320"/>
      <c r="D37" s="1320"/>
      <c r="E37" s="1320"/>
      <c r="F37" s="1320"/>
      <c r="G37" s="1320"/>
      <c r="H37" s="1320"/>
      <c r="I37" s="1321"/>
      <c r="J37" s="913"/>
      <c r="K37" s="914"/>
      <c r="L37" s="915"/>
    </row>
    <row r="38" spans="1:12" ht="15.75">
      <c r="A38" s="855">
        <v>24</v>
      </c>
      <c r="B38" s="881" t="s">
        <v>1407</v>
      </c>
      <c r="C38" s="893">
        <v>66350</v>
      </c>
      <c r="D38" s="933"/>
      <c r="E38" s="879"/>
      <c r="F38" s="879"/>
      <c r="G38" s="879"/>
      <c r="H38" s="879"/>
      <c r="I38" s="880">
        <f>65850+6</f>
        <v>65856</v>
      </c>
      <c r="J38" s="880">
        <v>61247</v>
      </c>
      <c r="K38" s="880"/>
      <c r="L38" s="895"/>
    </row>
    <row r="39" spans="1:12" ht="16.5" thickBot="1">
      <c r="A39" s="855">
        <v>25</v>
      </c>
      <c r="B39" s="881" t="s">
        <v>1392</v>
      </c>
      <c r="C39" s="896">
        <v>373150</v>
      </c>
      <c r="D39" s="919"/>
      <c r="E39" s="264"/>
      <c r="F39" s="264"/>
      <c r="G39" s="264"/>
      <c r="H39" s="264"/>
      <c r="I39" s="884">
        <v>373150</v>
      </c>
      <c r="J39" s="884">
        <v>347066</v>
      </c>
      <c r="K39" s="884"/>
      <c r="L39" s="904"/>
    </row>
    <row r="40" spans="1:12" ht="16.5" thickBot="1">
      <c r="A40" s="855">
        <v>26</v>
      </c>
      <c r="B40" s="885" t="s">
        <v>1393</v>
      </c>
      <c r="C40" s="886">
        <f aca="true" t="shared" si="4" ref="C40:H40">SUM(C38:C39)</f>
        <v>439500</v>
      </c>
      <c r="D40" s="887">
        <f t="shared" si="4"/>
        <v>0</v>
      </c>
      <c r="E40" s="887">
        <f t="shared" si="4"/>
        <v>0</v>
      </c>
      <c r="F40" s="887">
        <f t="shared" si="4"/>
        <v>0</v>
      </c>
      <c r="G40" s="887">
        <f t="shared" si="4"/>
        <v>0</v>
      </c>
      <c r="H40" s="888">
        <f t="shared" si="4"/>
        <v>0</v>
      </c>
      <c r="I40" s="889">
        <f>SUM(I38:I39)</f>
        <v>439006</v>
      </c>
      <c r="J40" s="889">
        <f>SUM(J38:J39)</f>
        <v>408313</v>
      </c>
      <c r="K40" s="889">
        <f>SUM(K38:K39)</f>
        <v>0</v>
      </c>
      <c r="L40" s="1043">
        <f>SUM(L38:L39)</f>
        <v>0</v>
      </c>
    </row>
    <row r="41" spans="1:12" ht="16.5" thickBot="1">
      <c r="A41" s="855"/>
      <c r="B41" s="1298"/>
      <c r="C41" s="1299"/>
      <c r="D41" s="1299"/>
      <c r="E41" s="1299"/>
      <c r="F41" s="1299"/>
      <c r="G41" s="1299"/>
      <c r="H41" s="1299"/>
      <c r="I41" s="1300"/>
      <c r="J41" s="890"/>
      <c r="K41" s="891"/>
      <c r="L41" s="924"/>
    </row>
    <row r="42" spans="1:12" ht="15.75">
      <c r="A42" s="856">
        <v>27</v>
      </c>
      <c r="B42" s="925" t="s">
        <v>1394</v>
      </c>
      <c r="C42" s="893">
        <v>439000</v>
      </c>
      <c r="D42" s="934"/>
      <c r="E42" s="879"/>
      <c r="F42" s="879"/>
      <c r="G42" s="879"/>
      <c r="H42" s="926"/>
      <c r="I42" s="880"/>
      <c r="J42" s="880"/>
      <c r="K42" s="880">
        <f>420040+8825</f>
        <v>428865</v>
      </c>
      <c r="L42" s="895">
        <v>310391</v>
      </c>
    </row>
    <row r="43" spans="1:12" ht="16.5" thickBot="1">
      <c r="A43" s="856">
        <v>28</v>
      </c>
      <c r="B43" s="899" t="s">
        <v>1395</v>
      </c>
      <c r="C43" s="896">
        <v>500</v>
      </c>
      <c r="D43" s="900"/>
      <c r="E43" s="900"/>
      <c r="F43" s="900"/>
      <c r="G43" s="900"/>
      <c r="H43" s="927"/>
      <c r="I43" s="884"/>
      <c r="J43" s="884"/>
      <c r="K43" s="884">
        <f>381+6</f>
        <v>387</v>
      </c>
      <c r="L43" s="904"/>
    </row>
    <row r="44" spans="1:12" ht="16.5" thickBot="1">
      <c r="A44" s="861">
        <v>29</v>
      </c>
      <c r="B44" s="932" t="s">
        <v>1399</v>
      </c>
      <c r="C44" s="910">
        <f>SUM(C42:C43)</f>
        <v>439500</v>
      </c>
      <c r="D44" s="911">
        <f>SUM(D42:D43)</f>
        <v>0</v>
      </c>
      <c r="E44" s="911">
        <f>SUM(E42:E43)</f>
        <v>0</v>
      </c>
      <c r="F44" s="911">
        <f>SUM(F42:F43)</f>
        <v>0</v>
      </c>
      <c r="G44" s="911">
        <v>0</v>
      </c>
      <c r="H44" s="911">
        <v>0</v>
      </c>
      <c r="I44" s="910">
        <f>SUM(I42:I43)</f>
        <v>0</v>
      </c>
      <c r="J44" s="910">
        <f>SUM(J42:J43)</f>
        <v>0</v>
      </c>
      <c r="K44" s="910">
        <f>SUM(K42:K43)</f>
        <v>429252</v>
      </c>
      <c r="L44" s="1045">
        <f>SUM(L42:L43)</f>
        <v>310391</v>
      </c>
    </row>
    <row r="45" spans="1:12" ht="16.5" thickTop="1">
      <c r="A45" s="1052"/>
      <c r="B45" s="1307"/>
      <c r="C45" s="1307"/>
      <c r="D45" s="1307"/>
      <c r="E45" s="1307"/>
      <c r="F45" s="1307"/>
      <c r="G45" s="1307"/>
      <c r="H45" s="1307"/>
      <c r="I45" s="1307"/>
      <c r="J45" s="1307"/>
      <c r="K45" s="1307"/>
      <c r="L45" s="1053"/>
    </row>
    <row r="46" spans="1:12" ht="15.75">
      <c r="A46" s="923"/>
      <c r="B46" s="957"/>
      <c r="C46" s="957"/>
      <c r="D46" s="957"/>
      <c r="E46" s="957"/>
      <c r="F46" s="957"/>
      <c r="G46" s="957"/>
      <c r="H46" s="957"/>
      <c r="I46" s="957"/>
      <c r="J46" s="957"/>
      <c r="K46" s="957"/>
      <c r="L46" s="1054"/>
    </row>
    <row r="47" spans="1:12" ht="16.5" thickBot="1">
      <c r="A47" s="854">
        <v>30</v>
      </c>
      <c r="B47" s="1308" t="s">
        <v>1408</v>
      </c>
      <c r="C47" s="1309"/>
      <c r="D47" s="1309"/>
      <c r="E47" s="1309"/>
      <c r="F47" s="1309"/>
      <c r="G47" s="1309"/>
      <c r="H47" s="1309"/>
      <c r="I47" s="1309"/>
      <c r="J47" s="1309"/>
      <c r="K47" s="1309"/>
      <c r="L47" s="1055"/>
    </row>
    <row r="48" spans="1:12" ht="15.75">
      <c r="A48" s="855">
        <v>31</v>
      </c>
      <c r="B48" s="935" t="s">
        <v>1391</v>
      </c>
      <c r="C48" s="893">
        <v>2276</v>
      </c>
      <c r="D48" s="933"/>
      <c r="E48" s="879"/>
      <c r="F48" s="879"/>
      <c r="G48" s="879"/>
      <c r="H48" s="879"/>
      <c r="I48" s="880"/>
      <c r="J48" s="880"/>
      <c r="K48" s="880"/>
      <c r="L48" s="895"/>
    </row>
    <row r="49" spans="1:12" ht="16.5" thickBot="1">
      <c r="A49" s="855">
        <v>32</v>
      </c>
      <c r="B49" s="881" t="s">
        <v>1392</v>
      </c>
      <c r="C49" s="905">
        <v>11195</v>
      </c>
      <c r="D49" s="919"/>
      <c r="E49" s="264"/>
      <c r="F49" s="264"/>
      <c r="G49" s="264"/>
      <c r="H49" s="264"/>
      <c r="I49" s="884">
        <v>11195</v>
      </c>
      <c r="J49" s="884">
        <v>11083</v>
      </c>
      <c r="K49" s="884"/>
      <c r="L49" s="904"/>
    </row>
    <row r="50" spans="1:12" ht="16.5" thickBot="1">
      <c r="A50" s="855">
        <v>33</v>
      </c>
      <c r="B50" s="885" t="s">
        <v>1393</v>
      </c>
      <c r="C50" s="886">
        <f aca="true" t="shared" si="5" ref="C50:H50">SUM(C48:C49)</f>
        <v>13471</v>
      </c>
      <c r="D50" s="887">
        <f t="shared" si="5"/>
        <v>0</v>
      </c>
      <c r="E50" s="887">
        <f t="shared" si="5"/>
        <v>0</v>
      </c>
      <c r="F50" s="887">
        <f t="shared" si="5"/>
        <v>0</v>
      </c>
      <c r="G50" s="887">
        <f t="shared" si="5"/>
        <v>0</v>
      </c>
      <c r="H50" s="888">
        <f t="shared" si="5"/>
        <v>0</v>
      </c>
      <c r="I50" s="889">
        <f>SUM(I48+I49)</f>
        <v>11195</v>
      </c>
      <c r="J50" s="889">
        <f>SUM(J48+J49)</f>
        <v>11083</v>
      </c>
      <c r="K50" s="889">
        <f>SUM(K48+K49)</f>
        <v>0</v>
      </c>
      <c r="L50" s="1043">
        <f>SUM(L48+L49)</f>
        <v>0</v>
      </c>
    </row>
    <row r="51" spans="1:12" ht="16.5" thickBot="1">
      <c r="A51" s="855"/>
      <c r="B51" s="1298"/>
      <c r="C51" s="1299"/>
      <c r="D51" s="1299"/>
      <c r="E51" s="1299"/>
      <c r="F51" s="1299"/>
      <c r="G51" s="1299"/>
      <c r="H51" s="1299"/>
      <c r="I51" s="1300"/>
      <c r="J51" s="890"/>
      <c r="K51" s="891"/>
      <c r="L51" s="924"/>
    </row>
    <row r="52" spans="1:12" ht="15.75">
      <c r="A52" s="856">
        <v>34</v>
      </c>
      <c r="B52" s="925" t="s">
        <v>1394</v>
      </c>
      <c r="C52" s="893">
        <v>13171</v>
      </c>
      <c r="D52" s="934"/>
      <c r="E52" s="879"/>
      <c r="F52" s="879"/>
      <c r="G52" s="879"/>
      <c r="H52" s="926"/>
      <c r="I52" s="880"/>
      <c r="J52" s="880"/>
      <c r="K52" s="880">
        <f>49+10330</f>
        <v>10379</v>
      </c>
      <c r="L52" s="895">
        <v>10395</v>
      </c>
    </row>
    <row r="53" spans="1:12" ht="16.5" thickBot="1">
      <c r="A53" s="856">
        <v>35</v>
      </c>
      <c r="B53" s="899" t="s">
        <v>1395</v>
      </c>
      <c r="C53" s="896">
        <v>300</v>
      </c>
      <c r="D53" s="900"/>
      <c r="E53" s="900"/>
      <c r="F53" s="900"/>
      <c r="G53" s="900"/>
      <c r="H53" s="927"/>
      <c r="I53" s="884"/>
      <c r="J53" s="884"/>
      <c r="K53" s="884"/>
      <c r="L53" s="904"/>
    </row>
    <row r="54" spans="1:12" ht="16.5" thickBot="1">
      <c r="A54" s="861">
        <v>36</v>
      </c>
      <c r="B54" s="932" t="s">
        <v>1399</v>
      </c>
      <c r="C54" s="910">
        <f>SUM(C52:C53)</f>
        <v>13471</v>
      </c>
      <c r="D54" s="911">
        <v>0</v>
      </c>
      <c r="E54" s="911">
        <v>0</v>
      </c>
      <c r="F54" s="911">
        <v>0</v>
      </c>
      <c r="G54" s="911">
        <v>0</v>
      </c>
      <c r="H54" s="911">
        <v>0</v>
      </c>
      <c r="I54" s="936">
        <f>SUM(I51:I53)</f>
        <v>0</v>
      </c>
      <c r="J54" s="936">
        <f>SUM(J51:J53)</f>
        <v>0</v>
      </c>
      <c r="K54" s="936">
        <f>SUM(K51:K53)</f>
        <v>10379</v>
      </c>
      <c r="L54" s="1045">
        <f>SUM(L51:L53)</f>
        <v>10395</v>
      </c>
    </row>
    <row r="55" spans="1:12" ht="17.25" thickBot="1" thickTop="1">
      <c r="A55" s="862"/>
      <c r="B55" s="937"/>
      <c r="C55" s="938"/>
      <c r="D55" s="939"/>
      <c r="E55" s="939"/>
      <c r="F55" s="939"/>
      <c r="G55" s="939"/>
      <c r="H55" s="939"/>
      <c r="I55" s="938"/>
      <c r="J55" s="938"/>
      <c r="K55" s="938"/>
      <c r="L55" s="940"/>
    </row>
    <row r="56" spans="1:12" ht="17.25" thickBot="1" thickTop="1">
      <c r="A56" s="859">
        <v>37</v>
      </c>
      <c r="B56" s="1296" t="s">
        <v>1409</v>
      </c>
      <c r="C56" s="1297"/>
      <c r="D56" s="1297"/>
      <c r="E56" s="1297"/>
      <c r="F56" s="1297"/>
      <c r="G56" s="1297"/>
      <c r="H56" s="1297"/>
      <c r="I56" s="1297"/>
      <c r="J56" s="1297"/>
      <c r="K56" s="1297"/>
      <c r="L56" s="868"/>
    </row>
    <row r="57" spans="1:12" ht="15.75">
      <c r="A57" s="863">
        <v>38</v>
      </c>
      <c r="B57" s="1087"/>
      <c r="C57" s="1310" t="s">
        <v>1410</v>
      </c>
      <c r="D57" s="1311"/>
      <c r="E57" s="1311"/>
      <c r="F57" s="1311"/>
      <c r="G57" s="1311"/>
      <c r="H57" s="1312"/>
      <c r="I57" s="1311" t="s">
        <v>1411</v>
      </c>
      <c r="J57" s="1311"/>
      <c r="K57" s="1311"/>
      <c r="L57" s="869"/>
    </row>
    <row r="58" spans="1:12" ht="15.75">
      <c r="A58" s="863">
        <v>39</v>
      </c>
      <c r="B58" s="1077" t="s">
        <v>1391</v>
      </c>
      <c r="C58" s="1080">
        <v>5822.7</v>
      </c>
      <c r="D58" s="942"/>
      <c r="E58" s="942"/>
      <c r="F58" s="943">
        <v>5409.84</v>
      </c>
      <c r="G58" s="943">
        <v>412.86</v>
      </c>
      <c r="H58" s="1091"/>
      <c r="I58" s="1073"/>
      <c r="J58" s="884"/>
      <c r="K58" s="945"/>
      <c r="L58" s="944"/>
    </row>
    <row r="59" spans="1:12" ht="15.75">
      <c r="A59" s="863">
        <v>40</v>
      </c>
      <c r="B59" s="1077" t="s">
        <v>1412</v>
      </c>
      <c r="C59" s="1080">
        <v>11645.4</v>
      </c>
      <c r="D59" s="942"/>
      <c r="E59" s="942"/>
      <c r="F59" s="943">
        <v>11645.4</v>
      </c>
      <c r="G59" s="943">
        <v>0</v>
      </c>
      <c r="H59" s="1091"/>
      <c r="I59" s="1088"/>
      <c r="J59" s="884"/>
      <c r="K59" s="945"/>
      <c r="L59" s="946"/>
    </row>
    <row r="60" spans="1:12" ht="16.5" thickBot="1">
      <c r="A60" s="863">
        <v>41</v>
      </c>
      <c r="B60" s="1078" t="s">
        <v>1413</v>
      </c>
      <c r="C60" s="1081">
        <v>98985.9</v>
      </c>
      <c r="D60" s="947"/>
      <c r="E60" s="947"/>
      <c r="F60" s="948">
        <v>14847.89</v>
      </c>
      <c r="G60" s="948">
        <v>84138.01</v>
      </c>
      <c r="H60" s="1092"/>
      <c r="I60" s="1089">
        <f>12930+1521+1095+6751</f>
        <v>22297</v>
      </c>
      <c r="J60" s="1070">
        <v>22296</v>
      </c>
      <c r="K60" s="949"/>
      <c r="L60" s="950"/>
    </row>
    <row r="61" spans="1:12" ht="16.5" thickBot="1">
      <c r="A61" s="863">
        <v>42</v>
      </c>
      <c r="B61" s="1079" t="s">
        <v>1393</v>
      </c>
      <c r="C61" s="1082">
        <f>SUM(D61:H61)</f>
        <v>116454</v>
      </c>
      <c r="D61" s="951">
        <v>0</v>
      </c>
      <c r="E61" s="951">
        <v>0</v>
      </c>
      <c r="F61" s="951">
        <f aca="true" t="shared" si="6" ref="F61:L61">SUM(F58:F60)</f>
        <v>31903.129999999997</v>
      </c>
      <c r="G61" s="951">
        <f t="shared" si="6"/>
        <v>84550.87</v>
      </c>
      <c r="H61" s="1093">
        <f t="shared" si="6"/>
        <v>0</v>
      </c>
      <c r="I61" s="1090">
        <f t="shared" si="6"/>
        <v>22297</v>
      </c>
      <c r="J61" s="1071">
        <f t="shared" si="6"/>
        <v>22296</v>
      </c>
      <c r="K61" s="1069">
        <f t="shared" si="6"/>
        <v>0</v>
      </c>
      <c r="L61" s="1043">
        <f t="shared" si="6"/>
        <v>0</v>
      </c>
    </row>
    <row r="62" spans="1:12" ht="16.5" thickBot="1">
      <c r="A62" s="864"/>
      <c r="B62" s="1293"/>
      <c r="C62" s="1294"/>
      <c r="D62" s="1294"/>
      <c r="E62" s="1294"/>
      <c r="F62" s="1294"/>
      <c r="G62" s="1294"/>
      <c r="H62" s="1294"/>
      <c r="I62" s="1294"/>
      <c r="J62" s="1294"/>
      <c r="K62" s="1295"/>
      <c r="L62" s="867"/>
    </row>
    <row r="63" spans="1:12" ht="15.75">
      <c r="A63" s="863">
        <v>43</v>
      </c>
      <c r="B63" s="1083" t="s">
        <v>1414</v>
      </c>
      <c r="C63" s="1085">
        <v>82240</v>
      </c>
      <c r="D63" s="952"/>
      <c r="E63" s="952"/>
      <c r="F63" s="952">
        <v>30663.79</v>
      </c>
      <c r="G63" s="953">
        <v>51576.21</v>
      </c>
      <c r="H63" s="1096"/>
      <c r="I63" s="1094"/>
      <c r="J63" s="1074"/>
      <c r="K63" s="1072"/>
      <c r="L63" s="954"/>
    </row>
    <row r="64" spans="1:12" ht="15.75">
      <c r="A64" s="863">
        <v>44</v>
      </c>
      <c r="B64" s="1077" t="s">
        <v>1415</v>
      </c>
      <c r="C64" s="1080">
        <v>0</v>
      </c>
      <c r="D64" s="942"/>
      <c r="E64" s="942"/>
      <c r="F64" s="942"/>
      <c r="G64" s="942"/>
      <c r="H64" s="1091"/>
      <c r="I64" s="945"/>
      <c r="J64" s="1075"/>
      <c r="K64" s="1073"/>
      <c r="L64" s="955"/>
    </row>
    <row r="65" spans="1:12" ht="15.75">
      <c r="A65" s="863">
        <v>45</v>
      </c>
      <c r="B65" s="1077" t="s">
        <v>1416</v>
      </c>
      <c r="C65" s="1080">
        <v>5140</v>
      </c>
      <c r="D65" s="942"/>
      <c r="E65" s="942"/>
      <c r="F65" s="942"/>
      <c r="G65" s="942">
        <v>5140</v>
      </c>
      <c r="H65" s="1091"/>
      <c r="I65" s="945"/>
      <c r="J65" s="1075"/>
      <c r="K65" s="1073"/>
      <c r="L65" s="1046"/>
    </row>
    <row r="66" spans="1:12" ht="15.75">
      <c r="A66" s="863">
        <v>46</v>
      </c>
      <c r="B66" s="1077" t="s">
        <v>1417</v>
      </c>
      <c r="C66" s="1080">
        <v>9480</v>
      </c>
      <c r="D66" s="942"/>
      <c r="E66" s="942"/>
      <c r="F66" s="942"/>
      <c r="G66" s="942">
        <v>9480</v>
      </c>
      <c r="H66" s="1091"/>
      <c r="I66" s="945"/>
      <c r="J66" s="1075"/>
      <c r="K66" s="1073">
        <f>724+394+106</f>
        <v>1224</v>
      </c>
      <c r="L66" s="904">
        <v>1223</v>
      </c>
    </row>
    <row r="67" spans="1:12" ht="25.5">
      <c r="A67" s="863">
        <v>47</v>
      </c>
      <c r="B67" s="1084" t="s">
        <v>1418</v>
      </c>
      <c r="C67" s="1080"/>
      <c r="D67" s="942"/>
      <c r="E67" s="942"/>
      <c r="F67" s="942"/>
      <c r="G67" s="942"/>
      <c r="H67" s="1091"/>
      <c r="I67" s="945"/>
      <c r="J67" s="1075"/>
      <c r="K67" s="1073">
        <v>260</v>
      </c>
      <c r="L67" s="904">
        <v>255</v>
      </c>
    </row>
    <row r="68" spans="1:12" ht="15.75">
      <c r="A68" s="863">
        <v>48</v>
      </c>
      <c r="B68" s="1077" t="s">
        <v>1397</v>
      </c>
      <c r="C68" s="1080">
        <v>19594</v>
      </c>
      <c r="D68" s="942"/>
      <c r="E68" s="942"/>
      <c r="F68" s="942">
        <v>1239.34</v>
      </c>
      <c r="G68" s="943">
        <v>18354.66</v>
      </c>
      <c r="H68" s="1091"/>
      <c r="I68" s="945"/>
      <c r="J68" s="1075"/>
      <c r="K68" s="1073"/>
      <c r="L68" s="904">
        <v>50</v>
      </c>
    </row>
    <row r="69" spans="1:12" ht="16.5" thickBot="1">
      <c r="A69" s="863">
        <v>49</v>
      </c>
      <c r="B69" s="1077" t="s">
        <v>1398</v>
      </c>
      <c r="C69" s="1086">
        <v>0</v>
      </c>
      <c r="D69" s="942"/>
      <c r="E69" s="942"/>
      <c r="F69" s="942"/>
      <c r="G69" s="942"/>
      <c r="H69" s="1091"/>
      <c r="I69" s="1095"/>
      <c r="J69" s="1076"/>
      <c r="K69" s="1073">
        <f>337+5+50+560-117</f>
        <v>835</v>
      </c>
      <c r="L69" s="904"/>
    </row>
    <row r="70" spans="1:12" ht="16.5" thickBot="1">
      <c r="A70" s="865">
        <v>50</v>
      </c>
      <c r="B70" s="1079" t="s">
        <v>1399</v>
      </c>
      <c r="C70" s="1082">
        <f>SUM(D70:H70)</f>
        <v>116454</v>
      </c>
      <c r="D70" s="951">
        <v>0</v>
      </c>
      <c r="E70" s="951">
        <v>0</v>
      </c>
      <c r="F70" s="951">
        <f aca="true" t="shared" si="7" ref="F70:L70">SUM(F63:F69)</f>
        <v>31903.13</v>
      </c>
      <c r="G70" s="951">
        <f t="shared" si="7"/>
        <v>84550.87</v>
      </c>
      <c r="H70" s="1093">
        <f t="shared" si="7"/>
        <v>0</v>
      </c>
      <c r="I70" s="1090">
        <f t="shared" si="7"/>
        <v>0</v>
      </c>
      <c r="J70" s="956">
        <f t="shared" si="7"/>
        <v>0</v>
      </c>
      <c r="K70" s="956">
        <f t="shared" si="7"/>
        <v>2319</v>
      </c>
      <c r="L70" s="1043">
        <f t="shared" si="7"/>
        <v>1528</v>
      </c>
    </row>
    <row r="71" spans="1:12" ht="16.5" thickBot="1">
      <c r="A71" s="1051"/>
      <c r="B71" s="957"/>
      <c r="C71" s="957"/>
      <c r="D71" s="957"/>
      <c r="E71" s="957"/>
      <c r="F71" s="957"/>
      <c r="G71" s="957"/>
      <c r="H71" s="957"/>
      <c r="I71" s="957"/>
      <c r="J71" s="957"/>
      <c r="K71" s="958"/>
      <c r="L71" s="959"/>
    </row>
    <row r="72" spans="1:12" ht="17.25" thickBot="1" thickTop="1">
      <c r="A72" s="859">
        <v>51</v>
      </c>
      <c r="B72" s="1296" t="s">
        <v>1419</v>
      </c>
      <c r="C72" s="1297"/>
      <c r="D72" s="1297"/>
      <c r="E72" s="1297"/>
      <c r="F72" s="1297"/>
      <c r="G72" s="1297"/>
      <c r="H72" s="1297"/>
      <c r="I72" s="1297"/>
      <c r="J72" s="1297"/>
      <c r="K72" s="1297"/>
      <c r="L72" s="868"/>
    </row>
    <row r="73" spans="1:12" ht="15.75">
      <c r="A73" s="855">
        <v>52</v>
      </c>
      <c r="B73" s="935" t="s">
        <v>1391</v>
      </c>
      <c r="C73" s="893"/>
      <c r="D73" s="933"/>
      <c r="E73" s="879"/>
      <c r="F73" s="879"/>
      <c r="G73" s="879"/>
      <c r="H73" s="879"/>
      <c r="I73" s="880"/>
      <c r="J73" s="880"/>
      <c r="K73" s="880"/>
      <c r="L73" s="895"/>
    </row>
    <row r="74" spans="1:12" ht="16.5" thickBot="1">
      <c r="A74" s="855">
        <v>53</v>
      </c>
      <c r="B74" s="881" t="s">
        <v>1392</v>
      </c>
      <c r="C74" s="905"/>
      <c r="D74" s="919"/>
      <c r="E74" s="264"/>
      <c r="F74" s="264"/>
      <c r="G74" s="264"/>
      <c r="H74" s="264"/>
      <c r="I74" s="884">
        <v>87170</v>
      </c>
      <c r="J74" s="884">
        <v>86662</v>
      </c>
      <c r="K74" s="884"/>
      <c r="L74" s="904"/>
    </row>
    <row r="75" spans="1:12" ht="16.5" thickBot="1">
      <c r="A75" s="855">
        <v>54</v>
      </c>
      <c r="B75" s="885" t="s">
        <v>1393</v>
      </c>
      <c r="C75" s="886">
        <f aca="true" t="shared" si="8" ref="C75:H75">SUM(C73:C74)</f>
        <v>0</v>
      </c>
      <c r="D75" s="887">
        <f t="shared" si="8"/>
        <v>0</v>
      </c>
      <c r="E75" s="887">
        <f t="shared" si="8"/>
        <v>0</v>
      </c>
      <c r="F75" s="887">
        <f t="shared" si="8"/>
        <v>0</v>
      </c>
      <c r="G75" s="887">
        <f t="shared" si="8"/>
        <v>0</v>
      </c>
      <c r="H75" s="888">
        <f t="shared" si="8"/>
        <v>0</v>
      </c>
      <c r="I75" s="889">
        <f>SUM(I73+I74)</f>
        <v>87170</v>
      </c>
      <c r="J75" s="889">
        <f>SUM(J73+J74)</f>
        <v>86662</v>
      </c>
      <c r="K75" s="889">
        <f>SUM(K73+K74)</f>
        <v>0</v>
      </c>
      <c r="L75" s="1043">
        <f>SUM(L73+L74)</f>
        <v>0</v>
      </c>
    </row>
    <row r="76" spans="1:12" ht="16.5" thickBot="1">
      <c r="A76" s="855"/>
      <c r="B76" s="1298"/>
      <c r="C76" s="1299"/>
      <c r="D76" s="1299"/>
      <c r="E76" s="1299"/>
      <c r="F76" s="1299"/>
      <c r="G76" s="1299"/>
      <c r="H76" s="1299"/>
      <c r="I76" s="1300"/>
      <c r="J76" s="890"/>
      <c r="K76" s="891"/>
      <c r="L76" s="1047"/>
    </row>
    <row r="77" spans="1:12" ht="15.75">
      <c r="A77" s="856">
        <v>55</v>
      </c>
      <c r="B77" s="925" t="s">
        <v>1394</v>
      </c>
      <c r="C77" s="893"/>
      <c r="D77" s="934"/>
      <c r="E77" s="879"/>
      <c r="F77" s="879"/>
      <c r="G77" s="879"/>
      <c r="H77" s="926"/>
      <c r="I77" s="880"/>
      <c r="J77" s="880"/>
      <c r="K77" s="880">
        <v>87170</v>
      </c>
      <c r="L77" s="1049">
        <v>86662</v>
      </c>
    </row>
    <row r="78" spans="1:12" ht="16.5" thickBot="1">
      <c r="A78" s="856">
        <v>56</v>
      </c>
      <c r="B78" s="899" t="s">
        <v>1395</v>
      </c>
      <c r="C78" s="896"/>
      <c r="D78" s="900"/>
      <c r="E78" s="900"/>
      <c r="F78" s="900"/>
      <c r="G78" s="900"/>
      <c r="H78" s="927"/>
      <c r="I78" s="884"/>
      <c r="J78" s="884"/>
      <c r="K78" s="884">
        <v>6906</v>
      </c>
      <c r="L78" s="1048">
        <v>6986</v>
      </c>
    </row>
    <row r="79" spans="1:12" ht="16.5" thickBot="1">
      <c r="A79" s="861">
        <v>57</v>
      </c>
      <c r="B79" s="932" t="s">
        <v>1399</v>
      </c>
      <c r="C79" s="910">
        <f>SUM(C77:C78)</f>
        <v>0</v>
      </c>
      <c r="D79" s="911">
        <v>0</v>
      </c>
      <c r="E79" s="911">
        <v>0</v>
      </c>
      <c r="F79" s="911">
        <v>0</v>
      </c>
      <c r="G79" s="911">
        <v>0</v>
      </c>
      <c r="H79" s="911">
        <v>0</v>
      </c>
      <c r="I79" s="936">
        <f>SUM(I76:I78)</f>
        <v>0</v>
      </c>
      <c r="J79" s="936">
        <f>SUM(J76:J78)</f>
        <v>0</v>
      </c>
      <c r="K79" s="936">
        <f>SUM(K76:K78)</f>
        <v>94076</v>
      </c>
      <c r="L79" s="1045">
        <f>SUM(L77:L78)</f>
        <v>93648</v>
      </c>
    </row>
    <row r="80" ht="16.5" thickTop="1"/>
  </sheetData>
  <sheetProtection/>
  <mergeCells count="36">
    <mergeCell ref="A1:L1"/>
    <mergeCell ref="B11:I11"/>
    <mergeCell ref="B3:K3"/>
    <mergeCell ref="A6:A8"/>
    <mergeCell ref="B6:B8"/>
    <mergeCell ref="C6:H6"/>
    <mergeCell ref="I6:I8"/>
    <mergeCell ref="K6:K8"/>
    <mergeCell ref="C7:C8"/>
    <mergeCell ref="D7:H7"/>
    <mergeCell ref="B15:I15"/>
    <mergeCell ref="B22:K22"/>
    <mergeCell ref="B23:I23"/>
    <mergeCell ref="D24:D25"/>
    <mergeCell ref="E24:E25"/>
    <mergeCell ref="F24:F25"/>
    <mergeCell ref="G24:G25"/>
    <mergeCell ref="H24:H25"/>
    <mergeCell ref="C57:H57"/>
    <mergeCell ref="I57:K57"/>
    <mergeCell ref="B29:I29"/>
    <mergeCell ref="D30:D31"/>
    <mergeCell ref="E30:E31"/>
    <mergeCell ref="F30:F31"/>
    <mergeCell ref="B36:K36"/>
    <mergeCell ref="B37:I37"/>
    <mergeCell ref="B62:K62"/>
    <mergeCell ref="B72:K72"/>
    <mergeCell ref="B76:I76"/>
    <mergeCell ref="J6:J8"/>
    <mergeCell ref="L6:L8"/>
    <mergeCell ref="B41:I41"/>
    <mergeCell ref="B45:K45"/>
    <mergeCell ref="B47:K47"/>
    <mergeCell ref="B51:I51"/>
    <mergeCell ref="B56:K56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73" r:id="rId1"/>
  <rowBreaks count="1" manualBreakCount="1">
    <brk id="4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zoomScalePageLayoutView="0" workbookViewId="0" topLeftCell="A1">
      <selection activeCell="F2" sqref="F2"/>
    </sheetView>
  </sheetViews>
  <sheetFormatPr defaultColWidth="8.875" defaultRowHeight="12.75"/>
  <cols>
    <col min="1" max="1" width="4.125" style="156" bestFit="1" customWidth="1"/>
    <col min="2" max="2" width="29.625" style="8" customWidth="1"/>
    <col min="3" max="3" width="18.875" style="297" customWidth="1"/>
    <col min="4" max="6" width="18.75390625" style="298" customWidth="1"/>
    <col min="7" max="7" width="8.875" style="297" customWidth="1"/>
    <col min="8" max="16384" width="8.875" style="8" customWidth="1"/>
  </cols>
  <sheetData>
    <row r="1" spans="1:7" s="3" customFormat="1" ht="15.75">
      <c r="A1" s="156"/>
      <c r="C1" s="297"/>
      <c r="D1" s="298"/>
      <c r="E1" s="298"/>
      <c r="F1" s="148" t="s">
        <v>1483</v>
      </c>
      <c r="G1" s="298"/>
    </row>
    <row r="2" spans="1:7" s="3" customFormat="1" ht="32.25" customHeight="1">
      <c r="A2" s="156"/>
      <c r="C2" s="297"/>
      <c r="D2" s="298"/>
      <c r="E2" s="298"/>
      <c r="F2" s="298"/>
      <c r="G2" s="299"/>
    </row>
    <row r="3" spans="2:8" ht="15.75">
      <c r="B3" s="1358" t="s">
        <v>1336</v>
      </c>
      <c r="C3" s="1358"/>
      <c r="D3" s="1358"/>
      <c r="E3" s="1358"/>
      <c r="F3" s="1358"/>
      <c r="G3" s="301"/>
      <c r="H3" s="295"/>
    </row>
    <row r="4" spans="2:8" ht="15.75">
      <c r="B4" s="1358" t="s">
        <v>1335</v>
      </c>
      <c r="C4" s="1358"/>
      <c r="D4" s="1358"/>
      <c r="E4" s="1358"/>
      <c r="F4" s="1358"/>
      <c r="G4" s="301"/>
      <c r="H4" s="295"/>
    </row>
    <row r="5" spans="2:8" ht="36.75" customHeight="1" thickBot="1">
      <c r="B5" s="300"/>
      <c r="C5" s="300"/>
      <c r="D5" s="300"/>
      <c r="E5" s="300"/>
      <c r="F5" s="300"/>
      <c r="G5" s="301"/>
      <c r="H5" s="295"/>
    </row>
    <row r="6" spans="1:6" s="295" customFormat="1" ht="47.25">
      <c r="A6" s="1228" t="s">
        <v>220</v>
      </c>
      <c r="B6" s="302" t="s">
        <v>46</v>
      </c>
      <c r="C6" s="168" t="s">
        <v>47</v>
      </c>
      <c r="D6" s="168" t="s">
        <v>48</v>
      </c>
      <c r="E6" s="168" t="s">
        <v>49</v>
      </c>
      <c r="F6" s="303" t="s">
        <v>1334</v>
      </c>
    </row>
    <row r="7" spans="1:6" s="156" customFormat="1" ht="12.75" thickBot="1">
      <c r="A7" s="1359"/>
      <c r="B7" s="829" t="s">
        <v>221</v>
      </c>
      <c r="C7" s="830" t="s">
        <v>222</v>
      </c>
      <c r="D7" s="830" t="s">
        <v>223</v>
      </c>
      <c r="E7" s="830" t="s">
        <v>224</v>
      </c>
      <c r="F7" s="831" t="s">
        <v>225</v>
      </c>
    </row>
    <row r="8" spans="1:6" s="311" customFormat="1" ht="24" customHeight="1">
      <c r="A8" s="310">
        <v>1</v>
      </c>
      <c r="B8" s="1356" t="s">
        <v>1460</v>
      </c>
      <c r="C8" s="1356"/>
      <c r="D8" s="1356"/>
      <c r="E8" s="1356"/>
      <c r="F8" s="1357"/>
    </row>
    <row r="9" spans="1:7" ht="15.75">
      <c r="A9" s="171">
        <v>2</v>
      </c>
      <c r="B9" s="305" t="s">
        <v>1458</v>
      </c>
      <c r="C9" s="312">
        <v>40539860</v>
      </c>
      <c r="D9" s="312">
        <v>0</v>
      </c>
      <c r="E9" s="312">
        <v>0</v>
      </c>
      <c r="F9" s="306">
        <v>40539860</v>
      </c>
      <c r="G9" s="8"/>
    </row>
    <row r="10" spans="1:7" ht="16.5" thickBot="1">
      <c r="A10" s="304">
        <v>4</v>
      </c>
      <c r="B10" s="313" t="s">
        <v>8</v>
      </c>
      <c r="C10" s="314">
        <f>SUM(C9:C9)</f>
        <v>40539860</v>
      </c>
      <c r="D10" s="314">
        <f>SUM(D9:D9)</f>
        <v>0</v>
      </c>
      <c r="E10" s="314">
        <f>SUM(E9:E9)</f>
        <v>0</v>
      </c>
      <c r="F10" s="309">
        <f>SUM(F9:F9)</f>
        <v>40539860</v>
      </c>
      <c r="G10" s="8"/>
    </row>
    <row r="11" spans="1:6" s="311" customFormat="1" ht="24" customHeight="1">
      <c r="A11" s="296">
        <v>4</v>
      </c>
      <c r="B11" s="1360" t="s">
        <v>156</v>
      </c>
      <c r="C11" s="1360"/>
      <c r="D11" s="1360"/>
      <c r="E11" s="1360"/>
      <c r="F11" s="1361"/>
    </row>
    <row r="12" spans="1:6" s="311" customFormat="1" ht="24" customHeight="1">
      <c r="A12" s="310">
        <v>5</v>
      </c>
      <c r="B12" s="832">
        <v>42369</v>
      </c>
      <c r="C12" s="312">
        <v>1455278</v>
      </c>
      <c r="D12" s="312">
        <v>0</v>
      </c>
      <c r="E12" s="312">
        <v>0</v>
      </c>
      <c r="F12" s="306">
        <v>1455278</v>
      </c>
    </row>
    <row r="13" spans="1:7" ht="16.5" thickBot="1">
      <c r="A13" s="174">
        <v>6</v>
      </c>
      <c r="B13" s="307" t="s">
        <v>8</v>
      </c>
      <c r="C13" s="308">
        <f>SUM(C12:C12)</f>
        <v>1455278</v>
      </c>
      <c r="D13" s="308">
        <f>SUM(D12:D12)</f>
        <v>0</v>
      </c>
      <c r="E13" s="308">
        <f>SUM(E12:E12)</f>
        <v>0</v>
      </c>
      <c r="F13" s="309">
        <f>SUM(F12:F12)</f>
        <v>1455278</v>
      </c>
      <c r="G13" s="8"/>
    </row>
    <row r="14" spans="1:6" s="311" customFormat="1" ht="24" customHeight="1">
      <c r="A14" s="310">
        <v>7</v>
      </c>
      <c r="B14" s="1356" t="s">
        <v>1337</v>
      </c>
      <c r="C14" s="1356"/>
      <c r="D14" s="1356"/>
      <c r="E14" s="1356"/>
      <c r="F14" s="1357"/>
    </row>
    <row r="15" spans="1:7" ht="15.75">
      <c r="A15" s="171">
        <v>8</v>
      </c>
      <c r="B15" s="832">
        <v>42368</v>
      </c>
      <c r="C15" s="312">
        <v>900000</v>
      </c>
      <c r="D15" s="312">
        <v>900000</v>
      </c>
      <c r="E15" s="312">
        <v>0</v>
      </c>
      <c r="F15" s="306">
        <v>900000</v>
      </c>
      <c r="G15" s="8"/>
    </row>
    <row r="16" spans="1:7" ht="16.5" thickBot="1">
      <c r="A16" s="174">
        <v>9</v>
      </c>
      <c r="B16" s="307" t="s">
        <v>8</v>
      </c>
      <c r="C16" s="308">
        <f>SUM(C15:C15)</f>
        <v>900000</v>
      </c>
      <c r="D16" s="308">
        <f>SUM(D15:D15)</f>
        <v>900000</v>
      </c>
      <c r="E16" s="308">
        <f>SUM(E15:E15)</f>
        <v>0</v>
      </c>
      <c r="F16" s="309">
        <f>SUM(F15:F15)</f>
        <v>900000</v>
      </c>
      <c r="G16" s="8"/>
    </row>
    <row r="19" spans="2:6" ht="30" customHeight="1">
      <c r="B19" s="1355" t="s">
        <v>1459</v>
      </c>
      <c r="C19" s="1355"/>
      <c r="D19" s="1355"/>
      <c r="E19" s="1355"/>
      <c r="F19" s="1355"/>
    </row>
  </sheetData>
  <sheetProtection/>
  <mergeCells count="7">
    <mergeCell ref="B19:F19"/>
    <mergeCell ref="B14:F14"/>
    <mergeCell ref="B3:F3"/>
    <mergeCell ref="B4:F4"/>
    <mergeCell ref="A6:A7"/>
    <mergeCell ref="B8:F8"/>
    <mergeCell ref="B11:F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6"/>
  <sheetViews>
    <sheetView zoomScalePageLayoutView="0" workbookViewId="0" topLeftCell="A1">
      <selection activeCell="C2" sqref="C2"/>
    </sheetView>
  </sheetViews>
  <sheetFormatPr defaultColWidth="8.875" defaultRowHeight="12.75"/>
  <cols>
    <col min="1" max="1" width="4.125" style="179" bestFit="1" customWidth="1"/>
    <col min="2" max="2" width="2.375" style="184" customWidth="1"/>
    <col min="3" max="3" width="106.375" style="184" customWidth="1"/>
    <col min="4" max="4" width="21.00390625" style="184" customWidth="1"/>
    <col min="5" max="16384" width="8.875" style="184" customWidth="1"/>
  </cols>
  <sheetData>
    <row r="1" spans="3:5" ht="15">
      <c r="C1" s="1159" t="s">
        <v>1484</v>
      </c>
      <c r="D1" s="1362"/>
      <c r="E1" s="793"/>
    </row>
    <row r="2" spans="3:5" ht="15">
      <c r="C2" s="152"/>
      <c r="D2" s="793"/>
      <c r="E2" s="793"/>
    </row>
    <row r="3" spans="1:4" s="828" customFormat="1" ht="15">
      <c r="A3" s="1265" t="s">
        <v>1332</v>
      </c>
      <c r="B3" s="1265"/>
      <c r="C3" s="1265"/>
      <c r="D3" s="1265"/>
    </row>
    <row r="4" spans="1:4" s="828" customFormat="1" ht="15">
      <c r="A4" s="1265" t="s">
        <v>1333</v>
      </c>
      <c r="B4" s="1265"/>
      <c r="C4" s="1265"/>
      <c r="D4" s="1265"/>
    </row>
    <row r="5" spans="2:4" ht="15">
      <c r="B5" s="185"/>
      <c r="C5" s="185"/>
      <c r="D5" s="185"/>
    </row>
    <row r="6" spans="1:4" s="186" customFormat="1" ht="21" customHeight="1">
      <c r="A6" s="1365" t="s">
        <v>220</v>
      </c>
      <c r="B6" s="1264" t="s">
        <v>11</v>
      </c>
      <c r="C6" s="1264"/>
      <c r="D6" s="654" t="s">
        <v>44</v>
      </c>
    </row>
    <row r="7" spans="1:5" s="179" customFormat="1" ht="13.5" customHeight="1">
      <c r="A7" s="1366"/>
      <c r="B7" s="1135" t="s">
        <v>221</v>
      </c>
      <c r="C7" s="1364"/>
      <c r="D7" s="190" t="s">
        <v>222</v>
      </c>
      <c r="E7" s="92"/>
    </row>
    <row r="8" spans="1:4" s="186" customFormat="1" ht="25.5" customHeight="1">
      <c r="A8" s="190">
        <v>1</v>
      </c>
      <c r="B8" s="187" t="s">
        <v>157</v>
      </c>
      <c r="C8" s="337"/>
      <c r="D8" s="671"/>
    </row>
    <row r="9" spans="1:4" ht="15">
      <c r="A9" s="190">
        <v>2</v>
      </c>
      <c r="B9" s="815" t="s">
        <v>45</v>
      </c>
      <c r="C9" s="338" t="s">
        <v>158</v>
      </c>
      <c r="D9" s="672">
        <v>1000</v>
      </c>
    </row>
    <row r="10" spans="1:4" ht="19.5" customHeight="1">
      <c r="A10" s="190">
        <v>3</v>
      </c>
      <c r="B10" s="815" t="s">
        <v>45</v>
      </c>
      <c r="C10" s="338" t="s">
        <v>1279</v>
      </c>
      <c r="D10" s="816">
        <v>-1000</v>
      </c>
    </row>
    <row r="11" spans="1:5" ht="18" customHeight="1">
      <c r="A11" s="190">
        <v>4</v>
      </c>
      <c r="B11" s="187" t="s">
        <v>8</v>
      </c>
      <c r="C11" s="187"/>
      <c r="D11" s="197">
        <f>SUM(D9:D10)</f>
        <v>0</v>
      </c>
      <c r="E11" s="186"/>
    </row>
    <row r="12" spans="1:5" ht="16.5" customHeight="1">
      <c r="A12" s="674"/>
      <c r="B12" s="339"/>
      <c r="C12" s="339"/>
      <c r="D12" s="671"/>
      <c r="E12" s="186"/>
    </row>
    <row r="13" spans="1:5" ht="18.75" customHeight="1">
      <c r="A13" s="190">
        <v>5</v>
      </c>
      <c r="B13" s="1363" t="s">
        <v>159</v>
      </c>
      <c r="C13" s="1363"/>
      <c r="D13" s="1363"/>
      <c r="E13" s="186"/>
    </row>
    <row r="14" spans="1:5" ht="15.75" customHeight="1">
      <c r="A14" s="190">
        <v>6</v>
      </c>
      <c r="B14" s="815" t="s">
        <v>45</v>
      </c>
      <c r="C14" s="338" t="s">
        <v>1280</v>
      </c>
      <c r="D14" s="672">
        <f>1519-323</f>
        <v>1196</v>
      </c>
      <c r="E14" s="186"/>
    </row>
    <row r="15" spans="1:5" ht="15">
      <c r="A15" s="190">
        <v>7</v>
      </c>
      <c r="B15" s="815" t="s">
        <v>45</v>
      </c>
      <c r="C15" s="338" t="s">
        <v>1281</v>
      </c>
      <c r="D15" s="672">
        <v>714</v>
      </c>
      <c r="E15" s="186"/>
    </row>
    <row r="16" spans="1:5" ht="15">
      <c r="A16" s="190">
        <v>8</v>
      </c>
      <c r="B16" s="815" t="s">
        <v>45</v>
      </c>
      <c r="C16" s="338" t="s">
        <v>1282</v>
      </c>
      <c r="D16" s="672">
        <v>2900</v>
      </c>
      <c r="E16" s="186"/>
    </row>
    <row r="17" spans="1:4" s="186" customFormat="1" ht="15" customHeight="1">
      <c r="A17" s="190">
        <v>9</v>
      </c>
      <c r="B17" s="815" t="s">
        <v>45</v>
      </c>
      <c r="C17" s="338" t="s">
        <v>1283</v>
      </c>
      <c r="D17" s="816">
        <v>-127</v>
      </c>
    </row>
    <row r="18" spans="1:4" s="186" customFormat="1" ht="16.5" customHeight="1">
      <c r="A18" s="190">
        <v>10</v>
      </c>
      <c r="B18" s="815" t="s">
        <v>45</v>
      </c>
      <c r="C18" s="338" t="s">
        <v>1284</v>
      </c>
      <c r="D18" s="816">
        <v>-101</v>
      </c>
    </row>
    <row r="19" spans="1:5" s="186" customFormat="1" ht="16.5" customHeight="1">
      <c r="A19" s="190">
        <v>11</v>
      </c>
      <c r="B19" s="817" t="s">
        <v>8</v>
      </c>
      <c r="C19" s="817"/>
      <c r="D19" s="818">
        <f>SUM(D14:D18)</f>
        <v>4582</v>
      </c>
      <c r="E19" s="819"/>
    </row>
    <row r="20" spans="1:4" s="186" customFormat="1" ht="7.5" customHeight="1">
      <c r="A20" s="190"/>
      <c r="B20" s="815"/>
      <c r="C20" s="338"/>
      <c r="D20" s="672"/>
    </row>
    <row r="21" spans="1:5" ht="17.25" customHeight="1">
      <c r="A21" s="190">
        <v>12</v>
      </c>
      <c r="B21" s="815" t="s">
        <v>45</v>
      </c>
      <c r="C21" s="338" t="s">
        <v>1285</v>
      </c>
      <c r="D21" s="672">
        <v>200</v>
      </c>
      <c r="E21" s="186"/>
    </row>
    <row r="22" spans="1:4" s="186" customFormat="1" ht="18" customHeight="1">
      <c r="A22" s="190">
        <v>13</v>
      </c>
      <c r="B22" s="815" t="s">
        <v>45</v>
      </c>
      <c r="C22" s="338" t="s">
        <v>160</v>
      </c>
      <c r="D22" s="672">
        <v>2611</v>
      </c>
    </row>
    <row r="23" spans="1:5" s="186" customFormat="1" ht="17.25" customHeight="1">
      <c r="A23" s="190">
        <v>14</v>
      </c>
      <c r="B23" s="817" t="s">
        <v>8</v>
      </c>
      <c r="C23" s="817"/>
      <c r="D23" s="820">
        <f>SUM(D21:D22)</f>
        <v>2811</v>
      </c>
      <c r="E23" s="821"/>
    </row>
    <row r="24" spans="1:4" s="186" customFormat="1" ht="15.75" customHeight="1">
      <c r="A24" s="190"/>
      <c r="B24" s="815"/>
      <c r="C24" s="338"/>
      <c r="D24" s="672"/>
    </row>
    <row r="25" spans="1:5" ht="15.75" customHeight="1">
      <c r="A25" s="190">
        <v>15</v>
      </c>
      <c r="B25" s="815" t="s">
        <v>45</v>
      </c>
      <c r="C25" s="338" t="s">
        <v>1286</v>
      </c>
      <c r="D25" s="672">
        <v>3000</v>
      </c>
      <c r="E25" s="819"/>
    </row>
    <row r="26" spans="1:5" s="186" customFormat="1" ht="15" customHeight="1">
      <c r="A26" s="190">
        <v>16</v>
      </c>
      <c r="B26" s="815" t="s">
        <v>45</v>
      </c>
      <c r="C26" s="338" t="s">
        <v>1287</v>
      </c>
      <c r="D26" s="816">
        <v>-1000</v>
      </c>
      <c r="E26" s="819"/>
    </row>
    <row r="27" spans="1:5" s="186" customFormat="1" ht="15">
      <c r="A27" s="190">
        <v>17</v>
      </c>
      <c r="B27" s="815" t="s">
        <v>45</v>
      </c>
      <c r="C27" s="338" t="s">
        <v>1288</v>
      </c>
      <c r="D27" s="816">
        <v>-207</v>
      </c>
      <c r="E27" s="819"/>
    </row>
    <row r="28" spans="1:5" s="186" customFormat="1" ht="17.25" customHeight="1">
      <c r="A28" s="190">
        <v>18</v>
      </c>
      <c r="B28" s="815" t="s">
        <v>45</v>
      </c>
      <c r="C28" s="338" t="s">
        <v>1289</v>
      </c>
      <c r="D28" s="816">
        <v>-707</v>
      </c>
      <c r="E28" s="819"/>
    </row>
    <row r="29" spans="1:5" ht="15.75" customHeight="1">
      <c r="A29" s="190">
        <v>19</v>
      </c>
      <c r="B29" s="815" t="s">
        <v>45</v>
      </c>
      <c r="C29" s="338" t="s">
        <v>1290</v>
      </c>
      <c r="D29" s="816">
        <v>-38</v>
      </c>
      <c r="E29" s="819"/>
    </row>
    <row r="30" spans="1:5" s="186" customFormat="1" ht="15">
      <c r="A30" s="190">
        <v>20</v>
      </c>
      <c r="B30" s="815" t="s">
        <v>45</v>
      </c>
      <c r="C30" s="338" t="s">
        <v>1291</v>
      </c>
      <c r="D30" s="816">
        <v>-880</v>
      </c>
      <c r="E30" s="819"/>
    </row>
    <row r="31" spans="1:5" s="186" customFormat="1" ht="18.75" customHeight="1">
      <c r="A31" s="190">
        <v>21</v>
      </c>
      <c r="B31" s="815" t="s">
        <v>45</v>
      </c>
      <c r="C31" s="338" t="s">
        <v>1292</v>
      </c>
      <c r="D31" s="816">
        <v>-19</v>
      </c>
      <c r="E31" s="819"/>
    </row>
    <row r="32" spans="1:5" s="186" customFormat="1" ht="15" customHeight="1">
      <c r="A32" s="190">
        <v>22</v>
      </c>
      <c r="B32" s="815" t="s">
        <v>45</v>
      </c>
      <c r="C32" s="338" t="s">
        <v>1293</v>
      </c>
      <c r="D32" s="816">
        <f>-149</f>
        <v>-149</v>
      </c>
      <c r="E32" s="819"/>
    </row>
    <row r="33" spans="1:5" s="186" customFormat="1" ht="15">
      <c r="A33" s="190">
        <v>23</v>
      </c>
      <c r="B33" s="817" t="s">
        <v>8</v>
      </c>
      <c r="C33" s="817"/>
      <c r="D33" s="820">
        <f>SUM(D25:D32)</f>
        <v>0</v>
      </c>
      <c r="E33" s="821"/>
    </row>
    <row r="34" spans="1:4" s="186" customFormat="1" ht="14.25">
      <c r="A34" s="674"/>
      <c r="B34" s="339"/>
      <c r="C34" s="339"/>
      <c r="D34" s="671"/>
    </row>
    <row r="35" spans="1:5" s="186" customFormat="1" ht="15">
      <c r="A35" s="190">
        <v>24</v>
      </c>
      <c r="B35" s="187" t="s">
        <v>1442</v>
      </c>
      <c r="C35" s="187"/>
      <c r="D35" s="197">
        <f>SUM(D19+D23+D33)</f>
        <v>7393</v>
      </c>
      <c r="E35" s="184"/>
    </row>
    <row r="36" spans="1:4" s="186" customFormat="1" ht="14.25">
      <c r="A36" s="674"/>
      <c r="B36" s="339"/>
      <c r="C36" s="339"/>
      <c r="D36" s="671"/>
    </row>
    <row r="37" spans="1:4" s="186" customFormat="1" ht="21.75" customHeight="1">
      <c r="A37" s="190">
        <v>25</v>
      </c>
      <c r="B37" s="187" t="s">
        <v>16</v>
      </c>
      <c r="C37" s="337"/>
      <c r="D37" s="671"/>
    </row>
    <row r="38" spans="1:5" s="186" customFormat="1" ht="15">
      <c r="A38" s="190">
        <v>26</v>
      </c>
      <c r="B38" s="815" t="s">
        <v>45</v>
      </c>
      <c r="C38" s="338" t="s">
        <v>161</v>
      </c>
      <c r="D38" s="672">
        <v>1000</v>
      </c>
      <c r="E38" s="184"/>
    </row>
    <row r="39" spans="1:5" s="186" customFormat="1" ht="15">
      <c r="A39" s="190">
        <v>27</v>
      </c>
      <c r="B39" s="815" t="s">
        <v>45</v>
      </c>
      <c r="C39" s="338" t="s">
        <v>1294</v>
      </c>
      <c r="D39" s="816">
        <v>-3517</v>
      </c>
      <c r="E39" s="184"/>
    </row>
    <row r="40" spans="1:5" s="186" customFormat="1" ht="15">
      <c r="A40" s="190">
        <v>28</v>
      </c>
      <c r="B40" s="815" t="s">
        <v>45</v>
      </c>
      <c r="C40" s="338" t="s">
        <v>1295</v>
      </c>
      <c r="D40" s="816">
        <v>-100</v>
      </c>
      <c r="E40" s="184"/>
    </row>
    <row r="41" spans="1:5" s="186" customFormat="1" ht="15">
      <c r="A41" s="190">
        <v>29</v>
      </c>
      <c r="B41" s="815" t="s">
        <v>45</v>
      </c>
      <c r="C41" s="338" t="s">
        <v>1296</v>
      </c>
      <c r="D41" s="816">
        <v>-859</v>
      </c>
      <c r="E41" s="184"/>
    </row>
    <row r="42" spans="1:5" s="186" customFormat="1" ht="15" customHeight="1">
      <c r="A42" s="190">
        <v>30</v>
      </c>
      <c r="B42" s="815" t="s">
        <v>45</v>
      </c>
      <c r="C42" s="338" t="s">
        <v>1297</v>
      </c>
      <c r="D42" s="816">
        <v>-250</v>
      </c>
      <c r="E42" s="184"/>
    </row>
    <row r="43" spans="1:5" s="186" customFormat="1" ht="15" customHeight="1">
      <c r="A43" s="190">
        <v>31</v>
      </c>
      <c r="B43" s="815" t="s">
        <v>45</v>
      </c>
      <c r="C43" s="338" t="s">
        <v>1298</v>
      </c>
      <c r="D43" s="672">
        <v>720</v>
      </c>
      <c r="E43" s="184"/>
    </row>
    <row r="44" spans="1:5" s="186" customFormat="1" ht="30">
      <c r="A44" s="190">
        <v>32</v>
      </c>
      <c r="B44" s="815" t="s">
        <v>45</v>
      </c>
      <c r="C44" s="338" t="s">
        <v>1443</v>
      </c>
      <c r="D44" s="672">
        <v>3517</v>
      </c>
      <c r="E44" s="184"/>
    </row>
    <row r="45" spans="1:5" s="186" customFormat="1" ht="15" customHeight="1">
      <c r="A45" s="190">
        <v>33</v>
      </c>
      <c r="B45" s="815" t="s">
        <v>45</v>
      </c>
      <c r="C45" s="338" t="s">
        <v>1299</v>
      </c>
      <c r="D45" s="672">
        <v>10</v>
      </c>
      <c r="E45" s="184"/>
    </row>
    <row r="46" spans="1:5" s="186" customFormat="1" ht="15" customHeight="1">
      <c r="A46" s="190">
        <v>34</v>
      </c>
      <c r="B46" s="815" t="s">
        <v>45</v>
      </c>
      <c r="C46" s="338" t="s">
        <v>1300</v>
      </c>
      <c r="D46" s="816">
        <v>-70</v>
      </c>
      <c r="E46" s="184"/>
    </row>
    <row r="47" spans="1:5" s="186" customFormat="1" ht="15">
      <c r="A47" s="190">
        <v>35</v>
      </c>
      <c r="B47" s="815" t="s">
        <v>45</v>
      </c>
      <c r="C47" s="338" t="s">
        <v>1279</v>
      </c>
      <c r="D47" s="816">
        <v>-350</v>
      </c>
      <c r="E47" s="184"/>
    </row>
    <row r="48" spans="1:5" s="186" customFormat="1" ht="15">
      <c r="A48" s="190">
        <v>36</v>
      </c>
      <c r="B48" s="815" t="s">
        <v>45</v>
      </c>
      <c r="C48" s="338" t="s">
        <v>1301</v>
      </c>
      <c r="D48" s="816">
        <v>-2250</v>
      </c>
      <c r="E48" s="184"/>
    </row>
    <row r="49" spans="1:5" s="186" customFormat="1" ht="15">
      <c r="A49" s="190">
        <v>37</v>
      </c>
      <c r="B49" s="815" t="s">
        <v>45</v>
      </c>
      <c r="C49" s="338" t="s">
        <v>1302</v>
      </c>
      <c r="D49" s="816">
        <v>-2250</v>
      </c>
      <c r="E49" s="184"/>
    </row>
    <row r="50" spans="1:5" s="186" customFormat="1" ht="15">
      <c r="A50" s="190">
        <v>38</v>
      </c>
      <c r="B50" s="815" t="s">
        <v>45</v>
      </c>
      <c r="C50" s="338" t="s">
        <v>1303</v>
      </c>
      <c r="D50" s="816">
        <v>-6000</v>
      </c>
      <c r="E50" s="184"/>
    </row>
    <row r="51" spans="1:5" s="186" customFormat="1" ht="15">
      <c r="A51" s="190">
        <v>39</v>
      </c>
      <c r="B51" s="815" t="s">
        <v>45</v>
      </c>
      <c r="C51" s="338" t="s">
        <v>1304</v>
      </c>
      <c r="D51" s="672">
        <v>12783</v>
      </c>
      <c r="E51" s="184"/>
    </row>
    <row r="52" spans="1:5" s="186" customFormat="1" ht="15">
      <c r="A52" s="190">
        <v>40</v>
      </c>
      <c r="B52" s="815" t="s">
        <v>45</v>
      </c>
      <c r="C52" s="338" t="s">
        <v>1305</v>
      </c>
      <c r="D52" s="816">
        <v>-1000</v>
      </c>
      <c r="E52" s="184"/>
    </row>
    <row r="53" spans="1:4" ht="15" customHeight="1">
      <c r="A53" s="190">
        <v>41</v>
      </c>
      <c r="B53" s="815" t="s">
        <v>45</v>
      </c>
      <c r="C53" s="338" t="s">
        <v>1444</v>
      </c>
      <c r="D53" s="672">
        <v>410</v>
      </c>
    </row>
    <row r="54" spans="1:5" s="186" customFormat="1" ht="16.5" customHeight="1">
      <c r="A54" s="190">
        <v>42</v>
      </c>
      <c r="B54" s="815" t="s">
        <v>45</v>
      </c>
      <c r="C54" s="338" t="s">
        <v>1306</v>
      </c>
      <c r="D54" s="816">
        <v>-1204</v>
      </c>
      <c r="E54" s="184"/>
    </row>
    <row r="55" spans="1:4" ht="15" customHeight="1">
      <c r="A55" s="190">
        <v>43</v>
      </c>
      <c r="B55" s="815" t="s">
        <v>45</v>
      </c>
      <c r="C55" s="338" t="s">
        <v>1307</v>
      </c>
      <c r="D55" s="816">
        <v>-67</v>
      </c>
    </row>
    <row r="56" spans="1:4" ht="15">
      <c r="A56" s="190">
        <v>44</v>
      </c>
      <c r="B56" s="815" t="s">
        <v>45</v>
      </c>
      <c r="C56" s="338" t="s">
        <v>1308</v>
      </c>
      <c r="D56" s="816">
        <v>-8</v>
      </c>
    </row>
    <row r="57" spans="1:4" ht="15" customHeight="1">
      <c r="A57" s="190">
        <v>45</v>
      </c>
      <c r="B57" s="815" t="s">
        <v>45</v>
      </c>
      <c r="C57" s="338" t="s">
        <v>1309</v>
      </c>
      <c r="D57" s="816">
        <v>-218</v>
      </c>
    </row>
    <row r="58" spans="1:4" ht="15" customHeight="1">
      <c r="A58" s="190">
        <v>46</v>
      </c>
      <c r="B58" s="815" t="s">
        <v>45</v>
      </c>
      <c r="C58" s="338" t="s">
        <v>1310</v>
      </c>
      <c r="D58" s="816">
        <v>-360</v>
      </c>
    </row>
    <row r="59" spans="1:4" ht="15">
      <c r="A59" s="190">
        <v>47</v>
      </c>
      <c r="B59" s="815" t="s">
        <v>45</v>
      </c>
      <c r="C59" s="338" t="s">
        <v>1445</v>
      </c>
      <c r="D59" s="672">
        <v>63</v>
      </c>
    </row>
    <row r="60" spans="1:4" ht="15">
      <c r="A60" s="190">
        <v>48</v>
      </c>
      <c r="B60" s="815" t="s">
        <v>45</v>
      </c>
      <c r="C60" s="338" t="s">
        <v>1311</v>
      </c>
      <c r="D60" s="672">
        <v>5200</v>
      </c>
    </row>
    <row r="61" spans="1:4" ht="15" customHeight="1">
      <c r="A61" s="190">
        <v>49</v>
      </c>
      <c r="B61" s="815" t="s">
        <v>45</v>
      </c>
      <c r="C61" s="338" t="s">
        <v>1312</v>
      </c>
      <c r="D61" s="816">
        <v>-156</v>
      </c>
    </row>
    <row r="62" spans="1:4" ht="16.5" customHeight="1">
      <c r="A62" s="190">
        <v>50</v>
      </c>
      <c r="B62" s="815" t="s">
        <v>45</v>
      </c>
      <c r="C62" s="338" t="s">
        <v>1313</v>
      </c>
      <c r="D62" s="816">
        <v>-12125</v>
      </c>
    </row>
    <row r="63" spans="1:5" s="186" customFormat="1" ht="15" customHeight="1">
      <c r="A63" s="190">
        <v>51</v>
      </c>
      <c r="B63" s="815" t="s">
        <v>45</v>
      </c>
      <c r="C63" s="338" t="s">
        <v>1314</v>
      </c>
      <c r="D63" s="816">
        <v>-165</v>
      </c>
      <c r="E63" s="184"/>
    </row>
    <row r="64" spans="1:5" s="186" customFormat="1" ht="15" customHeight="1">
      <c r="A64" s="190">
        <v>52</v>
      </c>
      <c r="B64" s="815" t="s">
        <v>45</v>
      </c>
      <c r="C64" s="338" t="s">
        <v>1315</v>
      </c>
      <c r="D64" s="672">
        <v>2609</v>
      </c>
      <c r="E64" s="184"/>
    </row>
    <row r="65" spans="1:5" s="186" customFormat="1" ht="15" customHeight="1">
      <c r="A65" s="190">
        <v>53</v>
      </c>
      <c r="B65" s="815" t="s">
        <v>45</v>
      </c>
      <c r="C65" s="338" t="s">
        <v>1316</v>
      </c>
      <c r="D65" s="672">
        <v>882</v>
      </c>
      <c r="E65" s="184"/>
    </row>
    <row r="66" spans="1:5" s="186" customFormat="1" ht="15">
      <c r="A66" s="190">
        <v>54</v>
      </c>
      <c r="B66" s="815" t="s">
        <v>45</v>
      </c>
      <c r="C66" s="338" t="s">
        <v>1317</v>
      </c>
      <c r="D66" s="672">
        <v>1936</v>
      </c>
      <c r="E66" s="184"/>
    </row>
    <row r="67" spans="1:5" s="186" customFormat="1" ht="15" customHeight="1">
      <c r="A67" s="190">
        <v>55</v>
      </c>
      <c r="B67" s="815" t="s">
        <v>45</v>
      </c>
      <c r="C67" s="338" t="s">
        <v>1318</v>
      </c>
      <c r="D67" s="672">
        <v>231</v>
      </c>
      <c r="E67" s="184"/>
    </row>
    <row r="68" spans="1:4" ht="15">
      <c r="A68" s="190">
        <v>56</v>
      </c>
      <c r="B68" s="815" t="s">
        <v>45</v>
      </c>
      <c r="C68" s="338" t="s">
        <v>1319</v>
      </c>
      <c r="D68" s="816">
        <v>-277</v>
      </c>
    </row>
    <row r="69" spans="1:4" ht="15">
      <c r="A69" s="190">
        <v>57</v>
      </c>
      <c r="B69" s="815" t="s">
        <v>45</v>
      </c>
      <c r="C69" s="338" t="s">
        <v>1455</v>
      </c>
      <c r="D69" s="672">
        <v>978</v>
      </c>
    </row>
    <row r="70" spans="1:4" ht="15">
      <c r="A70" s="190">
        <v>58</v>
      </c>
      <c r="B70" s="815" t="s">
        <v>45</v>
      </c>
      <c r="C70" s="338" t="s">
        <v>1320</v>
      </c>
      <c r="D70" s="672">
        <f>6630+57</f>
        <v>6687</v>
      </c>
    </row>
    <row r="71" spans="1:4" ht="15">
      <c r="A71" s="190">
        <v>59</v>
      </c>
      <c r="B71" s="815" t="s">
        <v>45</v>
      </c>
      <c r="C71" s="338" t="s">
        <v>1456</v>
      </c>
      <c r="D71" s="816">
        <v>-2500</v>
      </c>
    </row>
    <row r="72" spans="1:4" ht="15">
      <c r="A72" s="190">
        <v>60</v>
      </c>
      <c r="B72" s="815" t="s">
        <v>45</v>
      </c>
      <c r="C72" s="338" t="s">
        <v>1454</v>
      </c>
      <c r="D72" s="816">
        <f>-450-7</f>
        <v>-457</v>
      </c>
    </row>
    <row r="73" spans="1:4" ht="15">
      <c r="A73" s="190">
        <v>61</v>
      </c>
      <c r="B73" s="815" t="s">
        <v>45</v>
      </c>
      <c r="C73" s="338" t="s">
        <v>1453</v>
      </c>
      <c r="D73" s="816">
        <v>-2121</v>
      </c>
    </row>
    <row r="74" spans="1:4" ht="15">
      <c r="A74" s="190">
        <v>62</v>
      </c>
      <c r="B74" s="815" t="s">
        <v>45</v>
      </c>
      <c r="C74" s="338" t="s">
        <v>1321</v>
      </c>
      <c r="D74" s="816">
        <v>-32</v>
      </c>
    </row>
    <row r="75" spans="1:4" ht="15">
      <c r="A75" s="190">
        <v>63</v>
      </c>
      <c r="B75" s="815" t="s">
        <v>45</v>
      </c>
      <c r="C75" s="338" t="s">
        <v>1322</v>
      </c>
      <c r="D75" s="816">
        <v>-35</v>
      </c>
    </row>
    <row r="76" spans="1:4" ht="15">
      <c r="A76" s="190">
        <v>64</v>
      </c>
      <c r="B76" s="815" t="s">
        <v>45</v>
      </c>
      <c r="C76" s="338" t="s">
        <v>1451</v>
      </c>
      <c r="D76" s="816">
        <v>-124</v>
      </c>
    </row>
    <row r="77" spans="1:4" ht="15">
      <c r="A77" s="190">
        <v>65</v>
      </c>
      <c r="B77" s="815" t="s">
        <v>45</v>
      </c>
      <c r="C77" s="338" t="s">
        <v>1452</v>
      </c>
      <c r="D77" s="816">
        <v>-531</v>
      </c>
    </row>
    <row r="78" spans="1:5" ht="15">
      <c r="A78" s="190">
        <v>66</v>
      </c>
      <c r="B78" s="187" t="s">
        <v>8</v>
      </c>
      <c r="C78" s="187"/>
      <c r="D78" s="197">
        <f>SUM(D38:D77)</f>
        <v>0</v>
      </c>
      <c r="E78" s="186"/>
    </row>
    <row r="79" spans="1:5" ht="15">
      <c r="A79" s="190"/>
      <c r="B79" s="337"/>
      <c r="C79" s="671"/>
      <c r="D79" s="197"/>
      <c r="E79" s="186"/>
    </row>
    <row r="80" spans="1:5" ht="15">
      <c r="A80" s="190">
        <v>67</v>
      </c>
      <c r="B80" s="1363" t="s">
        <v>547</v>
      </c>
      <c r="C80" s="1363"/>
      <c r="D80" s="1363"/>
      <c r="E80" s="186"/>
    </row>
    <row r="81" spans="1:5" ht="15">
      <c r="A81" s="190">
        <v>68</v>
      </c>
      <c r="B81" s="815" t="s">
        <v>45</v>
      </c>
      <c r="C81" s="338" t="s">
        <v>1093</v>
      </c>
      <c r="D81" s="672">
        <v>122146</v>
      </c>
      <c r="E81" s="186"/>
    </row>
    <row r="82" spans="1:5" ht="15">
      <c r="A82" s="190">
        <v>69</v>
      </c>
      <c r="B82" s="815" t="s">
        <v>45</v>
      </c>
      <c r="C82" s="338" t="s">
        <v>1450</v>
      </c>
      <c r="D82" s="816">
        <v>-882</v>
      </c>
      <c r="E82" s="186"/>
    </row>
    <row r="83" spans="1:5" ht="15">
      <c r="A83" s="190">
        <v>70</v>
      </c>
      <c r="B83" s="815" t="s">
        <v>45</v>
      </c>
      <c r="C83" s="338" t="s">
        <v>1323</v>
      </c>
      <c r="D83" s="816">
        <v>-8489</v>
      </c>
      <c r="E83" s="186"/>
    </row>
    <row r="84" spans="1:4" ht="15">
      <c r="A84" s="190">
        <v>71</v>
      </c>
      <c r="B84" s="815" t="s">
        <v>45</v>
      </c>
      <c r="C84" s="338" t="s">
        <v>1324</v>
      </c>
      <c r="D84" s="816">
        <f>-13962-447</f>
        <v>-14409</v>
      </c>
    </row>
    <row r="85" spans="1:4" ht="15">
      <c r="A85" s="190">
        <v>72</v>
      </c>
      <c r="B85" s="815" t="s">
        <v>45</v>
      </c>
      <c r="C85" s="338" t="s">
        <v>1325</v>
      </c>
      <c r="D85" s="816">
        <v>-1052</v>
      </c>
    </row>
    <row r="86" spans="1:4" ht="15">
      <c r="A86" s="190">
        <v>73</v>
      </c>
      <c r="B86" s="815" t="s">
        <v>45</v>
      </c>
      <c r="C86" s="338" t="s">
        <v>1326</v>
      </c>
      <c r="D86" s="816">
        <v>-18</v>
      </c>
    </row>
    <row r="87" spans="1:4" ht="15">
      <c r="A87" s="190">
        <v>74</v>
      </c>
      <c r="B87" s="815" t="s">
        <v>45</v>
      </c>
      <c r="C87" s="338" t="s">
        <v>1327</v>
      </c>
      <c r="D87" s="816">
        <f>-41870-714-146-3-7982-9122-2900-2611-4252-16238</f>
        <v>-85838</v>
      </c>
    </row>
    <row r="88" spans="1:4" ht="15">
      <c r="A88" s="190">
        <v>75</v>
      </c>
      <c r="B88" s="815" t="s">
        <v>45</v>
      </c>
      <c r="C88" s="338" t="s">
        <v>1328</v>
      </c>
      <c r="D88" s="816">
        <v>-10330</v>
      </c>
    </row>
    <row r="89" spans="1:4" ht="15">
      <c r="A89" s="190">
        <v>76</v>
      </c>
      <c r="B89" s="815" t="s">
        <v>45</v>
      </c>
      <c r="C89" s="338" t="s">
        <v>1446</v>
      </c>
      <c r="D89" s="816">
        <v>-385</v>
      </c>
    </row>
    <row r="90" spans="1:4" ht="15">
      <c r="A90" s="190">
        <v>77</v>
      </c>
      <c r="B90" s="815" t="s">
        <v>45</v>
      </c>
      <c r="C90" s="338" t="s">
        <v>1329</v>
      </c>
      <c r="D90" s="816">
        <v>-594</v>
      </c>
    </row>
    <row r="91" spans="1:4" ht="15">
      <c r="A91" s="190">
        <v>78</v>
      </c>
      <c r="B91" s="815" t="s">
        <v>45</v>
      </c>
      <c r="C91" s="338" t="s">
        <v>1330</v>
      </c>
      <c r="D91" s="816">
        <v>-149</v>
      </c>
    </row>
    <row r="92" spans="1:4" ht="15">
      <c r="A92" s="190">
        <v>79</v>
      </c>
      <c r="B92" s="187" t="s">
        <v>8</v>
      </c>
      <c r="C92" s="187"/>
      <c r="D92" s="197">
        <f>SUM(D81:D91)</f>
        <v>0</v>
      </c>
    </row>
    <row r="93" spans="1:5" ht="15">
      <c r="A93" s="674"/>
      <c r="B93" s="339"/>
      <c r="C93" s="339"/>
      <c r="D93" s="671"/>
      <c r="E93" s="186"/>
    </row>
    <row r="94" spans="1:5" ht="16.5">
      <c r="A94" s="822">
        <v>80</v>
      </c>
      <c r="B94" s="823" t="s">
        <v>69</v>
      </c>
      <c r="C94" s="823"/>
      <c r="D94" s="824">
        <f>SUM(D92+D78+D35+D11)</f>
        <v>7393</v>
      </c>
      <c r="E94" s="825"/>
    </row>
    <row r="95" spans="1:5" ht="15">
      <c r="A95" s="674"/>
      <c r="B95" s="339"/>
      <c r="C95" s="339"/>
      <c r="D95" s="671"/>
      <c r="E95" s="186"/>
    </row>
    <row r="96" spans="1:5" ht="15">
      <c r="A96" s="190">
        <v>81</v>
      </c>
      <c r="B96" s="1363" t="s">
        <v>1094</v>
      </c>
      <c r="C96" s="1363"/>
      <c r="D96" s="1363"/>
      <c r="E96" s="186"/>
    </row>
    <row r="97" spans="1:5" ht="30">
      <c r="A97" s="190">
        <v>82</v>
      </c>
      <c r="B97" s="815" t="s">
        <v>45</v>
      </c>
      <c r="C97" s="338" t="s">
        <v>1331</v>
      </c>
      <c r="D97" s="672">
        <f>195+170</f>
        <v>365</v>
      </c>
      <c r="E97" s="186"/>
    </row>
    <row r="98" spans="1:5" ht="15">
      <c r="A98" s="190">
        <v>83</v>
      </c>
      <c r="B98" s="815" t="s">
        <v>45</v>
      </c>
      <c r="C98" s="338" t="s">
        <v>1448</v>
      </c>
      <c r="D98" s="672">
        <v>4252</v>
      </c>
      <c r="E98" s="186"/>
    </row>
    <row r="99" spans="1:5" ht="15">
      <c r="A99" s="190">
        <v>84</v>
      </c>
      <c r="B99" s="815" t="s">
        <v>45</v>
      </c>
      <c r="C99" s="338" t="s">
        <v>1449</v>
      </c>
      <c r="D99" s="816">
        <v>-357</v>
      </c>
      <c r="E99" s="186"/>
    </row>
    <row r="100" spans="1:4" ht="15">
      <c r="A100" s="190">
        <v>85</v>
      </c>
      <c r="B100" s="187" t="s">
        <v>8</v>
      </c>
      <c r="C100" s="187"/>
      <c r="D100" s="197">
        <f>SUM(D97:D99)</f>
        <v>4260</v>
      </c>
    </row>
    <row r="101" spans="1:5" ht="15">
      <c r="A101" s="190"/>
      <c r="B101" s="815"/>
      <c r="C101" s="338"/>
      <c r="D101" s="672"/>
      <c r="E101" s="186"/>
    </row>
    <row r="102" spans="1:5" ht="15">
      <c r="A102" s="190">
        <v>86</v>
      </c>
      <c r="B102" s="815" t="s">
        <v>45</v>
      </c>
      <c r="C102" s="338" t="s">
        <v>1447</v>
      </c>
      <c r="D102" s="197">
        <v>40540</v>
      </c>
      <c r="E102" s="186"/>
    </row>
    <row r="103" spans="1:5" ht="15">
      <c r="A103" s="190"/>
      <c r="B103" s="815"/>
      <c r="C103" s="338"/>
      <c r="D103" s="672"/>
      <c r="E103" s="186"/>
    </row>
    <row r="104" spans="1:5" ht="16.5">
      <c r="A104" s="822">
        <v>87</v>
      </c>
      <c r="B104" s="823" t="s">
        <v>70</v>
      </c>
      <c r="C104" s="823"/>
      <c r="D104" s="824">
        <f>SUM(D102+D100)</f>
        <v>44800</v>
      </c>
      <c r="E104" s="825"/>
    </row>
    <row r="105" spans="1:5" ht="15">
      <c r="A105" s="674"/>
      <c r="B105" s="339"/>
      <c r="C105" s="339"/>
      <c r="D105" s="671"/>
      <c r="E105" s="186"/>
    </row>
    <row r="106" spans="1:5" ht="18.75">
      <c r="A106" s="826">
        <v>88</v>
      </c>
      <c r="B106" s="675" t="s">
        <v>71</v>
      </c>
      <c r="C106" s="675"/>
      <c r="D106" s="676">
        <f>SUM(D104,D94)</f>
        <v>52193</v>
      </c>
      <c r="E106" s="827"/>
    </row>
  </sheetData>
  <sheetProtection/>
  <mergeCells count="9">
    <mergeCell ref="C1:D1"/>
    <mergeCell ref="B13:D13"/>
    <mergeCell ref="B80:D80"/>
    <mergeCell ref="B96:D96"/>
    <mergeCell ref="A3:D3"/>
    <mergeCell ref="A4:D4"/>
    <mergeCell ref="B7:C7"/>
    <mergeCell ref="A6:A7"/>
    <mergeCell ref="B6:C6"/>
  </mergeCells>
  <printOptions horizontalCentered="1"/>
  <pageMargins left="0.7086614173228347" right="0.7086614173228347" top="1.141732283464567" bottom="1.141732283464567" header="0.31496062992125984" footer="0.31496062992125984"/>
  <pageSetup horizontalDpi="600" verticalDpi="600" orientation="portrait" paperSize="9" scale="54" r:id="rId1"/>
  <rowBreaks count="1" manualBreakCount="1">
    <brk id="78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.125" style="179" customWidth="1"/>
    <col min="2" max="2" width="50.625" style="259" customWidth="1"/>
    <col min="3" max="3" width="16.625" style="225" customWidth="1"/>
    <col min="4" max="4" width="14.25390625" style="225" customWidth="1"/>
    <col min="5" max="5" width="12.875" style="225" customWidth="1"/>
    <col min="6" max="6" width="10.875" style="225" bestFit="1" customWidth="1"/>
    <col min="7" max="7" width="15.00390625" style="225" customWidth="1"/>
    <col min="8" max="8" width="14.00390625" style="225" customWidth="1"/>
    <col min="9" max="9" width="12.875" style="225" customWidth="1"/>
    <col min="10" max="16384" width="9.125" style="225" customWidth="1"/>
  </cols>
  <sheetData>
    <row r="1" ht="12.75">
      <c r="I1" s="60" t="s">
        <v>1485</v>
      </c>
    </row>
    <row r="3" spans="1:9" ht="15.75">
      <c r="A3" s="1129" t="s">
        <v>136</v>
      </c>
      <c r="B3" s="1129"/>
      <c r="C3" s="1129"/>
      <c r="D3" s="1129"/>
      <c r="E3" s="1129"/>
      <c r="F3" s="1129"/>
      <c r="G3" s="1129"/>
      <c r="H3" s="1129"/>
      <c r="I3" s="1129"/>
    </row>
    <row r="4" spans="1:9" ht="15.75">
      <c r="A4" s="1129" t="s">
        <v>1251</v>
      </c>
      <c r="B4" s="1129"/>
      <c r="C4" s="1129"/>
      <c r="D4" s="1129"/>
      <c r="E4" s="1129"/>
      <c r="F4" s="1129"/>
      <c r="G4" s="1129"/>
      <c r="H4" s="1129"/>
      <c r="I4" s="1129"/>
    </row>
    <row r="5" spans="1:9" ht="15.75">
      <c r="A5" s="1129" t="s">
        <v>1252</v>
      </c>
      <c r="B5" s="1129"/>
      <c r="C5" s="1129"/>
      <c r="D5" s="1129"/>
      <c r="E5" s="1129"/>
      <c r="F5" s="1129"/>
      <c r="G5" s="1129"/>
      <c r="H5" s="1129"/>
      <c r="I5" s="1129"/>
    </row>
    <row r="6" ht="12.75" customHeight="1">
      <c r="B6" s="754"/>
    </row>
    <row r="7" spans="2:9" ht="13.5" thickBot="1">
      <c r="B7" s="755"/>
      <c r="I7" s="758" t="s">
        <v>1118</v>
      </c>
    </row>
    <row r="8" spans="1:9" s="260" customFormat="1" ht="28.5" customHeight="1">
      <c r="A8" s="1369" t="s">
        <v>220</v>
      </c>
      <c r="B8" s="1372" t="s">
        <v>11</v>
      </c>
      <c r="C8" s="1374" t="s">
        <v>1111</v>
      </c>
      <c r="D8" s="1378" t="s">
        <v>117</v>
      </c>
      <c r="E8" s="1379"/>
      <c r="F8" s="1376" t="s">
        <v>1112</v>
      </c>
      <c r="G8" s="1376" t="s">
        <v>1113</v>
      </c>
      <c r="H8" s="1376" t="s">
        <v>1114</v>
      </c>
      <c r="I8" s="1367" t="s">
        <v>1115</v>
      </c>
    </row>
    <row r="9" spans="1:9" s="260" customFormat="1" ht="39" customHeight="1">
      <c r="A9" s="1370"/>
      <c r="B9" s="1373"/>
      <c r="C9" s="1375"/>
      <c r="D9" s="756" t="s">
        <v>1253</v>
      </c>
      <c r="E9" s="745" t="s">
        <v>1254</v>
      </c>
      <c r="F9" s="1377"/>
      <c r="G9" s="1377"/>
      <c r="H9" s="1377"/>
      <c r="I9" s="1368"/>
    </row>
    <row r="10" spans="1:9" s="229" customFormat="1" ht="11.25" customHeight="1">
      <c r="A10" s="1371"/>
      <c r="B10" s="261" t="s">
        <v>221</v>
      </c>
      <c r="C10" s="261" t="s">
        <v>222</v>
      </c>
      <c r="D10" s="261" t="s">
        <v>223</v>
      </c>
      <c r="E10" s="261" t="s">
        <v>224</v>
      </c>
      <c r="F10" s="261" t="s">
        <v>225</v>
      </c>
      <c r="G10" s="261" t="s">
        <v>226</v>
      </c>
      <c r="H10" s="262" t="s">
        <v>227</v>
      </c>
      <c r="I10" s="263" t="s">
        <v>228</v>
      </c>
    </row>
    <row r="11" spans="1:9" s="228" customFormat="1" ht="18.75" customHeight="1">
      <c r="A11" s="87">
        <v>1</v>
      </c>
      <c r="B11" s="788" t="s">
        <v>1255</v>
      </c>
      <c r="C11" s="786">
        <v>203895184</v>
      </c>
      <c r="D11" s="786">
        <v>0</v>
      </c>
      <c r="E11" s="786">
        <v>0</v>
      </c>
      <c r="F11" s="786">
        <f>SUM(C11+D11+E11)</f>
        <v>203895184</v>
      </c>
      <c r="G11" s="786">
        <f>F11-(C11+D11+E11)</f>
        <v>0</v>
      </c>
      <c r="H11" s="786">
        <v>203895184</v>
      </c>
      <c r="I11" s="787">
        <f>G11-(F11-H11)</f>
        <v>0</v>
      </c>
    </row>
    <row r="12" spans="1:9" ht="25.5">
      <c r="A12" s="87">
        <v>2</v>
      </c>
      <c r="B12" s="257" t="s">
        <v>1256</v>
      </c>
      <c r="C12" s="264">
        <v>126122433</v>
      </c>
      <c r="D12" s="264">
        <v>-276800</v>
      </c>
      <c r="E12" s="264">
        <v>0</v>
      </c>
      <c r="F12" s="786">
        <v>126601799</v>
      </c>
      <c r="G12" s="264">
        <f>F12-(C12+D12+E12)</f>
        <v>756166</v>
      </c>
      <c r="H12" s="264">
        <v>126601799</v>
      </c>
      <c r="I12" s="265">
        <f>G12-(F12-H12)</f>
        <v>756166</v>
      </c>
    </row>
    <row r="13" spans="1:9" ht="25.5">
      <c r="A13" s="87">
        <v>3</v>
      </c>
      <c r="B13" s="257" t="s">
        <v>1257</v>
      </c>
      <c r="C13" s="264">
        <v>4102000</v>
      </c>
      <c r="D13" s="264">
        <v>0</v>
      </c>
      <c r="E13" s="264">
        <v>0</v>
      </c>
      <c r="F13" s="786">
        <f>SUM(C13+D13+E13)</f>
        <v>4102000</v>
      </c>
      <c r="G13" s="264">
        <v>0</v>
      </c>
      <c r="H13" s="757">
        <v>4102000</v>
      </c>
      <c r="I13" s="265">
        <f>G13-(F13-H13)</f>
        <v>0</v>
      </c>
    </row>
    <row r="14" spans="1:9" ht="18.75" customHeight="1">
      <c r="A14" s="87">
        <v>4</v>
      </c>
      <c r="B14" s="257" t="s">
        <v>1116</v>
      </c>
      <c r="C14" s="264">
        <v>7275900</v>
      </c>
      <c r="D14" s="264">
        <v>0</v>
      </c>
      <c r="E14" s="264">
        <v>0</v>
      </c>
      <c r="F14" s="786">
        <f>SUM(C14+D14+E14)</f>
        <v>7275900</v>
      </c>
      <c r="G14" s="264">
        <f>F14-(C14+D14+E14)</f>
        <v>0</v>
      </c>
      <c r="H14" s="757">
        <v>7275900</v>
      </c>
      <c r="I14" s="265">
        <f>G14-(F14-H14)</f>
        <v>0</v>
      </c>
    </row>
    <row r="15" spans="1:9" ht="13.5" thickBot="1">
      <c r="A15" s="87">
        <v>5</v>
      </c>
      <c r="B15" s="257" t="s">
        <v>1117</v>
      </c>
      <c r="C15" s="264">
        <v>60698811</v>
      </c>
      <c r="D15" s="264">
        <v>0</v>
      </c>
      <c r="E15" s="264">
        <v>-1534129</v>
      </c>
      <c r="F15" s="786">
        <v>58691402</v>
      </c>
      <c r="G15" s="264">
        <f>F15-(C15+D15+E15)</f>
        <v>-473280</v>
      </c>
      <c r="H15" s="757">
        <v>55722276</v>
      </c>
      <c r="I15" s="265">
        <f>G15-(F15-H15)</f>
        <v>-3442406</v>
      </c>
    </row>
    <row r="16" spans="1:9" s="340" customFormat="1" ht="18" customHeight="1" thickBot="1">
      <c r="A16" s="93">
        <v>6</v>
      </c>
      <c r="B16" s="294" t="s">
        <v>8</v>
      </c>
      <c r="C16" s="293">
        <f aca="true" t="shared" si="0" ref="C16:I16">SUM(C11:C15)</f>
        <v>402094328</v>
      </c>
      <c r="D16" s="293">
        <f t="shared" si="0"/>
        <v>-276800</v>
      </c>
      <c r="E16" s="293">
        <f t="shared" si="0"/>
        <v>-1534129</v>
      </c>
      <c r="F16" s="293">
        <f t="shared" si="0"/>
        <v>400566285</v>
      </c>
      <c r="G16" s="293">
        <f t="shared" si="0"/>
        <v>282886</v>
      </c>
      <c r="H16" s="293">
        <f t="shared" si="0"/>
        <v>397597159</v>
      </c>
      <c r="I16" s="293">
        <f t="shared" si="0"/>
        <v>-2686240</v>
      </c>
    </row>
  </sheetData>
  <sheetProtection/>
  <mergeCells count="11">
    <mergeCell ref="H8:H9"/>
    <mergeCell ref="I8:I9"/>
    <mergeCell ref="A8:A10"/>
    <mergeCell ref="B8:B9"/>
    <mergeCell ref="A5:I5"/>
    <mergeCell ref="A3:I3"/>
    <mergeCell ref="A4:I4"/>
    <mergeCell ref="C8:C9"/>
    <mergeCell ref="F8:F9"/>
    <mergeCell ref="G8:G9"/>
    <mergeCell ref="D8:E8"/>
  </mergeCells>
  <printOptions horizontalCentered="1"/>
  <pageMargins left="0.1968503937007874" right="0.1968503937007874" top="0.984251968503937" bottom="0.1968503937007874" header="0.31496062992125984" footer="0.31496062992125984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AT24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5.25390625" style="748" customWidth="1"/>
    <col min="2" max="2" width="86.00390625" style="225" customWidth="1"/>
    <col min="3" max="5" width="19.125" style="225" customWidth="1"/>
    <col min="6" max="6" width="11.875" style="225" bestFit="1" customWidth="1"/>
    <col min="7" max="16384" width="9.125" style="225" customWidth="1"/>
  </cols>
  <sheetData>
    <row r="1" ht="12.75">
      <c r="F1" s="60" t="s">
        <v>1486</v>
      </c>
    </row>
    <row r="2" ht="12.75">
      <c r="F2" s="60"/>
    </row>
    <row r="3" spans="1:6" s="256" customFormat="1" ht="15.75">
      <c r="A3" s="1380" t="s">
        <v>136</v>
      </c>
      <c r="B3" s="1380"/>
      <c r="C3" s="1380"/>
      <c r="D3" s="1380"/>
      <c r="E3" s="1380"/>
      <c r="F3" s="1380"/>
    </row>
    <row r="4" spans="1:6" s="256" customFormat="1" ht="18.75" customHeight="1">
      <c r="A4" s="1381" t="s">
        <v>1250</v>
      </c>
      <c r="B4" s="1382"/>
      <c r="C4" s="1382"/>
      <c r="D4" s="1382"/>
      <c r="E4" s="1382"/>
      <c r="F4" s="1382"/>
    </row>
    <row r="5" spans="1:6" s="256" customFormat="1" ht="13.5" customHeight="1" thickBot="1">
      <c r="A5" s="749"/>
      <c r="F5" s="178" t="s">
        <v>1109</v>
      </c>
    </row>
    <row r="6" spans="1:6" s="258" customFormat="1" ht="99.75">
      <c r="A6" s="1383" t="s">
        <v>220</v>
      </c>
      <c r="B6" s="796" t="s">
        <v>11</v>
      </c>
      <c r="C6" s="796" t="s">
        <v>1105</v>
      </c>
      <c r="D6" s="796" t="s">
        <v>1238</v>
      </c>
      <c r="E6" s="796" t="s">
        <v>1239</v>
      </c>
      <c r="F6" s="797" t="s">
        <v>1108</v>
      </c>
    </row>
    <row r="7" spans="1:6" s="795" customFormat="1" ht="14.25">
      <c r="A7" s="1384"/>
      <c r="B7" s="1105" t="s">
        <v>221</v>
      </c>
      <c r="C7" s="1105" t="s">
        <v>222</v>
      </c>
      <c r="D7" s="1105" t="s">
        <v>223</v>
      </c>
      <c r="E7" s="1105" t="s">
        <v>224</v>
      </c>
      <c r="F7" s="1106" t="s">
        <v>225</v>
      </c>
    </row>
    <row r="8" spans="1:46" ht="15">
      <c r="A8" s="798">
        <v>1</v>
      </c>
      <c r="B8" s="799" t="s">
        <v>1107</v>
      </c>
      <c r="C8" s="800">
        <v>1589280</v>
      </c>
      <c r="D8" s="800">
        <v>1589280</v>
      </c>
      <c r="E8" s="800">
        <v>0</v>
      </c>
      <c r="F8" s="801">
        <f aca="true" t="shared" si="0" ref="F8:F21">SUM(D8+E8-C8)</f>
        <v>0</v>
      </c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  <c r="R8" s="794"/>
      <c r="S8" s="794"/>
      <c r="T8" s="794"/>
      <c r="U8" s="794"/>
      <c r="V8" s="794"/>
      <c r="W8" s="794"/>
      <c r="X8" s="794"/>
      <c r="Y8" s="794"/>
      <c r="Z8" s="794"/>
      <c r="AA8" s="794"/>
      <c r="AB8" s="794"/>
      <c r="AC8" s="794"/>
      <c r="AD8" s="794"/>
      <c r="AE8" s="794"/>
      <c r="AF8" s="794"/>
      <c r="AG8" s="794"/>
      <c r="AH8" s="794"/>
      <c r="AI8" s="794"/>
      <c r="AJ8" s="794"/>
      <c r="AK8" s="794"/>
      <c r="AL8" s="794"/>
      <c r="AM8" s="794"/>
      <c r="AN8" s="794"/>
      <c r="AO8" s="794"/>
      <c r="AP8" s="794"/>
      <c r="AQ8" s="794"/>
      <c r="AR8" s="794"/>
      <c r="AS8" s="794"/>
      <c r="AT8" s="794"/>
    </row>
    <row r="9" spans="1:46" ht="15">
      <c r="A9" s="798">
        <v>2</v>
      </c>
      <c r="B9" s="799" t="s">
        <v>1237</v>
      </c>
      <c r="C9" s="800">
        <v>960000</v>
      </c>
      <c r="D9" s="800">
        <v>960000</v>
      </c>
      <c r="E9" s="800">
        <v>0</v>
      </c>
      <c r="F9" s="801">
        <f t="shared" si="0"/>
        <v>0</v>
      </c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4"/>
      <c r="X9" s="794"/>
      <c r="Y9" s="794"/>
      <c r="Z9" s="794"/>
      <c r="AA9" s="794"/>
      <c r="AB9" s="794"/>
      <c r="AC9" s="794"/>
      <c r="AD9" s="794"/>
      <c r="AE9" s="794"/>
      <c r="AF9" s="794"/>
      <c r="AG9" s="794"/>
      <c r="AH9" s="794"/>
      <c r="AI9" s="794"/>
      <c r="AJ9" s="794"/>
      <c r="AK9" s="794"/>
      <c r="AL9" s="794"/>
      <c r="AM9" s="794"/>
      <c r="AN9" s="794"/>
      <c r="AO9" s="794"/>
      <c r="AP9" s="794"/>
      <c r="AQ9" s="794"/>
      <c r="AR9" s="794"/>
      <c r="AS9" s="794"/>
      <c r="AT9" s="794"/>
    </row>
    <row r="10" spans="1:6" ht="12.75" customHeight="1">
      <c r="A10" s="798">
        <v>3</v>
      </c>
      <c r="B10" s="799" t="s">
        <v>1106</v>
      </c>
      <c r="C10" s="800">
        <v>977932</v>
      </c>
      <c r="D10" s="800">
        <v>977932</v>
      </c>
      <c r="E10" s="800">
        <v>0</v>
      </c>
      <c r="F10" s="801">
        <f t="shared" si="0"/>
        <v>0</v>
      </c>
    </row>
    <row r="11" spans="1:6" ht="15">
      <c r="A11" s="798">
        <v>4</v>
      </c>
      <c r="B11" s="799" t="s">
        <v>1240</v>
      </c>
      <c r="C11" s="800">
        <v>12749996</v>
      </c>
      <c r="D11" s="800">
        <v>12749996</v>
      </c>
      <c r="E11" s="800">
        <v>0</v>
      </c>
      <c r="F11" s="801">
        <f t="shared" si="0"/>
        <v>0</v>
      </c>
    </row>
    <row r="12" spans="1:6" ht="15">
      <c r="A12" s="798">
        <v>5</v>
      </c>
      <c r="B12" s="799" t="s">
        <v>1241</v>
      </c>
      <c r="C12" s="800">
        <v>420000</v>
      </c>
      <c r="D12" s="800">
        <v>0</v>
      </c>
      <c r="E12" s="800">
        <v>420000</v>
      </c>
      <c r="F12" s="801">
        <f t="shared" si="0"/>
        <v>0</v>
      </c>
    </row>
    <row r="13" spans="1:6" s="224" customFormat="1" ht="14.25">
      <c r="A13" s="802">
        <v>6</v>
      </c>
      <c r="B13" s="803" t="s">
        <v>1242</v>
      </c>
      <c r="C13" s="804">
        <f>SUM(C8:C12)</f>
        <v>16697208</v>
      </c>
      <c r="D13" s="804">
        <f>SUM(D8:D12)</f>
        <v>16277208</v>
      </c>
      <c r="E13" s="804">
        <f>SUM(E8:E12)</f>
        <v>420000</v>
      </c>
      <c r="F13" s="805">
        <f>SUM(F8:F12)</f>
        <v>0</v>
      </c>
    </row>
    <row r="14" spans="1:6" ht="15">
      <c r="A14" s="798">
        <v>7</v>
      </c>
      <c r="B14" s="799" t="s">
        <v>1243</v>
      </c>
      <c r="C14" s="800">
        <v>519557</v>
      </c>
      <c r="D14" s="800">
        <v>519557</v>
      </c>
      <c r="E14" s="800">
        <v>0</v>
      </c>
      <c r="F14" s="801">
        <f t="shared" si="0"/>
        <v>0</v>
      </c>
    </row>
    <row r="15" spans="1:6" ht="15">
      <c r="A15" s="802">
        <v>8</v>
      </c>
      <c r="B15" s="101" t="s">
        <v>1244</v>
      </c>
      <c r="C15" s="806">
        <v>6037500</v>
      </c>
      <c r="D15" s="806">
        <v>6037500</v>
      </c>
      <c r="E15" s="806">
        <v>0</v>
      </c>
      <c r="F15" s="807">
        <f t="shared" si="0"/>
        <v>0</v>
      </c>
    </row>
    <row r="16" spans="1:6" s="794" customFormat="1" ht="15">
      <c r="A16" s="798">
        <v>9</v>
      </c>
      <c r="B16" s="799" t="s">
        <v>1245</v>
      </c>
      <c r="C16" s="800">
        <v>34724865</v>
      </c>
      <c r="D16" s="800">
        <v>34532275</v>
      </c>
      <c r="E16" s="800">
        <v>0</v>
      </c>
      <c r="F16" s="801">
        <f t="shared" si="0"/>
        <v>-192590</v>
      </c>
    </row>
    <row r="17" spans="1:6" ht="15">
      <c r="A17" s="798">
        <v>10</v>
      </c>
      <c r="B17" s="799" t="s">
        <v>1246</v>
      </c>
      <c r="C17" s="800">
        <v>77155970</v>
      </c>
      <c r="D17" s="800">
        <v>54891271</v>
      </c>
      <c r="E17" s="800">
        <v>0</v>
      </c>
      <c r="F17" s="801">
        <f t="shared" si="0"/>
        <v>-22264699</v>
      </c>
    </row>
    <row r="18" spans="1:6" ht="15">
      <c r="A18" s="798">
        <v>11</v>
      </c>
      <c r="B18" s="808" t="s">
        <v>1110</v>
      </c>
      <c r="C18" s="800">
        <v>10499400</v>
      </c>
      <c r="D18" s="800">
        <v>10499400</v>
      </c>
      <c r="E18" s="800">
        <v>0</v>
      </c>
      <c r="F18" s="801">
        <f t="shared" si="0"/>
        <v>0</v>
      </c>
    </row>
    <row r="19" spans="1:6" ht="15">
      <c r="A19" s="798">
        <v>12</v>
      </c>
      <c r="B19" s="799" t="s">
        <v>1247</v>
      </c>
      <c r="C19" s="800">
        <v>416450</v>
      </c>
      <c r="D19" s="800">
        <v>416450</v>
      </c>
      <c r="E19" s="800">
        <v>0</v>
      </c>
      <c r="F19" s="801">
        <f t="shared" si="0"/>
        <v>0</v>
      </c>
    </row>
    <row r="20" spans="1:6" ht="16.5" customHeight="1">
      <c r="A20" s="798">
        <v>13</v>
      </c>
      <c r="B20" s="799" t="s">
        <v>1248</v>
      </c>
      <c r="C20" s="800">
        <v>5003292</v>
      </c>
      <c r="D20" s="800">
        <v>5003292</v>
      </c>
      <c r="E20" s="800">
        <v>0</v>
      </c>
      <c r="F20" s="801">
        <f t="shared" si="0"/>
        <v>0</v>
      </c>
    </row>
    <row r="21" spans="1:6" ht="15.75" thickBot="1">
      <c r="A21" s="809">
        <v>14</v>
      </c>
      <c r="B21" s="810" t="s">
        <v>1249</v>
      </c>
      <c r="C21" s="811">
        <v>2000000</v>
      </c>
      <c r="D21" s="811">
        <v>0</v>
      </c>
      <c r="E21" s="811">
        <v>2000000</v>
      </c>
      <c r="F21" s="812">
        <f t="shared" si="0"/>
        <v>0</v>
      </c>
    </row>
    <row r="22" spans="1:6" s="224" customFormat="1" ht="12.75">
      <c r="A22" s="750"/>
      <c r="B22" s="751"/>
      <c r="C22" s="752"/>
      <c r="D22" s="752"/>
      <c r="E22" s="752"/>
      <c r="F22" s="753"/>
    </row>
    <row r="23" spans="1:6" s="224" customFormat="1" ht="12.75">
      <c r="A23" s="750"/>
      <c r="B23" s="751"/>
      <c r="C23" s="752"/>
      <c r="D23" s="752"/>
      <c r="E23" s="752"/>
      <c r="F23" s="753"/>
    </row>
    <row r="24" spans="1:6" s="224" customFormat="1" ht="12.75">
      <c r="A24" s="750"/>
      <c r="B24" s="751"/>
      <c r="C24" s="752"/>
      <c r="D24" s="752"/>
      <c r="E24" s="752"/>
      <c r="F24" s="753"/>
    </row>
    <row r="79" ht="12.75" customHeight="1"/>
  </sheetData>
  <sheetProtection/>
  <mergeCells count="3">
    <mergeCell ref="A3:F3"/>
    <mergeCell ref="A4:F4"/>
    <mergeCell ref="A6:A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60"/>
  <sheetViews>
    <sheetView zoomScalePageLayoutView="0" workbookViewId="0" topLeftCell="A1">
      <selection activeCell="A2" sqref="A2"/>
    </sheetView>
  </sheetViews>
  <sheetFormatPr defaultColWidth="8.875" defaultRowHeight="12.75"/>
  <cols>
    <col min="1" max="1" width="6.00390625" style="873" customWidth="1"/>
    <col min="2" max="2" width="9.125" style="225" customWidth="1"/>
    <col min="3" max="3" width="6.875" style="225" customWidth="1"/>
    <col min="4" max="4" width="7.75390625" style="225" customWidth="1"/>
    <col min="5" max="5" width="51.375" style="225" customWidth="1"/>
    <col min="6" max="7" width="13.875" style="225" bestFit="1" customWidth="1"/>
    <col min="8" max="8" width="15.00390625" style="1012" customWidth="1"/>
    <col min="9" max="9" width="17.625" style="225" customWidth="1"/>
    <col min="10" max="10" width="12.75390625" style="258" bestFit="1" customWidth="1"/>
    <col min="11" max="16384" width="8.875" style="258" customWidth="1"/>
  </cols>
  <sheetData>
    <row r="1" spans="1:9" ht="12.75">
      <c r="A1" s="1127" t="s">
        <v>1464</v>
      </c>
      <c r="B1" s="1127"/>
      <c r="C1" s="1127"/>
      <c r="D1" s="1127"/>
      <c r="E1" s="1127"/>
      <c r="F1" s="1127"/>
      <c r="G1" s="1127"/>
      <c r="H1" s="1127"/>
      <c r="I1" s="1127"/>
    </row>
    <row r="2" spans="1:9" ht="12.75">
      <c r="A2" s="1015"/>
      <c r="B2" s="258"/>
      <c r="C2" s="258"/>
      <c r="D2" s="258"/>
      <c r="E2" s="258"/>
      <c r="F2" s="258"/>
      <c r="G2" s="258"/>
      <c r="H2" s="1016"/>
      <c r="I2" s="258"/>
    </row>
    <row r="3" spans="1:9" ht="16.5">
      <c r="A3" s="1146" t="s">
        <v>1138</v>
      </c>
      <c r="B3" s="1146"/>
      <c r="C3" s="1146"/>
      <c r="D3" s="1146"/>
      <c r="E3" s="1146"/>
      <c r="F3" s="1146"/>
      <c r="G3" s="1146"/>
      <c r="H3" s="1146"/>
      <c r="I3" s="1146"/>
    </row>
    <row r="4" spans="1:9" ht="16.5">
      <c r="A4" s="1013"/>
      <c r="B4" s="1013"/>
      <c r="C4" s="1013"/>
      <c r="D4" s="1013"/>
      <c r="E4" s="1146" t="s">
        <v>1175</v>
      </c>
      <c r="F4" s="1146"/>
      <c r="G4" s="1146"/>
      <c r="H4" s="1013"/>
      <c r="I4" s="1013"/>
    </row>
    <row r="5" spans="1:9" s="184" customFormat="1" ht="15">
      <c r="A5" s="1015"/>
      <c r="B5" s="258"/>
      <c r="C5" s="258"/>
      <c r="D5" s="258"/>
      <c r="E5" s="258"/>
      <c r="F5" s="258"/>
      <c r="G5" s="258"/>
      <c r="H5" s="1016"/>
      <c r="I5" s="258"/>
    </row>
    <row r="6" spans="1:9" s="90" customFormat="1" ht="36" customHeight="1">
      <c r="A6" s="1158" t="s">
        <v>220</v>
      </c>
      <c r="B6" s="1136" t="s">
        <v>29</v>
      </c>
      <c r="C6" s="1137"/>
      <c r="D6" s="1137"/>
      <c r="E6" s="1137"/>
      <c r="F6" s="963" t="s">
        <v>15</v>
      </c>
      <c r="G6" s="963" t="s">
        <v>19</v>
      </c>
      <c r="H6" s="1115" t="s">
        <v>20</v>
      </c>
      <c r="I6" s="1117" t="s">
        <v>137</v>
      </c>
    </row>
    <row r="7" spans="1:9" s="90" customFormat="1" ht="12" customHeight="1">
      <c r="A7" s="1158"/>
      <c r="B7" s="1139"/>
      <c r="C7" s="1140"/>
      <c r="D7" s="1140"/>
      <c r="E7" s="1140"/>
      <c r="F7" s="1130" t="s">
        <v>21</v>
      </c>
      <c r="G7" s="1131"/>
      <c r="H7" s="1116"/>
      <c r="I7" s="1118"/>
    </row>
    <row r="8" spans="1:9" ht="15">
      <c r="A8" s="1158"/>
      <c r="B8" s="1142" t="s">
        <v>221</v>
      </c>
      <c r="C8" s="1143"/>
      <c r="D8" s="1143"/>
      <c r="E8" s="1144"/>
      <c r="F8" s="964" t="s">
        <v>222</v>
      </c>
      <c r="G8" s="964" t="s">
        <v>223</v>
      </c>
      <c r="H8" s="965" t="s">
        <v>224</v>
      </c>
      <c r="I8" s="964" t="s">
        <v>225</v>
      </c>
    </row>
    <row r="9" spans="1:9" ht="15" customHeight="1">
      <c r="A9" s="1017">
        <v>1</v>
      </c>
      <c r="B9" s="1124" t="s">
        <v>655</v>
      </c>
      <c r="C9" s="1125"/>
      <c r="D9" s="1125"/>
      <c r="E9" s="1125"/>
      <c r="F9" s="967">
        <f>SUM(F10:F11)</f>
        <v>2688791</v>
      </c>
      <c r="G9" s="967">
        <f>SUM(G10:G11)</f>
        <v>2608517</v>
      </c>
      <c r="H9" s="967">
        <f>SUM(H10:H11)</f>
        <v>2286448</v>
      </c>
      <c r="I9" s="968">
        <f>H9/G9</f>
        <v>0.8765317611501094</v>
      </c>
    </row>
    <row r="10" spans="1:9" ht="16.5" customHeight="1">
      <c r="A10" s="1017">
        <v>2</v>
      </c>
      <c r="B10" s="1121" t="s">
        <v>656</v>
      </c>
      <c r="C10" s="1122"/>
      <c r="D10" s="1122"/>
      <c r="E10" s="1122"/>
      <c r="F10" s="971">
        <f>F12+F27+F33+F61+F79</f>
        <v>1471242</v>
      </c>
      <c r="G10" s="971">
        <f>G12+G27+G33+G61+G79</f>
        <v>1289309</v>
      </c>
      <c r="H10" s="971">
        <f>H12+H27+H33+H61+H79</f>
        <v>1146743</v>
      </c>
      <c r="I10" s="972">
        <f>H10/G10</f>
        <v>0.8894244901726429</v>
      </c>
    </row>
    <row r="11" spans="1:9" ht="16.5" customHeight="1">
      <c r="A11" s="1017">
        <v>3</v>
      </c>
      <c r="B11" s="1121" t="s">
        <v>657</v>
      </c>
      <c r="C11" s="1122"/>
      <c r="D11" s="1122"/>
      <c r="E11" s="1122"/>
      <c r="F11" s="971">
        <f>F121+F129+F134</f>
        <v>1217549</v>
      </c>
      <c r="G11" s="971">
        <f>G121+G129+G134</f>
        <v>1319208</v>
      </c>
      <c r="H11" s="971">
        <f>H121+H129+H134</f>
        <v>1139705</v>
      </c>
      <c r="I11" s="972">
        <f>H11/G11</f>
        <v>0.863931237530397</v>
      </c>
    </row>
    <row r="12" spans="1:9" s="1021" customFormat="1" ht="18.75" customHeight="1">
      <c r="A12" s="1017">
        <v>4</v>
      </c>
      <c r="B12" s="1149" t="s">
        <v>638</v>
      </c>
      <c r="C12" s="1149"/>
      <c r="D12" s="1149"/>
      <c r="E12" s="1149"/>
      <c r="F12" s="1018">
        <v>427287</v>
      </c>
      <c r="G12" s="1018">
        <v>358671</v>
      </c>
      <c r="H12" s="1019">
        <v>349376</v>
      </c>
      <c r="I12" s="1020">
        <f>H12/G12</f>
        <v>0.974084885591531</v>
      </c>
    </row>
    <row r="13" spans="1:9" s="1021" customFormat="1" ht="15.75" customHeight="1" hidden="1">
      <c r="A13" s="1017"/>
      <c r="B13" s="979" t="s">
        <v>420</v>
      </c>
      <c r="C13" s="1119" t="s">
        <v>421</v>
      </c>
      <c r="D13" s="1119"/>
      <c r="E13" s="1119"/>
      <c r="F13" s="980">
        <f>SUM(F14:F21)</f>
        <v>180616</v>
      </c>
      <c r="G13" s="980">
        <f>SUM(G14:G21)</f>
        <v>73987</v>
      </c>
      <c r="H13" s="989">
        <f>SUM(H14:H21)</f>
        <v>104591</v>
      </c>
      <c r="I13" s="981">
        <f aca="true" t="shared" si="0" ref="I13:I74">H13/G13</f>
        <v>1.4136402340951788</v>
      </c>
    </row>
    <row r="14" spans="1:9" s="157" customFormat="1" ht="15.75" customHeight="1" hidden="1">
      <c r="A14" s="1017"/>
      <c r="B14" s="1004"/>
      <c r="C14" s="1004"/>
      <c r="D14" s="1004" t="s">
        <v>422</v>
      </c>
      <c r="E14" s="1004" t="s">
        <v>423</v>
      </c>
      <c r="F14" s="1005">
        <v>167109</v>
      </c>
      <c r="G14" s="1005">
        <v>64670</v>
      </c>
      <c r="H14" s="1006">
        <f>93646+7542</f>
        <v>101188</v>
      </c>
      <c r="I14" s="1022">
        <f t="shared" si="0"/>
        <v>1.5646822328745942</v>
      </c>
    </row>
    <row r="15" spans="1:9" s="966" customFormat="1" ht="18" customHeight="1" hidden="1">
      <c r="A15" s="1017"/>
      <c r="B15" s="1004"/>
      <c r="C15" s="1004"/>
      <c r="D15" s="1004" t="s">
        <v>424</v>
      </c>
      <c r="E15" s="1004" t="s">
        <v>425</v>
      </c>
      <c r="F15" s="1005">
        <v>0</v>
      </c>
      <c r="G15" s="1005">
        <v>464</v>
      </c>
      <c r="H15" s="1006">
        <v>0</v>
      </c>
      <c r="I15" s="1022">
        <f t="shared" si="0"/>
        <v>0</v>
      </c>
    </row>
    <row r="16" spans="1:9" s="978" customFormat="1" ht="18" customHeight="1" hidden="1">
      <c r="A16" s="1017"/>
      <c r="B16" s="1004"/>
      <c r="C16" s="1004"/>
      <c r="D16" s="1004" t="s">
        <v>426</v>
      </c>
      <c r="E16" s="1004" t="s">
        <v>427</v>
      </c>
      <c r="F16" s="1005">
        <v>9654</v>
      </c>
      <c r="G16" s="1005">
        <v>0</v>
      </c>
      <c r="H16" s="1006">
        <v>0</v>
      </c>
      <c r="I16" s="1022" t="e">
        <f t="shared" si="0"/>
        <v>#DIV/0!</v>
      </c>
    </row>
    <row r="17" spans="1:9" s="216" customFormat="1" ht="18" customHeight="1" hidden="1">
      <c r="A17" s="1017"/>
      <c r="B17" s="1004"/>
      <c r="C17" s="1004"/>
      <c r="D17" s="1004" t="s">
        <v>428</v>
      </c>
      <c r="E17" s="1004" t="s">
        <v>429</v>
      </c>
      <c r="F17" s="1005">
        <v>673</v>
      </c>
      <c r="G17" s="1005">
        <v>2245</v>
      </c>
      <c r="H17" s="1006">
        <v>1025</v>
      </c>
      <c r="I17" s="1022">
        <f t="shared" si="0"/>
        <v>0.45657015590200445</v>
      </c>
    </row>
    <row r="18" spans="1:9" s="216" customFormat="1" ht="18" customHeight="1" hidden="1">
      <c r="A18" s="1017"/>
      <c r="B18" s="1004"/>
      <c r="C18" s="1004"/>
      <c r="D18" s="1004" t="s">
        <v>430</v>
      </c>
      <c r="E18" s="1004" t="s">
        <v>431</v>
      </c>
      <c r="F18" s="1005">
        <v>0</v>
      </c>
      <c r="G18" s="1005">
        <v>5117</v>
      </c>
      <c r="H18" s="1006">
        <v>200</v>
      </c>
      <c r="I18" s="1022">
        <f t="shared" si="0"/>
        <v>0.039085401602501464</v>
      </c>
    </row>
    <row r="19" spans="1:9" s="216" customFormat="1" ht="18" customHeight="1" hidden="1">
      <c r="A19" s="874"/>
      <c r="B19" s="1004"/>
      <c r="C19" s="1004"/>
      <c r="D19" s="1004" t="s">
        <v>432</v>
      </c>
      <c r="E19" s="1004" t="s">
        <v>433</v>
      </c>
      <c r="F19" s="1005">
        <v>48</v>
      </c>
      <c r="G19" s="1005">
        <v>100</v>
      </c>
      <c r="H19" s="1006">
        <f>40+148</f>
        <v>188</v>
      </c>
      <c r="I19" s="1022">
        <f t="shared" si="0"/>
        <v>1.88</v>
      </c>
    </row>
    <row r="20" spans="1:9" s="1023" customFormat="1" ht="18" customHeight="1" hidden="1">
      <c r="A20" s="1017"/>
      <c r="B20" s="1004"/>
      <c r="C20" s="1004"/>
      <c r="D20" s="1004" t="s">
        <v>434</v>
      </c>
      <c r="E20" s="1004" t="s">
        <v>435</v>
      </c>
      <c r="F20" s="1005">
        <v>751</v>
      </c>
      <c r="G20" s="1005">
        <v>622</v>
      </c>
      <c r="H20" s="1006">
        <v>90</v>
      </c>
      <c r="I20" s="1022">
        <f t="shared" si="0"/>
        <v>0.14469453376205788</v>
      </c>
    </row>
    <row r="21" spans="1:9" s="1023" customFormat="1" ht="18" customHeight="1" hidden="1">
      <c r="A21" s="1017"/>
      <c r="B21" s="1004"/>
      <c r="C21" s="1004"/>
      <c r="D21" s="1004" t="s">
        <v>436</v>
      </c>
      <c r="E21" s="1004" t="s">
        <v>437</v>
      </c>
      <c r="F21" s="1005">
        <f>105+2276</f>
        <v>2381</v>
      </c>
      <c r="G21" s="1005">
        <f>100+669</f>
        <v>769</v>
      </c>
      <c r="H21" s="1006">
        <v>1900</v>
      </c>
      <c r="I21" s="1022">
        <f t="shared" si="0"/>
        <v>2.4707412223667102</v>
      </c>
    </row>
    <row r="22" spans="1:9" s="216" customFormat="1" ht="18" customHeight="1" hidden="1">
      <c r="A22" s="1017"/>
      <c r="B22" s="1024"/>
      <c r="C22" s="1025"/>
      <c r="D22" s="1026" t="s">
        <v>251</v>
      </c>
      <c r="E22" s="1026" t="s">
        <v>438</v>
      </c>
      <c r="F22" s="1027">
        <v>105</v>
      </c>
      <c r="G22" s="1027">
        <v>0</v>
      </c>
      <c r="H22" s="1028">
        <v>0</v>
      </c>
      <c r="I22" s="1029" t="e">
        <f t="shared" si="0"/>
        <v>#DIV/0!</v>
      </c>
    </row>
    <row r="23" spans="1:9" s="1023" customFormat="1" ht="18" customHeight="1" hidden="1">
      <c r="A23" s="1017"/>
      <c r="B23" s="979" t="s">
        <v>439</v>
      </c>
      <c r="C23" s="1119" t="s">
        <v>440</v>
      </c>
      <c r="D23" s="1119"/>
      <c r="E23" s="1119"/>
      <c r="F23" s="980">
        <f>SUM(F24:F26)</f>
        <v>5122</v>
      </c>
      <c r="G23" s="980">
        <f>SUM(G24:G26)</f>
        <v>22709</v>
      </c>
      <c r="H23" s="989">
        <f>SUM(H24:H26)</f>
        <v>1487</v>
      </c>
      <c r="I23" s="981">
        <f t="shared" si="0"/>
        <v>0.06548064643973756</v>
      </c>
    </row>
    <row r="24" spans="1:9" s="1023" customFormat="1" ht="18" customHeight="1" hidden="1">
      <c r="A24" s="1017">
        <v>2</v>
      </c>
      <c r="B24" s="982"/>
      <c r="C24" s="982" t="s">
        <v>441</v>
      </c>
      <c r="D24" s="982" t="s">
        <v>442</v>
      </c>
      <c r="E24" s="982"/>
      <c r="F24" s="983">
        <v>0</v>
      </c>
      <c r="G24" s="983">
        <v>22582</v>
      </c>
      <c r="H24" s="984">
        <v>0</v>
      </c>
      <c r="I24" s="985">
        <f t="shared" si="0"/>
        <v>0</v>
      </c>
    </row>
    <row r="25" spans="1:9" s="1023" customFormat="1" ht="18" customHeight="1" hidden="1">
      <c r="A25" s="1017"/>
      <c r="B25" s="982"/>
      <c r="C25" s="982" t="s">
        <v>443</v>
      </c>
      <c r="D25" s="1147" t="s">
        <v>444</v>
      </c>
      <c r="E25" s="1148"/>
      <c r="F25" s="983">
        <v>4995</v>
      </c>
      <c r="G25" s="983">
        <v>0</v>
      </c>
      <c r="H25" s="984">
        <f>670+817</f>
        <v>1487</v>
      </c>
      <c r="I25" s="985" t="e">
        <f t="shared" si="0"/>
        <v>#DIV/0!</v>
      </c>
    </row>
    <row r="26" spans="1:9" s="1023" customFormat="1" ht="18" customHeight="1" hidden="1">
      <c r="A26" s="1017"/>
      <c r="B26" s="982"/>
      <c r="C26" s="982" t="s">
        <v>445</v>
      </c>
      <c r="D26" s="1132" t="s">
        <v>446</v>
      </c>
      <c r="E26" s="1133"/>
      <c r="F26" s="983">
        <v>127</v>
      </c>
      <c r="G26" s="983">
        <v>127</v>
      </c>
      <c r="H26" s="984"/>
      <c r="I26" s="985">
        <f t="shared" si="0"/>
        <v>0</v>
      </c>
    </row>
    <row r="27" spans="1:9" s="216" customFormat="1" ht="17.25" customHeight="1">
      <c r="A27" s="1017">
        <v>5</v>
      </c>
      <c r="B27" s="1149" t="s">
        <v>639</v>
      </c>
      <c r="C27" s="1149"/>
      <c r="D27" s="1149"/>
      <c r="E27" s="1149"/>
      <c r="F27" s="1018">
        <v>102635</v>
      </c>
      <c r="G27" s="1018">
        <v>94538</v>
      </c>
      <c r="H27" s="1019">
        <v>92753</v>
      </c>
      <c r="I27" s="1020">
        <f t="shared" si="0"/>
        <v>0.9811187035900908</v>
      </c>
    </row>
    <row r="28" spans="1:9" s="978" customFormat="1" ht="18" customHeight="1" hidden="1">
      <c r="A28" s="1017"/>
      <c r="B28" s="1004"/>
      <c r="C28" s="1004"/>
      <c r="D28" s="991" t="s">
        <v>251</v>
      </c>
      <c r="E28" s="991" t="s">
        <v>447</v>
      </c>
      <c r="F28" s="1005">
        <f>36278+615</f>
        <v>36893</v>
      </c>
      <c r="G28" s="1005">
        <f>24571-600-90</f>
        <v>23881</v>
      </c>
      <c r="H28" s="1006">
        <f>26255+2036+221</f>
        <v>28512</v>
      </c>
      <c r="I28" s="1022">
        <f t="shared" si="0"/>
        <v>1.1939198526024872</v>
      </c>
    </row>
    <row r="29" spans="1:9" s="216" customFormat="1" ht="18" customHeight="1" hidden="1">
      <c r="A29" s="1017"/>
      <c r="B29" s="1004"/>
      <c r="C29" s="1004"/>
      <c r="D29" s="991"/>
      <c r="E29" s="991" t="s">
        <v>448</v>
      </c>
      <c r="F29" s="1005">
        <v>2411</v>
      </c>
      <c r="G29" s="1005">
        <v>1423</v>
      </c>
      <c r="H29" s="1006">
        <v>2030</v>
      </c>
      <c r="I29" s="1022">
        <f t="shared" si="0"/>
        <v>1.4265635980323261</v>
      </c>
    </row>
    <row r="30" spans="1:9" s="216" customFormat="1" ht="18" customHeight="1" hidden="1">
      <c r="A30" s="1017">
        <v>3</v>
      </c>
      <c r="B30" s="1004"/>
      <c r="C30" s="1004"/>
      <c r="D30" s="991"/>
      <c r="E30" s="991" t="s">
        <v>449</v>
      </c>
      <c r="F30" s="1005">
        <v>823</v>
      </c>
      <c r="G30" s="1005">
        <v>600</v>
      </c>
      <c r="H30" s="1006">
        <v>0</v>
      </c>
      <c r="I30" s="1022">
        <f t="shared" si="0"/>
        <v>0</v>
      </c>
    </row>
    <row r="31" spans="1:9" s="216" customFormat="1" ht="18" customHeight="1" hidden="1">
      <c r="A31" s="1017"/>
      <c r="B31" s="1004"/>
      <c r="C31" s="1004"/>
      <c r="D31" s="991"/>
      <c r="E31" s="991" t="s">
        <v>450</v>
      </c>
      <c r="F31" s="1005">
        <v>87</v>
      </c>
      <c r="G31" s="1005">
        <v>131</v>
      </c>
      <c r="H31" s="1006">
        <v>28</v>
      </c>
      <c r="I31" s="1022">
        <f t="shared" si="0"/>
        <v>0.21374045801526717</v>
      </c>
    </row>
    <row r="32" spans="1:9" s="1023" customFormat="1" ht="18" customHeight="1" hidden="1">
      <c r="A32" s="1017"/>
      <c r="B32" s="1004"/>
      <c r="C32" s="1004"/>
      <c r="D32" s="991"/>
      <c r="E32" s="991" t="s">
        <v>451</v>
      </c>
      <c r="F32" s="1005">
        <v>55</v>
      </c>
      <c r="G32" s="1005">
        <v>78</v>
      </c>
      <c r="H32" s="1006">
        <v>47</v>
      </c>
      <c r="I32" s="1022">
        <f t="shared" si="0"/>
        <v>0.6025641025641025</v>
      </c>
    </row>
    <row r="33" spans="1:9" s="1023" customFormat="1" ht="17.25" customHeight="1">
      <c r="A33" s="1017">
        <v>6</v>
      </c>
      <c r="B33" s="1149" t="s">
        <v>640</v>
      </c>
      <c r="C33" s="1149"/>
      <c r="D33" s="1149"/>
      <c r="E33" s="1149"/>
      <c r="F33" s="1018">
        <v>615439</v>
      </c>
      <c r="G33" s="1018">
        <v>435667</v>
      </c>
      <c r="H33" s="1019">
        <f>357390+556</f>
        <v>357946</v>
      </c>
      <c r="I33" s="1020">
        <f t="shared" si="0"/>
        <v>0.8216045741357505</v>
      </c>
    </row>
    <row r="34" spans="1:9" s="1023" customFormat="1" ht="18" customHeight="1" hidden="1">
      <c r="A34" s="1017"/>
      <c r="B34" s="979" t="s">
        <v>452</v>
      </c>
      <c r="C34" s="1119" t="s">
        <v>453</v>
      </c>
      <c r="D34" s="1119"/>
      <c r="E34" s="1119"/>
      <c r="F34" s="980">
        <f>SUM(F35:F36)</f>
        <v>83629</v>
      </c>
      <c r="G34" s="980">
        <f>SUM(G35:G36)</f>
        <v>2711</v>
      </c>
      <c r="H34" s="989">
        <f>SUM(H35:H36)</f>
        <v>2594</v>
      </c>
      <c r="I34" s="981">
        <f t="shared" si="0"/>
        <v>0.9568424935448174</v>
      </c>
    </row>
    <row r="35" spans="1:9" s="1023" customFormat="1" ht="18" customHeight="1" hidden="1">
      <c r="A35" s="1017"/>
      <c r="B35" s="982"/>
      <c r="C35" s="982" t="s">
        <v>454</v>
      </c>
      <c r="D35" s="982" t="s">
        <v>455</v>
      </c>
      <c r="E35" s="982"/>
      <c r="F35" s="983">
        <v>1386</v>
      </c>
      <c r="G35" s="983">
        <v>250</v>
      </c>
      <c r="H35" s="984">
        <f>20+50+70+40+500+10+10+50</f>
        <v>750</v>
      </c>
      <c r="I35" s="985">
        <f t="shared" si="0"/>
        <v>3</v>
      </c>
    </row>
    <row r="36" spans="1:9" s="978" customFormat="1" ht="18" customHeight="1" hidden="1">
      <c r="A36" s="1017"/>
      <c r="B36" s="982"/>
      <c r="C36" s="982" t="s">
        <v>456</v>
      </c>
      <c r="D36" s="982" t="s">
        <v>457</v>
      </c>
      <c r="E36" s="982"/>
      <c r="F36" s="983">
        <v>82243</v>
      </c>
      <c r="G36" s="983">
        <f>1000+420+160+881</f>
        <v>2461</v>
      </c>
      <c r="H36" s="984">
        <f>160+60+60+200+400+500+100+100+40+20+30+50+4+120</f>
        <v>1844</v>
      </c>
      <c r="I36" s="985">
        <f t="shared" si="0"/>
        <v>0.749288906948395</v>
      </c>
    </row>
    <row r="37" spans="1:9" s="978" customFormat="1" ht="18" customHeight="1" hidden="1">
      <c r="A37" s="1017"/>
      <c r="B37" s="979" t="s">
        <v>458</v>
      </c>
      <c r="C37" s="1119" t="s">
        <v>459</v>
      </c>
      <c r="D37" s="1119"/>
      <c r="E37" s="1119"/>
      <c r="F37" s="980">
        <f>SUM(F38:F39)</f>
        <v>2169</v>
      </c>
      <c r="G37" s="980">
        <f>SUM(G38:G39)</f>
        <v>3659</v>
      </c>
      <c r="H37" s="989">
        <f>SUM(H38:H39)</f>
        <v>436</v>
      </c>
      <c r="I37" s="981">
        <f t="shared" si="0"/>
        <v>0.1191582399562722</v>
      </c>
    </row>
    <row r="38" spans="1:9" s="216" customFormat="1" ht="18" customHeight="1" hidden="1">
      <c r="A38" s="1017"/>
      <c r="B38" s="982"/>
      <c r="C38" s="982" t="s">
        <v>460</v>
      </c>
      <c r="D38" s="982" t="s">
        <v>461</v>
      </c>
      <c r="E38" s="982"/>
      <c r="F38" s="983">
        <v>1096</v>
      </c>
      <c r="G38" s="983">
        <f>120+1055+1380</f>
        <v>2555</v>
      </c>
      <c r="H38" s="984">
        <v>100</v>
      </c>
      <c r="I38" s="985">
        <f t="shared" si="0"/>
        <v>0.03913894324853229</v>
      </c>
    </row>
    <row r="39" spans="1:9" s="216" customFormat="1" ht="18" customHeight="1" hidden="1">
      <c r="A39" s="1017"/>
      <c r="B39" s="982"/>
      <c r="C39" s="982" t="s">
        <v>462</v>
      </c>
      <c r="D39" s="982" t="s">
        <v>463</v>
      </c>
      <c r="E39" s="982"/>
      <c r="F39" s="983">
        <v>1073</v>
      </c>
      <c r="G39" s="983">
        <v>1104</v>
      </c>
      <c r="H39" s="984">
        <f>324+12</f>
        <v>336</v>
      </c>
      <c r="I39" s="985">
        <f t="shared" si="0"/>
        <v>0.30434782608695654</v>
      </c>
    </row>
    <row r="40" spans="1:9" s="216" customFormat="1" ht="18" customHeight="1" hidden="1">
      <c r="A40" s="1017"/>
      <c r="B40" s="979" t="s">
        <v>464</v>
      </c>
      <c r="C40" s="1119" t="s">
        <v>465</v>
      </c>
      <c r="D40" s="1119"/>
      <c r="E40" s="1119"/>
      <c r="F40" s="980">
        <f>SUM(F41+F46+F47+F48+F49+F51+F52)</f>
        <v>139047</v>
      </c>
      <c r="G40" s="980">
        <f>SUM(G41+G46+G47+G48+G49+G51+G52)</f>
        <v>17308</v>
      </c>
      <c r="H40" s="989">
        <f>SUM(H41+H46+H47+H48+H49+H51+H52)</f>
        <v>37560</v>
      </c>
      <c r="I40" s="981">
        <f t="shared" si="0"/>
        <v>2.1700947538710422</v>
      </c>
    </row>
    <row r="41" spans="1:9" s="216" customFormat="1" ht="18" customHeight="1" hidden="1">
      <c r="A41" s="1017"/>
      <c r="B41" s="982"/>
      <c r="C41" s="982" t="s">
        <v>466</v>
      </c>
      <c r="D41" s="982" t="s">
        <v>467</v>
      </c>
      <c r="E41" s="982"/>
      <c r="F41" s="983">
        <f>SUM(F42:F45)</f>
        <v>40501</v>
      </c>
      <c r="G41" s="983">
        <f>SUM(G42:G45)</f>
        <v>3650</v>
      </c>
      <c r="H41" s="984">
        <f>SUM(H42:H45)</f>
        <v>7300</v>
      </c>
      <c r="I41" s="985">
        <f t="shared" si="0"/>
        <v>2</v>
      </c>
    </row>
    <row r="42" spans="1:9" s="216" customFormat="1" ht="18" customHeight="1" hidden="1">
      <c r="A42" s="1017"/>
      <c r="B42" s="1004"/>
      <c r="C42" s="1004"/>
      <c r="D42" s="991" t="s">
        <v>251</v>
      </c>
      <c r="E42" s="991" t="s">
        <v>468</v>
      </c>
      <c r="F42" s="1005">
        <v>22329</v>
      </c>
      <c r="G42" s="1005">
        <v>1800</v>
      </c>
      <c r="H42" s="1006">
        <v>1500</v>
      </c>
      <c r="I42" s="1022">
        <f t="shared" si="0"/>
        <v>0.8333333333333334</v>
      </c>
    </row>
    <row r="43" spans="1:9" s="966" customFormat="1" ht="18" customHeight="1" hidden="1">
      <c r="A43" s="1017"/>
      <c r="B43" s="1004"/>
      <c r="C43" s="1004"/>
      <c r="D43" s="991"/>
      <c r="E43" s="991" t="s">
        <v>469</v>
      </c>
      <c r="F43" s="1005">
        <v>15351</v>
      </c>
      <c r="G43" s="1005">
        <v>1700</v>
      </c>
      <c r="H43" s="1006">
        <v>5200</v>
      </c>
      <c r="I43" s="1022">
        <f t="shared" si="0"/>
        <v>3.0588235294117645</v>
      </c>
    </row>
    <row r="44" spans="1:9" s="978" customFormat="1" ht="18" customHeight="1" hidden="1">
      <c r="A44" s="1017"/>
      <c r="B44" s="1004"/>
      <c r="C44" s="1004"/>
      <c r="D44" s="991"/>
      <c r="E44" s="991" t="s">
        <v>470</v>
      </c>
      <c r="F44" s="1005">
        <v>150</v>
      </c>
      <c r="G44" s="1005">
        <v>0</v>
      </c>
      <c r="H44" s="1006">
        <v>0</v>
      </c>
      <c r="I44" s="1022" t="e">
        <f t="shared" si="0"/>
        <v>#DIV/0!</v>
      </c>
    </row>
    <row r="45" spans="1:9" s="216" customFormat="1" ht="18" customHeight="1" hidden="1">
      <c r="A45" s="1017"/>
      <c r="B45" s="1004"/>
      <c r="C45" s="1004"/>
      <c r="D45" s="991"/>
      <c r="E45" s="991" t="s">
        <v>471</v>
      </c>
      <c r="F45" s="1005">
        <v>2671</v>
      </c>
      <c r="G45" s="1005">
        <v>150</v>
      </c>
      <c r="H45" s="1006">
        <v>600</v>
      </c>
      <c r="I45" s="1022">
        <f t="shared" si="0"/>
        <v>4</v>
      </c>
    </row>
    <row r="46" spans="1:9" s="216" customFormat="1" ht="18" customHeight="1" hidden="1">
      <c r="A46" s="1017"/>
      <c r="B46" s="982"/>
      <c r="C46" s="982" t="s">
        <v>472</v>
      </c>
      <c r="D46" s="982" t="s">
        <v>473</v>
      </c>
      <c r="E46" s="982"/>
      <c r="F46" s="983">
        <v>40</v>
      </c>
      <c r="G46" s="983">
        <v>0</v>
      </c>
      <c r="H46" s="984">
        <v>25077</v>
      </c>
      <c r="I46" s="985" t="e">
        <f t="shared" si="0"/>
        <v>#DIV/0!</v>
      </c>
    </row>
    <row r="47" spans="1:9" s="978" customFormat="1" ht="18" customHeight="1" hidden="1">
      <c r="A47" s="1017"/>
      <c r="B47" s="982"/>
      <c r="C47" s="982" t="s">
        <v>474</v>
      </c>
      <c r="D47" s="982" t="s">
        <v>475</v>
      </c>
      <c r="E47" s="982"/>
      <c r="F47" s="983">
        <v>917</v>
      </c>
      <c r="G47" s="983">
        <v>1499</v>
      </c>
      <c r="H47" s="984">
        <v>0</v>
      </c>
      <c r="I47" s="985">
        <f t="shared" si="0"/>
        <v>0</v>
      </c>
    </row>
    <row r="48" spans="1:9" s="216" customFormat="1" ht="18" customHeight="1" hidden="1">
      <c r="A48" s="1017"/>
      <c r="B48" s="982"/>
      <c r="C48" s="982" t="s">
        <v>476</v>
      </c>
      <c r="D48" s="982" t="s">
        <v>477</v>
      </c>
      <c r="E48" s="982"/>
      <c r="F48" s="983">
        <v>4365</v>
      </c>
      <c r="G48" s="983">
        <v>635</v>
      </c>
      <c r="H48" s="984">
        <v>894</v>
      </c>
      <c r="I48" s="985">
        <f t="shared" si="0"/>
        <v>1.4078740157480314</v>
      </c>
    </row>
    <row r="49" spans="1:9" s="216" customFormat="1" ht="18" customHeight="1" hidden="1">
      <c r="A49" s="1017"/>
      <c r="B49" s="982"/>
      <c r="C49" s="982" t="s">
        <v>478</v>
      </c>
      <c r="D49" s="982" t="s">
        <v>479</v>
      </c>
      <c r="E49" s="982"/>
      <c r="F49" s="983">
        <v>1693</v>
      </c>
      <c r="G49" s="983">
        <f>4239+88</f>
        <v>4327</v>
      </c>
      <c r="H49" s="984">
        <v>0</v>
      </c>
      <c r="I49" s="985">
        <f t="shared" si="0"/>
        <v>0</v>
      </c>
    </row>
    <row r="50" spans="1:9" s="216" customFormat="1" ht="18" customHeight="1" hidden="1">
      <c r="A50" s="1017"/>
      <c r="B50" s="1004"/>
      <c r="C50" s="1004"/>
      <c r="D50" s="991" t="s">
        <v>251</v>
      </c>
      <c r="E50" s="991" t="s">
        <v>335</v>
      </c>
      <c r="F50" s="1027">
        <v>390</v>
      </c>
      <c r="G50" s="1027">
        <v>4239</v>
      </c>
      <c r="H50" s="1006">
        <v>0</v>
      </c>
      <c r="I50" s="1022">
        <f t="shared" si="0"/>
        <v>0</v>
      </c>
    </row>
    <row r="51" spans="1:9" s="215" customFormat="1" ht="16.5" customHeight="1" hidden="1">
      <c r="A51" s="1017"/>
      <c r="B51" s="982"/>
      <c r="C51" s="982" t="s">
        <v>480</v>
      </c>
      <c r="D51" s="982" t="s">
        <v>481</v>
      </c>
      <c r="E51" s="982"/>
      <c r="F51" s="983">
        <f>65293+5353</f>
        <v>70646</v>
      </c>
      <c r="G51" s="983">
        <f>173+492</f>
        <v>665</v>
      </c>
      <c r="H51" s="984">
        <f>258+9+3172</f>
        <v>3439</v>
      </c>
      <c r="I51" s="985">
        <f t="shared" si="0"/>
        <v>5.171428571428572</v>
      </c>
    </row>
    <row r="52" spans="1:9" s="1030" customFormat="1" ht="19.5" customHeight="1" hidden="1">
      <c r="A52" s="1017"/>
      <c r="B52" s="982"/>
      <c r="C52" s="982" t="s">
        <v>482</v>
      </c>
      <c r="D52" s="982" t="s">
        <v>483</v>
      </c>
      <c r="E52" s="982"/>
      <c r="F52" s="983">
        <f>20540+245+100</f>
        <v>20885</v>
      </c>
      <c r="G52" s="983">
        <f>5631+800+80+21</f>
        <v>6532</v>
      </c>
      <c r="H52" s="984">
        <f>750+50+50</f>
        <v>850</v>
      </c>
      <c r="I52" s="985">
        <f t="shared" si="0"/>
        <v>0.13012859767299448</v>
      </c>
    </row>
    <row r="53" spans="1:9" ht="12.75" hidden="1">
      <c r="A53" s="1017"/>
      <c r="B53" s="1004"/>
      <c r="C53" s="1004"/>
      <c r="D53" s="991" t="s">
        <v>251</v>
      </c>
      <c r="E53" s="991" t="s">
        <v>438</v>
      </c>
      <c r="F53" s="1027">
        <v>2752</v>
      </c>
      <c r="G53" s="1027">
        <v>0</v>
      </c>
      <c r="H53" s="1006">
        <v>0</v>
      </c>
      <c r="I53" s="1022" t="e">
        <f t="shared" si="0"/>
        <v>#DIV/0!</v>
      </c>
    </row>
    <row r="54" spans="1:9" ht="12.75" hidden="1">
      <c r="A54" s="1017"/>
      <c r="B54" s="979" t="s">
        <v>484</v>
      </c>
      <c r="C54" s="1119" t="s">
        <v>485</v>
      </c>
      <c r="D54" s="1119"/>
      <c r="E54" s="1119"/>
      <c r="F54" s="980">
        <f>SUM(F55:F56)</f>
        <v>674</v>
      </c>
      <c r="G54" s="980">
        <f>SUM(G55:G56)</f>
        <v>480</v>
      </c>
      <c r="H54" s="989">
        <f>SUM(H55:H56)</f>
        <v>100</v>
      </c>
      <c r="I54" s="981">
        <f t="shared" si="0"/>
        <v>0.20833333333333334</v>
      </c>
    </row>
    <row r="55" spans="1:9" ht="12.75" hidden="1">
      <c r="A55" s="1017"/>
      <c r="B55" s="982"/>
      <c r="C55" s="982" t="s">
        <v>486</v>
      </c>
      <c r="D55" s="982" t="s">
        <v>487</v>
      </c>
      <c r="E55" s="982"/>
      <c r="F55" s="983">
        <v>280</v>
      </c>
      <c r="G55" s="983">
        <v>480</v>
      </c>
      <c r="H55" s="984">
        <v>100</v>
      </c>
      <c r="I55" s="985">
        <f t="shared" si="0"/>
        <v>0.20833333333333334</v>
      </c>
    </row>
    <row r="56" spans="1:9" ht="12.75" hidden="1">
      <c r="A56" s="1017"/>
      <c r="B56" s="982"/>
      <c r="C56" s="982" t="s">
        <v>488</v>
      </c>
      <c r="D56" s="982" t="s">
        <v>489</v>
      </c>
      <c r="E56" s="982"/>
      <c r="F56" s="983">
        <v>394</v>
      </c>
      <c r="G56" s="983">
        <v>0</v>
      </c>
      <c r="H56" s="984">
        <v>0</v>
      </c>
      <c r="I56" s="985" t="e">
        <f t="shared" si="0"/>
        <v>#DIV/0!</v>
      </c>
    </row>
    <row r="57" spans="1:9" ht="12.75" hidden="1">
      <c r="A57" s="1017"/>
      <c r="B57" s="979" t="s">
        <v>490</v>
      </c>
      <c r="C57" s="1119" t="s">
        <v>491</v>
      </c>
      <c r="D57" s="1119"/>
      <c r="E57" s="1119"/>
      <c r="F57" s="980">
        <f>SUM(F58:F60)</f>
        <v>53931</v>
      </c>
      <c r="G57" s="980">
        <f>SUM(G58:G60)</f>
        <v>5214</v>
      </c>
      <c r="H57" s="989">
        <f>SUM(H58:H60)</f>
        <v>10878</v>
      </c>
      <c r="I57" s="981">
        <f t="shared" si="0"/>
        <v>2.086306098964327</v>
      </c>
    </row>
    <row r="58" spans="1:9" ht="12.75" hidden="1">
      <c r="A58" s="1017">
        <v>4</v>
      </c>
      <c r="B58" s="982"/>
      <c r="C58" s="982" t="s">
        <v>492</v>
      </c>
      <c r="D58" s="982" t="s">
        <v>493</v>
      </c>
      <c r="E58" s="982"/>
      <c r="F58" s="983">
        <v>49961</v>
      </c>
      <c r="G58" s="983">
        <f>4755-54-27</f>
        <v>4674</v>
      </c>
      <c r="H58" s="984">
        <f>9937+856</f>
        <v>10793</v>
      </c>
      <c r="I58" s="985">
        <f t="shared" si="0"/>
        <v>2.3091570389388103</v>
      </c>
    </row>
    <row r="59" spans="1:9" ht="12.75" hidden="1">
      <c r="A59" s="1017">
        <v>5</v>
      </c>
      <c r="B59" s="982"/>
      <c r="C59" s="982" t="s">
        <v>494</v>
      </c>
      <c r="D59" s="982" t="s">
        <v>495</v>
      </c>
      <c r="E59" s="982"/>
      <c r="F59" s="983">
        <v>1679</v>
      </c>
      <c r="G59" s="983">
        <v>0</v>
      </c>
      <c r="H59" s="984">
        <v>0</v>
      </c>
      <c r="I59" s="985" t="e">
        <f t="shared" si="0"/>
        <v>#DIV/0!</v>
      </c>
    </row>
    <row r="60" spans="1:9" ht="12.75" hidden="1">
      <c r="A60" s="1017">
        <v>6</v>
      </c>
      <c r="B60" s="982"/>
      <c r="C60" s="982" t="s">
        <v>496</v>
      </c>
      <c r="D60" s="982" t="s">
        <v>497</v>
      </c>
      <c r="E60" s="982"/>
      <c r="F60" s="983">
        <v>2291</v>
      </c>
      <c r="G60" s="983">
        <v>540</v>
      </c>
      <c r="H60" s="984">
        <v>85</v>
      </c>
      <c r="I60" s="985">
        <f t="shared" si="0"/>
        <v>0.1574074074074074</v>
      </c>
    </row>
    <row r="61" spans="1:9" ht="12.75">
      <c r="A61" s="1017">
        <v>7</v>
      </c>
      <c r="B61" s="1149" t="s">
        <v>641</v>
      </c>
      <c r="C61" s="1149"/>
      <c r="D61" s="1149"/>
      <c r="E61" s="1149"/>
      <c r="F61" s="1018">
        <f>SUM(F62+F63+F67+F68+F69+F73+F71+F74)</f>
        <v>57589</v>
      </c>
      <c r="G61" s="1018">
        <f>SUM(G62+G63+G67+G68+G69+G73+G71+G74)</f>
        <v>54736</v>
      </c>
      <c r="H61" s="1018">
        <f>SUM(H62+H63+H67+H68+H69+H73+H71+H74)</f>
        <v>53356</v>
      </c>
      <c r="I61" s="1020">
        <f t="shared" si="0"/>
        <v>0.9747880736626717</v>
      </c>
    </row>
    <row r="62" spans="1:9" ht="12.75">
      <c r="A62" s="1017">
        <v>8</v>
      </c>
      <c r="B62" s="979" t="s">
        <v>498</v>
      </c>
      <c r="C62" s="1119" t="s">
        <v>499</v>
      </c>
      <c r="D62" s="1119"/>
      <c r="E62" s="1119"/>
      <c r="F62" s="980">
        <v>0</v>
      </c>
      <c r="G62" s="980">
        <v>0</v>
      </c>
      <c r="H62" s="989">
        <v>0</v>
      </c>
      <c r="I62" s="988" t="s">
        <v>45</v>
      </c>
    </row>
    <row r="63" spans="1:9" ht="12.75">
      <c r="A63" s="1017">
        <v>9</v>
      </c>
      <c r="B63" s="979" t="s">
        <v>500</v>
      </c>
      <c r="C63" s="1119" t="s">
        <v>501</v>
      </c>
      <c r="D63" s="1119"/>
      <c r="E63" s="1119"/>
      <c r="F63" s="989">
        <f>SUM(F64:F66)</f>
        <v>12626</v>
      </c>
      <c r="G63" s="989">
        <f>SUM(G64:G66)</f>
        <v>9089</v>
      </c>
      <c r="H63" s="989">
        <f>SUM(H64:H66)</f>
        <v>9089</v>
      </c>
      <c r="I63" s="981">
        <f t="shared" si="0"/>
        <v>1</v>
      </c>
    </row>
    <row r="64" spans="1:9" ht="12.75">
      <c r="A64" s="1017">
        <v>10</v>
      </c>
      <c r="B64" s="982"/>
      <c r="C64" s="982"/>
      <c r="D64" s="1150" t="s">
        <v>502</v>
      </c>
      <c r="E64" s="1151"/>
      <c r="F64" s="983">
        <v>12000</v>
      </c>
      <c r="G64" s="983">
        <v>8613</v>
      </c>
      <c r="H64" s="984">
        <v>8613</v>
      </c>
      <c r="I64" s="985">
        <f t="shared" si="0"/>
        <v>1</v>
      </c>
    </row>
    <row r="65" spans="1:9" ht="21.75" customHeight="1">
      <c r="A65" s="1017">
        <v>11</v>
      </c>
      <c r="B65" s="982"/>
      <c r="C65" s="982"/>
      <c r="D65" s="1147" t="s">
        <v>503</v>
      </c>
      <c r="E65" s="1148"/>
      <c r="F65" s="983">
        <v>276</v>
      </c>
      <c r="G65" s="983">
        <v>276</v>
      </c>
      <c r="H65" s="984">
        <v>276</v>
      </c>
      <c r="I65" s="985">
        <f t="shared" si="0"/>
        <v>1</v>
      </c>
    </row>
    <row r="66" spans="1:9" ht="12.75">
      <c r="A66" s="1017">
        <v>12</v>
      </c>
      <c r="B66" s="982"/>
      <c r="C66" s="982"/>
      <c r="D66" s="1150" t="s">
        <v>504</v>
      </c>
      <c r="E66" s="1151"/>
      <c r="F66" s="983">
        <v>350</v>
      </c>
      <c r="G66" s="983">
        <v>200</v>
      </c>
      <c r="H66" s="984">
        <v>200</v>
      </c>
      <c r="I66" s="985">
        <f t="shared" si="0"/>
        <v>1</v>
      </c>
    </row>
    <row r="67" spans="1:9" ht="12.75">
      <c r="A67" s="1017">
        <v>13</v>
      </c>
      <c r="B67" s="979" t="s">
        <v>505</v>
      </c>
      <c r="C67" s="1119" t="s">
        <v>506</v>
      </c>
      <c r="D67" s="1119"/>
      <c r="E67" s="1119"/>
      <c r="F67" s="980">
        <v>15</v>
      </c>
      <c r="G67" s="980">
        <v>4</v>
      </c>
      <c r="H67" s="989">
        <v>4</v>
      </c>
      <c r="I67" s="981">
        <f t="shared" si="0"/>
        <v>1</v>
      </c>
    </row>
    <row r="68" spans="1:9" ht="12.75">
      <c r="A68" s="1017">
        <v>14</v>
      </c>
      <c r="B68" s="979" t="s">
        <v>507</v>
      </c>
      <c r="C68" s="1152" t="s">
        <v>508</v>
      </c>
      <c r="D68" s="1153"/>
      <c r="E68" s="1154"/>
      <c r="F68" s="980">
        <v>0</v>
      </c>
      <c r="G68" s="980">
        <v>0</v>
      </c>
      <c r="H68" s="989">
        <v>0</v>
      </c>
      <c r="I68" s="988" t="s">
        <v>45</v>
      </c>
    </row>
    <row r="69" spans="1:9" ht="12.75">
      <c r="A69" s="1017">
        <v>15</v>
      </c>
      <c r="B69" s="979" t="s">
        <v>509</v>
      </c>
      <c r="C69" s="1152" t="s">
        <v>510</v>
      </c>
      <c r="D69" s="1153"/>
      <c r="E69" s="1154"/>
      <c r="F69" s="980">
        <f>SUM(F70)</f>
        <v>23940</v>
      </c>
      <c r="G69" s="980">
        <f>SUM(G70)</f>
        <v>24801</v>
      </c>
      <c r="H69" s="989">
        <f>SUM(H70)</f>
        <v>24800</v>
      </c>
      <c r="I69" s="981">
        <f t="shared" si="0"/>
        <v>0.9999596790451998</v>
      </c>
    </row>
    <row r="70" spans="1:9" ht="12.75">
      <c r="A70" s="1017">
        <v>16</v>
      </c>
      <c r="B70" s="982"/>
      <c r="C70" s="982"/>
      <c r="D70" s="1150" t="s">
        <v>511</v>
      </c>
      <c r="E70" s="1151"/>
      <c r="F70" s="983">
        <v>23940</v>
      </c>
      <c r="G70" s="983">
        <v>24801</v>
      </c>
      <c r="H70" s="984">
        <v>24800</v>
      </c>
      <c r="I70" s="985">
        <f t="shared" si="0"/>
        <v>0.9999596790451998</v>
      </c>
    </row>
    <row r="71" spans="1:9" ht="12.75">
      <c r="A71" s="1017">
        <v>17</v>
      </c>
      <c r="B71" s="979" t="s">
        <v>512</v>
      </c>
      <c r="C71" s="1152" t="s">
        <v>513</v>
      </c>
      <c r="D71" s="1153"/>
      <c r="E71" s="1154"/>
      <c r="F71" s="980">
        <f>SUM(F72:F72)</f>
        <v>14669</v>
      </c>
      <c r="G71" s="980">
        <f>SUM(G72:G72)</f>
        <v>11919</v>
      </c>
      <c r="H71" s="989">
        <f>SUM(H72:H72)</f>
        <v>11919</v>
      </c>
      <c r="I71" s="981">
        <f t="shared" si="0"/>
        <v>1</v>
      </c>
    </row>
    <row r="72" spans="1:9" ht="12.75">
      <c r="A72" s="1017">
        <v>18</v>
      </c>
      <c r="B72" s="982"/>
      <c r="C72" s="982"/>
      <c r="D72" s="1150" t="s">
        <v>514</v>
      </c>
      <c r="E72" s="1151"/>
      <c r="F72" s="983">
        <v>14669</v>
      </c>
      <c r="G72" s="983">
        <v>11919</v>
      </c>
      <c r="H72" s="984">
        <v>11919</v>
      </c>
      <c r="I72" s="985">
        <f t="shared" si="0"/>
        <v>1</v>
      </c>
    </row>
    <row r="73" spans="1:9" ht="12.75">
      <c r="A73" s="1017">
        <v>19</v>
      </c>
      <c r="B73" s="979" t="s">
        <v>515</v>
      </c>
      <c r="C73" s="1119" t="s">
        <v>516</v>
      </c>
      <c r="D73" s="1119"/>
      <c r="E73" s="1119"/>
      <c r="F73" s="980">
        <v>0</v>
      </c>
      <c r="G73" s="980">
        <v>0</v>
      </c>
      <c r="H73" s="989">
        <v>0</v>
      </c>
      <c r="I73" s="988" t="s">
        <v>45</v>
      </c>
    </row>
    <row r="74" spans="1:9" ht="12.75">
      <c r="A74" s="1017">
        <v>20</v>
      </c>
      <c r="B74" s="979" t="s">
        <v>517</v>
      </c>
      <c r="C74" s="1152" t="s">
        <v>518</v>
      </c>
      <c r="D74" s="1153"/>
      <c r="E74" s="1154"/>
      <c r="F74" s="980">
        <f>SUM(F75:F78)</f>
        <v>6339</v>
      </c>
      <c r="G74" s="980">
        <f>SUM(G75:G78)</f>
        <v>8923</v>
      </c>
      <c r="H74" s="980">
        <f>SUM(H75:H78)</f>
        <v>7544</v>
      </c>
      <c r="I74" s="981">
        <f t="shared" si="0"/>
        <v>0.8454555642721058</v>
      </c>
    </row>
    <row r="75" spans="1:9" ht="12.75">
      <c r="A75" s="1017">
        <v>21</v>
      </c>
      <c r="B75" s="982"/>
      <c r="C75" s="982"/>
      <c r="D75" s="1150" t="s">
        <v>1164</v>
      </c>
      <c r="E75" s="1151"/>
      <c r="F75" s="983">
        <v>3019</v>
      </c>
      <c r="G75" s="983">
        <v>4682</v>
      </c>
      <c r="H75" s="984">
        <v>4682</v>
      </c>
      <c r="I75" s="985">
        <f aca="true" t="shared" si="1" ref="I75:I144">H75/G75</f>
        <v>1</v>
      </c>
    </row>
    <row r="76" spans="1:9" ht="12.75">
      <c r="A76" s="1017">
        <v>22</v>
      </c>
      <c r="B76" s="982"/>
      <c r="C76" s="982"/>
      <c r="D76" s="1150" t="s">
        <v>1165</v>
      </c>
      <c r="E76" s="1151"/>
      <c r="F76" s="983">
        <v>520</v>
      </c>
      <c r="G76" s="983">
        <v>111</v>
      </c>
      <c r="H76" s="984">
        <v>111</v>
      </c>
      <c r="I76" s="985">
        <f t="shared" si="1"/>
        <v>1</v>
      </c>
    </row>
    <row r="77" spans="1:9" ht="12.75">
      <c r="A77" s="1017">
        <v>23</v>
      </c>
      <c r="B77" s="982"/>
      <c r="C77" s="982"/>
      <c r="D77" s="1150" t="s">
        <v>1166</v>
      </c>
      <c r="E77" s="1151"/>
      <c r="F77" s="983">
        <v>1500</v>
      </c>
      <c r="G77" s="983">
        <v>1500</v>
      </c>
      <c r="H77" s="984">
        <v>948</v>
      </c>
      <c r="I77" s="985">
        <f t="shared" si="1"/>
        <v>0.632</v>
      </c>
    </row>
    <row r="78" spans="1:9" ht="12.75">
      <c r="A78" s="1017">
        <v>24</v>
      </c>
      <c r="B78" s="1031"/>
      <c r="C78" s="1032"/>
      <c r="D78" s="1150" t="s">
        <v>1167</v>
      </c>
      <c r="E78" s="1151"/>
      <c r="F78" s="983">
        <v>1300</v>
      </c>
      <c r="G78" s="983">
        <v>2630</v>
      </c>
      <c r="H78" s="984">
        <v>1803</v>
      </c>
      <c r="I78" s="985">
        <f t="shared" si="1"/>
        <v>0.6855513307984791</v>
      </c>
    </row>
    <row r="79" spans="1:9" ht="12.75">
      <c r="A79" s="1017">
        <v>25</v>
      </c>
      <c r="B79" s="1155" t="s">
        <v>642</v>
      </c>
      <c r="C79" s="1156"/>
      <c r="D79" s="1156"/>
      <c r="E79" s="1157"/>
      <c r="F79" s="1018">
        <f>SUM(F112+F101+F100+F99+F98+F97+F96+F85+F84+F83+F82+F81+F80)</f>
        <v>268292</v>
      </c>
      <c r="G79" s="1018">
        <f>SUM(G112+G101+G100+G99+G98+G97+G96+G85+G84+G83+G82+G81+G80)</f>
        <v>345697</v>
      </c>
      <c r="H79" s="1018">
        <f>SUM(H112+H101+H100+H99+H98+H97+H96+H85+H84+H83+H82+H81+H80)</f>
        <v>293312</v>
      </c>
      <c r="I79" s="1020">
        <f t="shared" si="1"/>
        <v>0.8484655637740565</v>
      </c>
    </row>
    <row r="80" spans="1:9" ht="12.75">
      <c r="A80" s="1017">
        <v>26</v>
      </c>
      <c r="B80" s="982"/>
      <c r="C80" s="982" t="s">
        <v>519</v>
      </c>
      <c r="D80" s="982" t="s">
        <v>520</v>
      </c>
      <c r="E80" s="982"/>
      <c r="F80" s="983">
        <v>0</v>
      </c>
      <c r="G80" s="983">
        <v>0</v>
      </c>
      <c r="H80" s="984">
        <v>0</v>
      </c>
      <c r="I80" s="988" t="s">
        <v>45</v>
      </c>
    </row>
    <row r="81" spans="1:9" ht="12.75">
      <c r="A81" s="1017">
        <v>27</v>
      </c>
      <c r="B81" s="982"/>
      <c r="C81" s="982" t="s">
        <v>521</v>
      </c>
      <c r="D81" s="982" t="s">
        <v>522</v>
      </c>
      <c r="E81" s="982"/>
      <c r="F81" s="983">
        <v>0</v>
      </c>
      <c r="G81" s="983">
        <v>27210</v>
      </c>
      <c r="H81" s="984">
        <v>27209</v>
      </c>
      <c r="I81" s="985">
        <f t="shared" si="1"/>
        <v>0.9999632488055862</v>
      </c>
    </row>
    <row r="82" spans="1:9" ht="12.75">
      <c r="A82" s="1017">
        <v>28</v>
      </c>
      <c r="B82" s="982"/>
      <c r="C82" s="982" t="s">
        <v>523</v>
      </c>
      <c r="D82" s="1132" t="s">
        <v>1171</v>
      </c>
      <c r="E82" s="1133"/>
      <c r="F82" s="983">
        <v>0</v>
      </c>
      <c r="G82" s="983">
        <v>0</v>
      </c>
      <c r="H82" s="984">
        <v>0</v>
      </c>
      <c r="I82" s="988" t="s">
        <v>45</v>
      </c>
    </row>
    <row r="83" spans="1:9" ht="12.75">
      <c r="A83" s="1017">
        <v>29</v>
      </c>
      <c r="B83" s="982"/>
      <c r="C83" s="982" t="s">
        <v>524</v>
      </c>
      <c r="D83" s="1132" t="s">
        <v>525</v>
      </c>
      <c r="E83" s="1133"/>
      <c r="F83" s="983">
        <v>0</v>
      </c>
      <c r="G83" s="983">
        <v>41355</v>
      </c>
      <c r="H83" s="984">
        <v>41355</v>
      </c>
      <c r="I83" s="985">
        <f t="shared" si="1"/>
        <v>1</v>
      </c>
    </row>
    <row r="84" spans="1:9" ht="12.75">
      <c r="A84" s="1017">
        <v>30</v>
      </c>
      <c r="B84" s="982"/>
      <c r="C84" s="982" t="s">
        <v>526</v>
      </c>
      <c r="D84" s="1132" t="s">
        <v>527</v>
      </c>
      <c r="E84" s="1133"/>
      <c r="F84" s="983">
        <v>0</v>
      </c>
      <c r="G84" s="983">
        <v>0</v>
      </c>
      <c r="H84" s="984">
        <v>0</v>
      </c>
      <c r="I84" s="988" t="s">
        <v>45</v>
      </c>
    </row>
    <row r="85" spans="1:9" ht="12" customHeight="1">
      <c r="A85" s="1017">
        <v>31</v>
      </c>
      <c r="B85" s="982"/>
      <c r="C85" s="982" t="s">
        <v>528</v>
      </c>
      <c r="D85" s="1132" t="s">
        <v>529</v>
      </c>
      <c r="E85" s="1133"/>
      <c r="F85" s="983">
        <v>436</v>
      </c>
      <c r="G85" s="983">
        <v>1092</v>
      </c>
      <c r="H85" s="984">
        <v>999</v>
      </c>
      <c r="I85" s="985">
        <f t="shared" si="1"/>
        <v>0.9148351648351648</v>
      </c>
    </row>
    <row r="86" spans="1:9" ht="12.75" hidden="1">
      <c r="A86" s="1017"/>
      <c r="B86" s="990"/>
      <c r="C86" s="991" t="s">
        <v>251</v>
      </c>
      <c r="D86" s="991" t="s">
        <v>252</v>
      </c>
      <c r="E86" s="991" t="s">
        <v>253</v>
      </c>
      <c r="F86" s="992">
        <v>0</v>
      </c>
      <c r="G86" s="992">
        <v>0</v>
      </c>
      <c r="H86" s="993">
        <v>0</v>
      </c>
      <c r="I86" s="994" t="e">
        <f t="shared" si="1"/>
        <v>#DIV/0!</v>
      </c>
    </row>
    <row r="87" spans="1:9" ht="12.75" hidden="1">
      <c r="A87" s="1017"/>
      <c r="B87" s="990"/>
      <c r="C87" s="991"/>
      <c r="D87" s="991" t="s">
        <v>254</v>
      </c>
      <c r="E87" s="991" t="s">
        <v>255</v>
      </c>
      <c r="F87" s="992">
        <v>0</v>
      </c>
      <c r="G87" s="992">
        <v>0</v>
      </c>
      <c r="H87" s="993">
        <v>0</v>
      </c>
      <c r="I87" s="994" t="e">
        <f t="shared" si="1"/>
        <v>#DIV/0!</v>
      </c>
    </row>
    <row r="88" spans="1:9" ht="12.75" hidden="1">
      <c r="A88" s="1017"/>
      <c r="B88" s="990"/>
      <c r="C88" s="991"/>
      <c r="D88" s="991" t="s">
        <v>256</v>
      </c>
      <c r="E88" s="991" t="s">
        <v>530</v>
      </c>
      <c r="F88" s="992">
        <v>0</v>
      </c>
      <c r="G88" s="992">
        <v>0</v>
      </c>
      <c r="H88" s="993">
        <v>0</v>
      </c>
      <c r="I88" s="994" t="e">
        <f t="shared" si="1"/>
        <v>#DIV/0!</v>
      </c>
    </row>
    <row r="89" spans="1:9" ht="12.75" hidden="1">
      <c r="A89" s="1017"/>
      <c r="B89" s="990"/>
      <c r="C89" s="991"/>
      <c r="D89" s="991" t="s">
        <v>258</v>
      </c>
      <c r="E89" s="991" t="s">
        <v>259</v>
      </c>
      <c r="F89" s="992">
        <v>0</v>
      </c>
      <c r="G89" s="992">
        <v>0</v>
      </c>
      <c r="H89" s="993">
        <v>0</v>
      </c>
      <c r="I89" s="994" t="e">
        <f t="shared" si="1"/>
        <v>#DIV/0!</v>
      </c>
    </row>
    <row r="90" spans="1:9" ht="12.75" hidden="1">
      <c r="A90" s="1017"/>
      <c r="B90" s="990"/>
      <c r="C90" s="991"/>
      <c r="D90" s="991" t="s">
        <v>260</v>
      </c>
      <c r="E90" s="991" t="s">
        <v>261</v>
      </c>
      <c r="F90" s="992">
        <v>0</v>
      </c>
      <c r="G90" s="992">
        <v>0</v>
      </c>
      <c r="H90" s="993">
        <v>0</v>
      </c>
      <c r="I90" s="994" t="e">
        <f t="shared" si="1"/>
        <v>#DIV/0!</v>
      </c>
    </row>
    <row r="91" spans="1:9" ht="12.75" hidden="1">
      <c r="A91" s="1017"/>
      <c r="B91" s="990"/>
      <c r="C91" s="991"/>
      <c r="D91" s="991" t="s">
        <v>262</v>
      </c>
      <c r="E91" s="991" t="s">
        <v>263</v>
      </c>
      <c r="F91" s="992">
        <v>0</v>
      </c>
      <c r="G91" s="992">
        <v>0</v>
      </c>
      <c r="H91" s="993">
        <v>0</v>
      </c>
      <c r="I91" s="994" t="e">
        <f t="shared" si="1"/>
        <v>#DIV/0!</v>
      </c>
    </row>
    <row r="92" spans="1:9" ht="12.75" hidden="1">
      <c r="A92" s="1017"/>
      <c r="B92" s="990"/>
      <c r="C92" s="991"/>
      <c r="D92" s="991" t="s">
        <v>264</v>
      </c>
      <c r="E92" s="991" t="s">
        <v>265</v>
      </c>
      <c r="F92" s="992">
        <v>280</v>
      </c>
      <c r="G92" s="992">
        <v>0</v>
      </c>
      <c r="H92" s="993">
        <v>0</v>
      </c>
      <c r="I92" s="994" t="e">
        <f t="shared" si="1"/>
        <v>#DIV/0!</v>
      </c>
    </row>
    <row r="93" spans="1:9" ht="12.75" hidden="1">
      <c r="A93" s="1017"/>
      <c r="B93" s="990"/>
      <c r="C93" s="991"/>
      <c r="D93" s="991" t="s">
        <v>266</v>
      </c>
      <c r="E93" s="991" t="s">
        <v>267</v>
      </c>
      <c r="F93" s="992">
        <v>97</v>
      </c>
      <c r="G93" s="992">
        <v>0</v>
      </c>
      <c r="H93" s="993">
        <v>0</v>
      </c>
      <c r="I93" s="994" t="e">
        <f t="shared" si="1"/>
        <v>#DIV/0!</v>
      </c>
    </row>
    <row r="94" spans="1:9" ht="12.75" hidden="1">
      <c r="A94" s="1017"/>
      <c r="B94" s="990"/>
      <c r="C94" s="991"/>
      <c r="D94" s="991" t="s">
        <v>268</v>
      </c>
      <c r="E94" s="991" t="s">
        <v>269</v>
      </c>
      <c r="F94" s="992">
        <v>0</v>
      </c>
      <c r="G94" s="992">
        <v>0</v>
      </c>
      <c r="H94" s="993">
        <v>0</v>
      </c>
      <c r="I94" s="994" t="e">
        <f t="shared" si="1"/>
        <v>#DIV/0!</v>
      </c>
    </row>
    <row r="95" spans="1:9" ht="12.75" hidden="1">
      <c r="A95" s="1017"/>
      <c r="B95" s="990"/>
      <c r="C95" s="991"/>
      <c r="D95" s="991" t="s">
        <v>270</v>
      </c>
      <c r="E95" s="991" t="s">
        <v>271</v>
      </c>
      <c r="F95" s="992">
        <v>0</v>
      </c>
      <c r="G95" s="992">
        <v>0</v>
      </c>
      <c r="H95" s="993">
        <v>0</v>
      </c>
      <c r="I95" s="994" t="e">
        <f t="shared" si="1"/>
        <v>#DIV/0!</v>
      </c>
    </row>
    <row r="96" spans="1:9" ht="12.75">
      <c r="A96" s="1017">
        <v>32</v>
      </c>
      <c r="B96" s="982"/>
      <c r="C96" s="982" t="s">
        <v>531</v>
      </c>
      <c r="D96" s="1132" t="s">
        <v>532</v>
      </c>
      <c r="E96" s="1133"/>
      <c r="F96" s="983">
        <v>0</v>
      </c>
      <c r="G96" s="983">
        <v>0</v>
      </c>
      <c r="H96" s="984">
        <v>0</v>
      </c>
      <c r="I96" s="988" t="s">
        <v>45</v>
      </c>
    </row>
    <row r="97" spans="1:9" ht="12.75">
      <c r="A97" s="1017">
        <v>33</v>
      </c>
      <c r="B97" s="982"/>
      <c r="C97" s="982" t="s">
        <v>533</v>
      </c>
      <c r="D97" s="1132" t="s">
        <v>534</v>
      </c>
      <c r="E97" s="1133"/>
      <c r="F97" s="983">
        <v>21668</v>
      </c>
      <c r="G97" s="983">
        <v>24547</v>
      </c>
      <c r="H97" s="984">
        <v>24547</v>
      </c>
      <c r="I97" s="985">
        <f t="shared" si="1"/>
        <v>1</v>
      </c>
    </row>
    <row r="98" spans="1:9" ht="12.75">
      <c r="A98" s="1017">
        <v>34</v>
      </c>
      <c r="B98" s="982"/>
      <c r="C98" s="982" t="s">
        <v>535</v>
      </c>
      <c r="D98" s="1132" t="s">
        <v>536</v>
      </c>
      <c r="E98" s="1133"/>
      <c r="F98" s="983">
        <v>0</v>
      </c>
      <c r="G98" s="983">
        <v>0</v>
      </c>
      <c r="H98" s="984">
        <v>0</v>
      </c>
      <c r="I98" s="988" t="s">
        <v>45</v>
      </c>
    </row>
    <row r="99" spans="1:9" ht="12.75">
      <c r="A99" s="1017">
        <v>35</v>
      </c>
      <c r="B99" s="982"/>
      <c r="C99" s="982" t="s">
        <v>537</v>
      </c>
      <c r="D99" s="1132" t="s">
        <v>538</v>
      </c>
      <c r="E99" s="1133"/>
      <c r="F99" s="983">
        <v>0</v>
      </c>
      <c r="G99" s="983">
        <v>0</v>
      </c>
      <c r="H99" s="984">
        <v>0</v>
      </c>
      <c r="I99" s="988" t="s">
        <v>45</v>
      </c>
    </row>
    <row r="100" spans="1:9" ht="12.75">
      <c r="A100" s="1017">
        <v>36</v>
      </c>
      <c r="B100" s="982"/>
      <c r="C100" s="982" t="s">
        <v>539</v>
      </c>
      <c r="D100" s="1132" t="s">
        <v>1172</v>
      </c>
      <c r="E100" s="1133"/>
      <c r="F100" s="983">
        <v>0</v>
      </c>
      <c r="G100" s="983">
        <v>0</v>
      </c>
      <c r="H100" s="984">
        <v>0</v>
      </c>
      <c r="I100" s="988" t="s">
        <v>45</v>
      </c>
    </row>
    <row r="101" spans="1:9" ht="11.25" customHeight="1">
      <c r="A101" s="1017">
        <v>37</v>
      </c>
      <c r="B101" s="982"/>
      <c r="C101" s="982" t="s">
        <v>541</v>
      </c>
      <c r="D101" s="1132" t="s">
        <v>540</v>
      </c>
      <c r="E101" s="1133"/>
      <c r="F101" s="983">
        <v>199057</v>
      </c>
      <c r="G101" s="983">
        <v>199300</v>
      </c>
      <c r="H101" s="984">
        <v>199202</v>
      </c>
      <c r="I101" s="985">
        <f t="shared" si="1"/>
        <v>0.9995082789764175</v>
      </c>
    </row>
    <row r="102" spans="1:9" ht="12.75" hidden="1">
      <c r="A102" s="1017"/>
      <c r="B102" s="941"/>
      <c r="C102" s="991" t="s">
        <v>251</v>
      </c>
      <c r="D102" s="991" t="s">
        <v>252</v>
      </c>
      <c r="E102" s="991" t="s">
        <v>368</v>
      </c>
      <c r="F102" s="992">
        <v>0</v>
      </c>
      <c r="G102" s="992">
        <v>0</v>
      </c>
      <c r="H102" s="993">
        <v>0</v>
      </c>
      <c r="I102" s="994" t="e">
        <f t="shared" si="1"/>
        <v>#DIV/0!</v>
      </c>
    </row>
    <row r="103" spans="1:9" ht="12.75" hidden="1">
      <c r="A103" s="1017"/>
      <c r="B103" s="941"/>
      <c r="C103" s="991"/>
      <c r="D103" s="991" t="s">
        <v>254</v>
      </c>
      <c r="E103" s="991" t="s">
        <v>369</v>
      </c>
      <c r="F103" s="992">
        <v>0</v>
      </c>
      <c r="G103" s="992">
        <v>0</v>
      </c>
      <c r="H103" s="993">
        <v>0</v>
      </c>
      <c r="I103" s="994" t="e">
        <f t="shared" si="1"/>
        <v>#DIV/0!</v>
      </c>
    </row>
    <row r="104" spans="1:9" ht="12.75" hidden="1">
      <c r="A104" s="1017"/>
      <c r="B104" s="941"/>
      <c r="C104" s="991"/>
      <c r="D104" s="991" t="s">
        <v>256</v>
      </c>
      <c r="E104" s="991" t="s">
        <v>370</v>
      </c>
      <c r="F104" s="992">
        <v>0</v>
      </c>
      <c r="G104" s="992">
        <v>0</v>
      </c>
      <c r="H104" s="993">
        <v>0</v>
      </c>
      <c r="I104" s="994" t="e">
        <f t="shared" si="1"/>
        <v>#DIV/0!</v>
      </c>
    </row>
    <row r="105" spans="1:9" ht="12.75" hidden="1">
      <c r="A105" s="1017"/>
      <c r="B105" s="941"/>
      <c r="C105" s="991"/>
      <c r="D105" s="991" t="s">
        <v>258</v>
      </c>
      <c r="E105" s="991" t="s">
        <v>371</v>
      </c>
      <c r="F105" s="992">
        <v>0</v>
      </c>
      <c r="G105" s="992">
        <v>0</v>
      </c>
      <c r="H105" s="993">
        <v>0</v>
      </c>
      <c r="I105" s="994" t="e">
        <f t="shared" si="1"/>
        <v>#DIV/0!</v>
      </c>
    </row>
    <row r="106" spans="1:9" ht="12.75" hidden="1">
      <c r="A106" s="1017"/>
      <c r="B106" s="941"/>
      <c r="C106" s="991"/>
      <c r="D106" s="991" t="s">
        <v>260</v>
      </c>
      <c r="E106" s="991" t="s">
        <v>372</v>
      </c>
      <c r="F106" s="992">
        <v>0</v>
      </c>
      <c r="G106" s="992">
        <v>0</v>
      </c>
      <c r="H106" s="993">
        <v>0</v>
      </c>
      <c r="I106" s="994" t="e">
        <f t="shared" si="1"/>
        <v>#DIV/0!</v>
      </c>
    </row>
    <row r="107" spans="1:9" ht="12.75" hidden="1">
      <c r="A107" s="1017"/>
      <c r="B107" s="990"/>
      <c r="C107" s="991"/>
      <c r="D107" s="991" t="s">
        <v>262</v>
      </c>
      <c r="E107" s="991" t="s">
        <v>373</v>
      </c>
      <c r="F107" s="992">
        <v>175165</v>
      </c>
      <c r="G107" s="992">
        <v>0</v>
      </c>
      <c r="H107" s="993">
        <v>0</v>
      </c>
      <c r="I107" s="994" t="e">
        <f t="shared" si="1"/>
        <v>#DIV/0!</v>
      </c>
    </row>
    <row r="108" spans="1:9" ht="12.75" hidden="1">
      <c r="A108" s="1017"/>
      <c r="B108" s="990"/>
      <c r="C108" s="991"/>
      <c r="D108" s="991" t="s">
        <v>264</v>
      </c>
      <c r="E108" s="991" t="s">
        <v>374</v>
      </c>
      <c r="F108" s="992">
        <v>100</v>
      </c>
      <c r="G108" s="992">
        <v>0</v>
      </c>
      <c r="H108" s="993">
        <v>0</v>
      </c>
      <c r="I108" s="994" t="e">
        <f t="shared" si="1"/>
        <v>#DIV/0!</v>
      </c>
    </row>
    <row r="109" spans="1:9" ht="12.75" hidden="1">
      <c r="A109" s="1017"/>
      <c r="B109" s="941"/>
      <c r="C109" s="991"/>
      <c r="D109" s="991" t="s">
        <v>266</v>
      </c>
      <c r="E109" s="991" t="s">
        <v>375</v>
      </c>
      <c r="F109" s="992">
        <v>0</v>
      </c>
      <c r="G109" s="992">
        <v>0</v>
      </c>
      <c r="H109" s="993">
        <v>0</v>
      </c>
      <c r="I109" s="994" t="e">
        <f t="shared" si="1"/>
        <v>#DIV/0!</v>
      </c>
    </row>
    <row r="110" spans="1:9" ht="12.75" hidden="1">
      <c r="A110" s="1017"/>
      <c r="B110" s="941"/>
      <c r="C110" s="991"/>
      <c r="D110" s="991" t="s">
        <v>268</v>
      </c>
      <c r="E110" s="991" t="s">
        <v>376</v>
      </c>
      <c r="F110" s="992">
        <v>0</v>
      </c>
      <c r="G110" s="992">
        <v>0</v>
      </c>
      <c r="H110" s="993">
        <v>0</v>
      </c>
      <c r="I110" s="994" t="e">
        <f t="shared" si="1"/>
        <v>#DIV/0!</v>
      </c>
    </row>
    <row r="111" spans="1:9" ht="12.75" hidden="1">
      <c r="A111" s="1017"/>
      <c r="B111" s="941"/>
      <c r="C111" s="991"/>
      <c r="D111" s="991" t="s">
        <v>270</v>
      </c>
      <c r="E111" s="991" t="s">
        <v>377</v>
      </c>
      <c r="F111" s="992">
        <v>0</v>
      </c>
      <c r="G111" s="992">
        <v>0</v>
      </c>
      <c r="H111" s="993">
        <v>0</v>
      </c>
      <c r="I111" s="994" t="e">
        <f t="shared" si="1"/>
        <v>#DIV/0!</v>
      </c>
    </row>
    <row r="112" spans="1:9" ht="12.75">
      <c r="A112" s="1017">
        <v>38</v>
      </c>
      <c r="B112" s="941"/>
      <c r="C112" s="982" t="s">
        <v>1168</v>
      </c>
      <c r="D112" s="1132" t="s">
        <v>542</v>
      </c>
      <c r="E112" s="1133"/>
      <c r="F112" s="983">
        <f>SUM(F113:F119)</f>
        <v>47131</v>
      </c>
      <c r="G112" s="983">
        <f>SUM(G113:G119)</f>
        <v>52193</v>
      </c>
      <c r="H112" s="984">
        <f>SUM(H113:H119)</f>
        <v>0</v>
      </c>
      <c r="I112" s="985">
        <f t="shared" si="1"/>
        <v>0</v>
      </c>
    </row>
    <row r="113" spans="1:9" ht="12.75">
      <c r="A113" s="1017">
        <v>39</v>
      </c>
      <c r="B113" s="990"/>
      <c r="C113" s="991"/>
      <c r="D113" s="1033" t="s">
        <v>251</v>
      </c>
      <c r="E113" s="1034" t="s">
        <v>543</v>
      </c>
      <c r="F113" s="992">
        <v>1000</v>
      </c>
      <c r="G113" s="992">
        <v>0</v>
      </c>
      <c r="H113" s="993">
        <v>0</v>
      </c>
      <c r="I113" s="988" t="s">
        <v>45</v>
      </c>
    </row>
    <row r="114" spans="1:9" ht="12.75">
      <c r="A114" s="1017">
        <v>40</v>
      </c>
      <c r="B114" s="990"/>
      <c r="C114" s="991"/>
      <c r="D114" s="1033"/>
      <c r="E114" s="1034" t="s">
        <v>544</v>
      </c>
      <c r="F114" s="992">
        <v>200</v>
      </c>
      <c r="G114" s="992">
        <v>2811</v>
      </c>
      <c r="H114" s="993">
        <v>0</v>
      </c>
      <c r="I114" s="994">
        <f t="shared" si="1"/>
        <v>0</v>
      </c>
    </row>
    <row r="115" spans="1:9" ht="12.75">
      <c r="A115" s="1017">
        <v>41</v>
      </c>
      <c r="B115" s="990"/>
      <c r="C115" s="991"/>
      <c r="D115" s="1033"/>
      <c r="E115" s="1034" t="s">
        <v>545</v>
      </c>
      <c r="F115" s="992">
        <v>1196</v>
      </c>
      <c r="G115" s="992">
        <v>4582</v>
      </c>
      <c r="H115" s="993">
        <v>0</v>
      </c>
      <c r="I115" s="994">
        <f t="shared" si="1"/>
        <v>0</v>
      </c>
    </row>
    <row r="116" spans="1:9" ht="12.75">
      <c r="A116" s="1017">
        <v>42</v>
      </c>
      <c r="B116" s="990"/>
      <c r="C116" s="991"/>
      <c r="D116" s="1033"/>
      <c r="E116" s="1034" t="s">
        <v>16</v>
      </c>
      <c r="F116" s="992">
        <v>1000</v>
      </c>
      <c r="G116" s="992">
        <v>0</v>
      </c>
      <c r="H116" s="993">
        <v>0</v>
      </c>
      <c r="I116" s="988" t="s">
        <v>45</v>
      </c>
    </row>
    <row r="117" spans="1:9" ht="12.75">
      <c r="A117" s="1017">
        <v>43</v>
      </c>
      <c r="B117" s="990"/>
      <c r="C117" s="991"/>
      <c r="D117" s="1033"/>
      <c r="E117" s="1034" t="s">
        <v>1169</v>
      </c>
      <c r="F117" s="992">
        <v>3000</v>
      </c>
      <c r="G117" s="992">
        <v>0</v>
      </c>
      <c r="H117" s="993">
        <v>0</v>
      </c>
      <c r="I117" s="988" t="s">
        <v>45</v>
      </c>
    </row>
    <row r="118" spans="1:9" ht="12.75">
      <c r="A118" s="1017">
        <v>44</v>
      </c>
      <c r="B118" s="990"/>
      <c r="C118" s="991"/>
      <c r="D118" s="1033"/>
      <c r="E118" s="1034" t="s">
        <v>1170</v>
      </c>
      <c r="F118" s="992">
        <v>40540</v>
      </c>
      <c r="G118" s="992">
        <v>40540</v>
      </c>
      <c r="H118" s="993">
        <v>0</v>
      </c>
      <c r="I118" s="994">
        <f t="shared" si="1"/>
        <v>0</v>
      </c>
    </row>
    <row r="119" spans="1:9" ht="12.75">
      <c r="A119" s="1017">
        <v>45</v>
      </c>
      <c r="B119" s="990"/>
      <c r="C119" s="991"/>
      <c r="D119" s="1033"/>
      <c r="E119" s="1034" t="s">
        <v>546</v>
      </c>
      <c r="F119" s="992">
        <v>195</v>
      </c>
      <c r="G119" s="992">
        <v>4260</v>
      </c>
      <c r="H119" s="993">
        <v>0</v>
      </c>
      <c r="I119" s="994">
        <f t="shared" si="1"/>
        <v>0</v>
      </c>
    </row>
    <row r="120" spans="1:9" ht="12.75">
      <c r="A120" s="1017">
        <v>46</v>
      </c>
      <c r="B120" s="990"/>
      <c r="C120" s="991"/>
      <c r="D120" s="1035"/>
      <c r="E120" s="1034" t="s">
        <v>547</v>
      </c>
      <c r="F120" s="992">
        <v>0</v>
      </c>
      <c r="G120" s="992">
        <v>0</v>
      </c>
      <c r="H120" s="993">
        <v>0</v>
      </c>
      <c r="I120" s="988" t="s">
        <v>45</v>
      </c>
    </row>
    <row r="121" spans="1:9" ht="12.75" customHeight="1">
      <c r="A121" s="1017">
        <v>47</v>
      </c>
      <c r="B121" s="1155" t="s">
        <v>643</v>
      </c>
      <c r="C121" s="1156"/>
      <c r="D121" s="1156"/>
      <c r="E121" s="1157"/>
      <c r="F121" s="1018">
        <v>1213590</v>
      </c>
      <c r="G121" s="1018">
        <v>1189628</v>
      </c>
      <c r="H121" s="1019">
        <f>1017737-6161</f>
        <v>1011576</v>
      </c>
      <c r="I121" s="1020">
        <f t="shared" si="1"/>
        <v>0.8503296828924672</v>
      </c>
    </row>
    <row r="122" spans="1:9" ht="0.75" customHeight="1" hidden="1">
      <c r="A122" s="1017"/>
      <c r="B122" s="979" t="s">
        <v>548</v>
      </c>
      <c r="C122" s="1119" t="s">
        <v>549</v>
      </c>
      <c r="D122" s="1119"/>
      <c r="E122" s="1119"/>
      <c r="F122" s="980">
        <v>1575</v>
      </c>
      <c r="G122" s="980">
        <v>0</v>
      </c>
      <c r="H122" s="989">
        <v>0</v>
      </c>
      <c r="I122" s="981" t="e">
        <f t="shared" si="1"/>
        <v>#DIV/0!</v>
      </c>
    </row>
    <row r="123" spans="1:9" ht="12.75" hidden="1">
      <c r="A123" s="1017"/>
      <c r="B123" s="979" t="s">
        <v>550</v>
      </c>
      <c r="C123" s="1119" t="s">
        <v>551</v>
      </c>
      <c r="D123" s="1119"/>
      <c r="E123" s="1119"/>
      <c r="F123" s="980">
        <f>3655+3619190</f>
        <v>3622845</v>
      </c>
      <c r="G123" s="980">
        <v>0</v>
      </c>
      <c r="H123" s="989">
        <v>0</v>
      </c>
      <c r="I123" s="981" t="e">
        <f t="shared" si="1"/>
        <v>#DIV/0!</v>
      </c>
    </row>
    <row r="124" spans="1:9" ht="12.75" hidden="1">
      <c r="A124" s="1017" t="s">
        <v>552</v>
      </c>
      <c r="B124" s="979" t="s">
        <v>553</v>
      </c>
      <c r="C124" s="1119" t="s">
        <v>554</v>
      </c>
      <c r="D124" s="1119"/>
      <c r="E124" s="1119"/>
      <c r="F124" s="980">
        <v>1811</v>
      </c>
      <c r="G124" s="980">
        <v>0</v>
      </c>
      <c r="H124" s="989">
        <v>0</v>
      </c>
      <c r="I124" s="981" t="e">
        <f t="shared" si="1"/>
        <v>#DIV/0!</v>
      </c>
    </row>
    <row r="125" spans="1:9" ht="12.75" hidden="1">
      <c r="A125" s="1017"/>
      <c r="B125" s="979" t="s">
        <v>555</v>
      </c>
      <c r="C125" s="1119" t="s">
        <v>556</v>
      </c>
      <c r="D125" s="1119"/>
      <c r="E125" s="1119"/>
      <c r="F125" s="980">
        <f>371851+1568</f>
        <v>373419</v>
      </c>
      <c r="G125" s="980">
        <v>200</v>
      </c>
      <c r="H125" s="989">
        <f>120-120</f>
        <v>0</v>
      </c>
      <c r="I125" s="981">
        <f t="shared" si="1"/>
        <v>0</v>
      </c>
    </row>
    <row r="126" spans="1:9" ht="12.75" hidden="1">
      <c r="A126" s="1017"/>
      <c r="B126" s="979" t="s">
        <v>557</v>
      </c>
      <c r="C126" s="1119" t="s">
        <v>558</v>
      </c>
      <c r="D126" s="1119"/>
      <c r="E126" s="1119"/>
      <c r="F126" s="980">
        <v>1000</v>
      </c>
      <c r="G126" s="980">
        <v>0</v>
      </c>
      <c r="H126" s="989">
        <v>0</v>
      </c>
      <c r="I126" s="981" t="e">
        <f t="shared" si="1"/>
        <v>#DIV/0!</v>
      </c>
    </row>
    <row r="127" spans="1:9" ht="12.75" hidden="1">
      <c r="A127" s="1017"/>
      <c r="B127" s="979" t="s">
        <v>559</v>
      </c>
      <c r="C127" s="1119" t="s">
        <v>560</v>
      </c>
      <c r="D127" s="1119"/>
      <c r="E127" s="1119"/>
      <c r="F127" s="980">
        <v>0</v>
      </c>
      <c r="G127" s="980">
        <v>0</v>
      </c>
      <c r="H127" s="989">
        <v>0</v>
      </c>
      <c r="I127" s="981" t="e">
        <f t="shared" si="1"/>
        <v>#DIV/0!</v>
      </c>
    </row>
    <row r="128" spans="1:9" ht="12.75" hidden="1">
      <c r="A128" s="1017"/>
      <c r="B128" s="979" t="s">
        <v>561</v>
      </c>
      <c r="C128" s="1119" t="s">
        <v>562</v>
      </c>
      <c r="D128" s="1119"/>
      <c r="E128" s="1119"/>
      <c r="F128" s="980">
        <v>102283</v>
      </c>
      <c r="G128" s="980">
        <v>54</v>
      </c>
      <c r="H128" s="989">
        <f>32-32</f>
        <v>0</v>
      </c>
      <c r="I128" s="981">
        <f t="shared" si="1"/>
        <v>0</v>
      </c>
    </row>
    <row r="129" spans="1:9" ht="12.75" customHeight="1">
      <c r="A129" s="1017">
        <v>48</v>
      </c>
      <c r="B129" s="1155" t="s">
        <v>644</v>
      </c>
      <c r="C129" s="1156"/>
      <c r="D129" s="1156"/>
      <c r="E129" s="1157"/>
      <c r="F129" s="1018">
        <v>1230</v>
      </c>
      <c r="G129" s="1018">
        <v>111029</v>
      </c>
      <c r="H129" s="1019">
        <v>109584</v>
      </c>
      <c r="I129" s="1020">
        <f t="shared" si="1"/>
        <v>0.9869853821974439</v>
      </c>
    </row>
    <row r="130" spans="1:9" ht="12.75" hidden="1">
      <c r="A130" s="1017"/>
      <c r="B130" s="979" t="s">
        <v>563</v>
      </c>
      <c r="C130" s="1119" t="s">
        <v>564</v>
      </c>
      <c r="D130" s="1119"/>
      <c r="E130" s="1119"/>
      <c r="F130" s="980">
        <v>15731</v>
      </c>
      <c r="G130" s="980">
        <v>0</v>
      </c>
      <c r="H130" s="989">
        <v>0</v>
      </c>
      <c r="I130" s="981" t="e">
        <f t="shared" si="1"/>
        <v>#DIV/0!</v>
      </c>
    </row>
    <row r="131" spans="1:9" ht="12.75" hidden="1">
      <c r="A131" s="1017"/>
      <c r="B131" s="979" t="s">
        <v>565</v>
      </c>
      <c r="C131" s="1119" t="s">
        <v>566</v>
      </c>
      <c r="D131" s="1119"/>
      <c r="E131" s="1119"/>
      <c r="F131" s="980">
        <v>0</v>
      </c>
      <c r="G131" s="980">
        <v>0</v>
      </c>
      <c r="H131" s="989">
        <v>0</v>
      </c>
      <c r="I131" s="981" t="e">
        <f t="shared" si="1"/>
        <v>#DIV/0!</v>
      </c>
    </row>
    <row r="132" spans="1:9" ht="12.75" hidden="1">
      <c r="A132" s="1017" t="s">
        <v>552</v>
      </c>
      <c r="B132" s="979" t="s">
        <v>567</v>
      </c>
      <c r="C132" s="1119" t="s">
        <v>568</v>
      </c>
      <c r="D132" s="1119"/>
      <c r="E132" s="1119"/>
      <c r="F132" s="980">
        <v>0</v>
      </c>
      <c r="G132" s="980">
        <v>0</v>
      </c>
      <c r="H132" s="989">
        <v>0</v>
      </c>
      <c r="I132" s="981" t="e">
        <f t="shared" si="1"/>
        <v>#DIV/0!</v>
      </c>
    </row>
    <row r="133" spans="1:9" ht="12.75" hidden="1">
      <c r="A133" s="1017"/>
      <c r="B133" s="979" t="s">
        <v>569</v>
      </c>
      <c r="C133" s="1119" t="s">
        <v>570</v>
      </c>
      <c r="D133" s="1119"/>
      <c r="E133" s="1119"/>
      <c r="F133" s="980">
        <v>0</v>
      </c>
      <c r="G133" s="980">
        <v>0</v>
      </c>
      <c r="H133" s="989">
        <v>0</v>
      </c>
      <c r="I133" s="981" t="e">
        <f t="shared" si="1"/>
        <v>#DIV/0!</v>
      </c>
    </row>
    <row r="134" spans="1:9" ht="12.75">
      <c r="A134" s="1017">
        <v>49</v>
      </c>
      <c r="B134" s="1155" t="s">
        <v>645</v>
      </c>
      <c r="C134" s="1156"/>
      <c r="D134" s="1156"/>
      <c r="E134" s="1157"/>
      <c r="F134" s="1018">
        <f>SUM(F143+F142+F141+F140+F139+F138+F137+F136+F135)</f>
        <v>2729</v>
      </c>
      <c r="G134" s="1018">
        <f>SUM(G143+G142+G141+G140+G139+G138+G137+G136+G135)</f>
        <v>18551</v>
      </c>
      <c r="H134" s="1018">
        <f>SUM(H143+H142+H141+H140+H139+H138+H137+H136+H135)</f>
        <v>18545</v>
      </c>
      <c r="I134" s="1020">
        <f t="shared" si="1"/>
        <v>0.9996765673009541</v>
      </c>
    </row>
    <row r="135" spans="1:9" ht="12.75">
      <c r="A135" s="1017">
        <v>50</v>
      </c>
      <c r="B135" s="979" t="s">
        <v>571</v>
      </c>
      <c r="C135" s="1119" t="s">
        <v>572</v>
      </c>
      <c r="D135" s="1119"/>
      <c r="E135" s="1119"/>
      <c r="F135" s="980">
        <v>0</v>
      </c>
      <c r="G135" s="980">
        <v>0</v>
      </c>
      <c r="H135" s="989">
        <v>0</v>
      </c>
      <c r="I135" s="988" t="s">
        <v>45</v>
      </c>
    </row>
    <row r="136" spans="1:9" ht="12.75">
      <c r="A136" s="1017">
        <v>51</v>
      </c>
      <c r="B136" s="979" t="s">
        <v>573</v>
      </c>
      <c r="C136" s="1119" t="s">
        <v>574</v>
      </c>
      <c r="D136" s="1119"/>
      <c r="E136" s="1119"/>
      <c r="F136" s="980">
        <v>0</v>
      </c>
      <c r="G136" s="980">
        <v>2199</v>
      </c>
      <c r="H136" s="989">
        <v>2199</v>
      </c>
      <c r="I136" s="981">
        <f t="shared" si="1"/>
        <v>1</v>
      </c>
    </row>
    <row r="137" spans="1:9" ht="12.75">
      <c r="A137" s="1017">
        <v>52</v>
      </c>
      <c r="B137" s="979" t="s">
        <v>575</v>
      </c>
      <c r="C137" s="1119" t="s">
        <v>576</v>
      </c>
      <c r="D137" s="1119"/>
      <c r="E137" s="1119"/>
      <c r="F137" s="980">
        <v>0</v>
      </c>
      <c r="G137" s="980">
        <v>0</v>
      </c>
      <c r="H137" s="989">
        <v>0</v>
      </c>
      <c r="I137" s="988" t="s">
        <v>45</v>
      </c>
    </row>
    <row r="138" spans="1:9" ht="12.75">
      <c r="A138" s="1017">
        <v>53</v>
      </c>
      <c r="B138" s="979" t="s">
        <v>577</v>
      </c>
      <c r="C138" s="1119" t="s">
        <v>578</v>
      </c>
      <c r="D138" s="1119"/>
      <c r="E138" s="1119"/>
      <c r="F138" s="980">
        <v>0</v>
      </c>
      <c r="G138" s="980">
        <v>260</v>
      </c>
      <c r="H138" s="989">
        <v>255</v>
      </c>
      <c r="I138" s="981">
        <f t="shared" si="1"/>
        <v>0.9807692307692307</v>
      </c>
    </row>
    <row r="139" spans="1:9" ht="12.75">
      <c r="A139" s="1017">
        <v>54</v>
      </c>
      <c r="B139" s="979" t="s">
        <v>579</v>
      </c>
      <c r="C139" s="1119" t="s">
        <v>580</v>
      </c>
      <c r="D139" s="1119"/>
      <c r="E139" s="1119"/>
      <c r="F139" s="980">
        <v>0</v>
      </c>
      <c r="G139" s="980">
        <v>0</v>
      </c>
      <c r="H139" s="989">
        <v>0</v>
      </c>
      <c r="I139" s="988" t="s">
        <v>45</v>
      </c>
    </row>
    <row r="140" spans="1:9" ht="12.75">
      <c r="A140" s="1017">
        <v>55</v>
      </c>
      <c r="B140" s="979" t="s">
        <v>581</v>
      </c>
      <c r="C140" s="1119" t="s">
        <v>582</v>
      </c>
      <c r="D140" s="1119"/>
      <c r="E140" s="1119"/>
      <c r="F140" s="980">
        <v>0</v>
      </c>
      <c r="G140" s="980">
        <v>0</v>
      </c>
      <c r="H140" s="989">
        <v>0</v>
      </c>
      <c r="I140" s="988" t="s">
        <v>45</v>
      </c>
    </row>
    <row r="141" spans="1:9" ht="12.75">
      <c r="A141" s="1017">
        <v>56</v>
      </c>
      <c r="B141" s="979" t="s">
        <v>583</v>
      </c>
      <c r="C141" s="1119" t="s">
        <v>584</v>
      </c>
      <c r="D141" s="1119"/>
      <c r="E141" s="1119"/>
      <c r="F141" s="980">
        <v>0</v>
      </c>
      <c r="G141" s="980">
        <v>0</v>
      </c>
      <c r="H141" s="989">
        <v>0</v>
      </c>
      <c r="I141" s="988" t="s">
        <v>45</v>
      </c>
    </row>
    <row r="142" spans="1:9" ht="12" customHeight="1">
      <c r="A142" s="1017">
        <v>57</v>
      </c>
      <c r="B142" s="979" t="s">
        <v>585</v>
      </c>
      <c r="C142" s="1119" t="s">
        <v>1173</v>
      </c>
      <c r="D142" s="1119"/>
      <c r="E142" s="1119"/>
      <c r="F142" s="980">
        <v>0</v>
      </c>
      <c r="G142" s="980">
        <v>0</v>
      </c>
      <c r="H142" s="989">
        <v>0</v>
      </c>
      <c r="I142" s="988" t="s">
        <v>45</v>
      </c>
    </row>
    <row r="143" spans="1:9" ht="12" customHeight="1">
      <c r="A143" s="1017">
        <v>58</v>
      </c>
      <c r="B143" s="979" t="s">
        <v>1174</v>
      </c>
      <c r="C143" s="1119" t="s">
        <v>586</v>
      </c>
      <c r="D143" s="1119"/>
      <c r="E143" s="1119"/>
      <c r="F143" s="980">
        <v>2729</v>
      </c>
      <c r="G143" s="980">
        <v>16092</v>
      </c>
      <c r="H143" s="989">
        <v>16091</v>
      </c>
      <c r="I143" s="981">
        <f t="shared" si="1"/>
        <v>0.9999378573204076</v>
      </c>
    </row>
    <row r="144" spans="1:9" ht="12.75" hidden="1">
      <c r="A144" s="1017">
        <v>55</v>
      </c>
      <c r="B144" s="941"/>
      <c r="C144" s="991" t="s">
        <v>251</v>
      </c>
      <c r="D144" s="991" t="s">
        <v>252</v>
      </c>
      <c r="E144" s="991" t="s">
        <v>368</v>
      </c>
      <c r="F144" s="992">
        <v>0</v>
      </c>
      <c r="G144" s="992">
        <v>0</v>
      </c>
      <c r="H144" s="993">
        <v>0</v>
      </c>
      <c r="I144" s="981" t="e">
        <f t="shared" si="1"/>
        <v>#DIV/0!</v>
      </c>
    </row>
    <row r="145" spans="1:9" ht="12.75" hidden="1">
      <c r="A145" s="1017">
        <v>56</v>
      </c>
      <c r="B145" s="941"/>
      <c r="C145" s="991"/>
      <c r="D145" s="991" t="s">
        <v>254</v>
      </c>
      <c r="E145" s="991" t="s">
        <v>647</v>
      </c>
      <c r="F145" s="992"/>
      <c r="G145" s="992"/>
      <c r="H145" s="993"/>
      <c r="I145" s="981" t="e">
        <f>H145/G145</f>
        <v>#DIV/0!</v>
      </c>
    </row>
    <row r="146" spans="1:9" ht="12.75" hidden="1">
      <c r="A146" s="1017">
        <v>57</v>
      </c>
      <c r="B146" s="941"/>
      <c r="C146" s="991"/>
      <c r="D146" s="991" t="s">
        <v>256</v>
      </c>
      <c r="E146" s="991" t="s">
        <v>369</v>
      </c>
      <c r="F146" s="992"/>
      <c r="G146" s="992">
        <v>0</v>
      </c>
      <c r="H146" s="993">
        <v>0</v>
      </c>
      <c r="I146" s="981" t="e">
        <f>H146/G146</f>
        <v>#DIV/0!</v>
      </c>
    </row>
    <row r="147" spans="1:9" ht="12.75" hidden="1">
      <c r="A147" s="1017">
        <v>58</v>
      </c>
      <c r="B147" s="941"/>
      <c r="C147" s="991"/>
      <c r="D147" s="991" t="s">
        <v>258</v>
      </c>
      <c r="E147" s="991" t="s">
        <v>370</v>
      </c>
      <c r="F147" s="992">
        <v>0</v>
      </c>
      <c r="G147" s="992">
        <v>0</v>
      </c>
      <c r="H147" s="993">
        <v>0</v>
      </c>
      <c r="I147" s="981" t="e">
        <f>H147/G147</f>
        <v>#DIV/0!</v>
      </c>
    </row>
    <row r="148" spans="1:9" ht="12.75" hidden="1">
      <c r="A148" s="1017">
        <v>59</v>
      </c>
      <c r="B148" s="941"/>
      <c r="C148" s="991"/>
      <c r="D148" s="991" t="s">
        <v>260</v>
      </c>
      <c r="E148" s="991" t="s">
        <v>371</v>
      </c>
      <c r="F148" s="992">
        <v>0</v>
      </c>
      <c r="G148" s="992">
        <v>0</v>
      </c>
      <c r="H148" s="993">
        <v>0</v>
      </c>
      <c r="I148" s="981" t="e">
        <f>H148/G148</f>
        <v>#DIV/0!</v>
      </c>
    </row>
    <row r="149" spans="1:9" ht="12.75" hidden="1">
      <c r="A149" s="1017">
        <v>60</v>
      </c>
      <c r="B149" s="941"/>
      <c r="C149" s="991"/>
      <c r="D149" s="991" t="s">
        <v>262</v>
      </c>
      <c r="E149" s="991" t="s">
        <v>372</v>
      </c>
      <c r="F149" s="992">
        <v>0</v>
      </c>
      <c r="G149" s="992">
        <v>0</v>
      </c>
      <c r="H149" s="993">
        <v>0</v>
      </c>
      <c r="I149" s="981" t="e">
        <f>H149/G149</f>
        <v>#DIV/0!</v>
      </c>
    </row>
    <row r="150" spans="1:9" ht="12.75" hidden="1">
      <c r="A150" s="1017">
        <v>61</v>
      </c>
      <c r="B150" s="941"/>
      <c r="C150" s="991"/>
      <c r="D150" s="991" t="s">
        <v>264</v>
      </c>
      <c r="E150" s="991" t="s">
        <v>373</v>
      </c>
      <c r="F150" s="992">
        <v>0</v>
      </c>
      <c r="G150" s="992"/>
      <c r="H150" s="993"/>
      <c r="I150" s="994" t="e">
        <f aca="true" t="shared" si="2" ref="I150:I160">H150/G150</f>
        <v>#DIV/0!</v>
      </c>
    </row>
    <row r="151" spans="1:9" ht="12.75" hidden="1">
      <c r="A151" s="1017">
        <v>62</v>
      </c>
      <c r="B151" s="941"/>
      <c r="C151" s="991"/>
      <c r="D151" s="991" t="s">
        <v>266</v>
      </c>
      <c r="E151" s="991" t="s">
        <v>374</v>
      </c>
      <c r="F151" s="992">
        <v>0</v>
      </c>
      <c r="G151" s="992">
        <v>0</v>
      </c>
      <c r="H151" s="993">
        <v>0</v>
      </c>
      <c r="I151" s="988" t="s">
        <v>45</v>
      </c>
    </row>
    <row r="152" spans="1:9" ht="12.75" hidden="1">
      <c r="A152" s="1017">
        <v>63</v>
      </c>
      <c r="B152" s="941"/>
      <c r="C152" s="991"/>
      <c r="D152" s="991" t="s">
        <v>268</v>
      </c>
      <c r="E152" s="991" t="s">
        <v>375</v>
      </c>
      <c r="F152" s="992">
        <v>0</v>
      </c>
      <c r="G152" s="992">
        <v>0</v>
      </c>
      <c r="H152" s="993">
        <v>0</v>
      </c>
      <c r="I152" s="988" t="s">
        <v>45</v>
      </c>
    </row>
    <row r="153" spans="1:9" ht="12.75" hidden="1">
      <c r="A153" s="1017">
        <v>64</v>
      </c>
      <c r="B153" s="941"/>
      <c r="C153" s="991"/>
      <c r="D153" s="991" t="s">
        <v>270</v>
      </c>
      <c r="E153" s="991" t="s">
        <v>376</v>
      </c>
      <c r="F153" s="992">
        <v>0</v>
      </c>
      <c r="G153" s="992">
        <v>0</v>
      </c>
      <c r="H153" s="993">
        <v>0</v>
      </c>
      <c r="I153" s="988" t="s">
        <v>45</v>
      </c>
    </row>
    <row r="154" spans="1:9" ht="12.75" hidden="1">
      <c r="A154" s="1017">
        <v>65</v>
      </c>
      <c r="B154" s="941"/>
      <c r="C154" s="991"/>
      <c r="D154" s="991" t="s">
        <v>648</v>
      </c>
      <c r="E154" s="991" t="s">
        <v>377</v>
      </c>
      <c r="F154" s="992">
        <v>0</v>
      </c>
      <c r="G154" s="992"/>
      <c r="H154" s="993"/>
      <c r="I154" s="994" t="e">
        <f t="shared" si="2"/>
        <v>#DIV/0!</v>
      </c>
    </row>
    <row r="155" spans="1:10" s="90" customFormat="1" ht="16.5" customHeight="1">
      <c r="A155" s="1017">
        <v>59</v>
      </c>
      <c r="B155" s="1124" t="s">
        <v>658</v>
      </c>
      <c r="C155" s="1125"/>
      <c r="D155" s="1125"/>
      <c r="E155" s="1125"/>
      <c r="F155" s="967">
        <f>SUM(F156)</f>
        <v>0</v>
      </c>
      <c r="G155" s="967">
        <f>SUM(G156)</f>
        <v>139882</v>
      </c>
      <c r="H155" s="967">
        <f>SUM(H156)</f>
        <v>139882</v>
      </c>
      <c r="I155" s="1003">
        <f t="shared" si="2"/>
        <v>1</v>
      </c>
      <c r="J155" s="1036"/>
    </row>
    <row r="156" spans="1:9" ht="12.75">
      <c r="A156" s="1017">
        <v>60</v>
      </c>
      <c r="B156" s="1155" t="s">
        <v>646</v>
      </c>
      <c r="C156" s="1156"/>
      <c r="D156" s="1156"/>
      <c r="E156" s="1157"/>
      <c r="F156" s="1018">
        <v>0</v>
      </c>
      <c r="G156" s="1018">
        <v>139882</v>
      </c>
      <c r="H156" s="1019">
        <v>139882</v>
      </c>
      <c r="I156" s="1020">
        <f t="shared" si="2"/>
        <v>1</v>
      </c>
    </row>
    <row r="157" spans="1:9" ht="12.75" hidden="1">
      <c r="A157" s="1017"/>
      <c r="B157" s="979" t="s">
        <v>587</v>
      </c>
      <c r="C157" s="1119" t="s">
        <v>588</v>
      </c>
      <c r="D157" s="1119"/>
      <c r="E157" s="1119"/>
      <c r="F157" s="980">
        <v>0</v>
      </c>
      <c r="G157" s="980">
        <v>0</v>
      </c>
      <c r="H157" s="989">
        <v>0</v>
      </c>
      <c r="I157" s="1020" t="e">
        <f t="shared" si="2"/>
        <v>#DIV/0!</v>
      </c>
    </row>
    <row r="158" spans="1:9" ht="12.75" hidden="1">
      <c r="A158" s="1017"/>
      <c r="B158" s="979" t="s">
        <v>589</v>
      </c>
      <c r="C158" s="1119" t="s">
        <v>590</v>
      </c>
      <c r="D158" s="1119"/>
      <c r="E158" s="1119"/>
      <c r="F158" s="980">
        <v>0</v>
      </c>
      <c r="G158" s="980">
        <v>0</v>
      </c>
      <c r="H158" s="989">
        <v>0</v>
      </c>
      <c r="I158" s="1020" t="e">
        <f t="shared" si="2"/>
        <v>#DIV/0!</v>
      </c>
    </row>
    <row r="159" spans="1:9" ht="12.75" hidden="1">
      <c r="A159" s="1017"/>
      <c r="B159" s="979" t="s">
        <v>591</v>
      </c>
      <c r="C159" s="1119" t="s">
        <v>592</v>
      </c>
      <c r="D159" s="1119"/>
      <c r="E159" s="1119"/>
      <c r="F159" s="980">
        <v>0</v>
      </c>
      <c r="G159" s="980">
        <v>0</v>
      </c>
      <c r="H159" s="989">
        <v>0</v>
      </c>
      <c r="I159" s="1020" t="e">
        <f t="shared" si="2"/>
        <v>#DIV/0!</v>
      </c>
    </row>
    <row r="160" spans="1:9" ht="18.75">
      <c r="A160" s="1017">
        <v>61</v>
      </c>
      <c r="B160" s="1134" t="s">
        <v>659</v>
      </c>
      <c r="C160" s="1134"/>
      <c r="D160" s="1134"/>
      <c r="E160" s="1134"/>
      <c r="F160" s="1008">
        <f>F155+F9</f>
        <v>2688791</v>
      </c>
      <c r="G160" s="1008">
        <f>G155+G9</f>
        <v>2748399</v>
      </c>
      <c r="H160" s="1008">
        <f>H155+H9</f>
        <v>2426330</v>
      </c>
      <c r="I160" s="1010">
        <f t="shared" si="2"/>
        <v>0.8828157774762689</v>
      </c>
    </row>
  </sheetData>
  <sheetProtection/>
  <mergeCells count="83">
    <mergeCell ref="C159:E159"/>
    <mergeCell ref="A6:A8"/>
    <mergeCell ref="B6:E7"/>
    <mergeCell ref="D78:E78"/>
    <mergeCell ref="C141:E141"/>
    <mergeCell ref="C143:E143"/>
    <mergeCell ref="B156:E156"/>
    <mergeCell ref="C157:E157"/>
    <mergeCell ref="C158:E158"/>
    <mergeCell ref="C136:E136"/>
    <mergeCell ref="C137:E137"/>
    <mergeCell ref="C138:E138"/>
    <mergeCell ref="C139:E139"/>
    <mergeCell ref="C140:E140"/>
    <mergeCell ref="C131:E131"/>
    <mergeCell ref="C132:E132"/>
    <mergeCell ref="C133:E133"/>
    <mergeCell ref="B134:E134"/>
    <mergeCell ref="C135:E135"/>
    <mergeCell ref="C126:E126"/>
    <mergeCell ref="C127:E127"/>
    <mergeCell ref="C128:E128"/>
    <mergeCell ref="B129:E129"/>
    <mergeCell ref="C130:E130"/>
    <mergeCell ref="B121:E121"/>
    <mergeCell ref="C122:E122"/>
    <mergeCell ref="C123:E123"/>
    <mergeCell ref="C124:E124"/>
    <mergeCell ref="C125:E125"/>
    <mergeCell ref="D97:E97"/>
    <mergeCell ref="D98:E98"/>
    <mergeCell ref="D99:E99"/>
    <mergeCell ref="D101:E101"/>
    <mergeCell ref="D112:E112"/>
    <mergeCell ref="D82:E82"/>
    <mergeCell ref="D83:E83"/>
    <mergeCell ref="D84:E84"/>
    <mergeCell ref="D85:E85"/>
    <mergeCell ref="D96:E96"/>
    <mergeCell ref="D75:E75"/>
    <mergeCell ref="D76:E76"/>
    <mergeCell ref="D77:E77"/>
    <mergeCell ref="B79:E79"/>
    <mergeCell ref="C69:E69"/>
    <mergeCell ref="D70:E70"/>
    <mergeCell ref="C71:E71"/>
    <mergeCell ref="D72:E72"/>
    <mergeCell ref="C73:E73"/>
    <mergeCell ref="B61:E61"/>
    <mergeCell ref="C62:E62"/>
    <mergeCell ref="C63:E63"/>
    <mergeCell ref="D64:E64"/>
    <mergeCell ref="D65:E65"/>
    <mergeCell ref="C74:E74"/>
    <mergeCell ref="C34:E34"/>
    <mergeCell ref="C37:E37"/>
    <mergeCell ref="C40:E40"/>
    <mergeCell ref="C54:E54"/>
    <mergeCell ref="C57:E57"/>
    <mergeCell ref="B155:E155"/>
    <mergeCell ref="C142:E142"/>
    <mergeCell ref="D66:E66"/>
    <mergeCell ref="C67:E67"/>
    <mergeCell ref="C68:E68"/>
    <mergeCell ref="B27:E27"/>
    <mergeCell ref="B33:E33"/>
    <mergeCell ref="B11:E11"/>
    <mergeCell ref="D100:E100"/>
    <mergeCell ref="B160:E160"/>
    <mergeCell ref="A1:I1"/>
    <mergeCell ref="A3:I3"/>
    <mergeCell ref="B8:E8"/>
    <mergeCell ref="B12:E12"/>
    <mergeCell ref="C13:E13"/>
    <mergeCell ref="H6:H7"/>
    <mergeCell ref="I6:I7"/>
    <mergeCell ref="E4:G4"/>
    <mergeCell ref="C23:E23"/>
    <mergeCell ref="D25:E25"/>
    <mergeCell ref="D26:E26"/>
    <mergeCell ref="F7:G7"/>
    <mergeCell ref="B9:E9"/>
    <mergeCell ref="B10:E10"/>
  </mergeCells>
  <printOptions horizontalCentered="1"/>
  <pageMargins left="0.3937007874015748" right="0.3937007874015748" top="0.984251968503937" bottom="0.984251968503937" header="0.1968503937007874" footer="0.1968503937007874"/>
  <pageSetup horizontalDpi="600" verticalDpi="600" orientation="portrait" paperSize="9" scale="68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62"/>
  <sheetViews>
    <sheetView zoomScale="90" zoomScaleNormal="90" zoomScalePageLayoutView="0" workbookViewId="0" topLeftCell="A1">
      <selection activeCell="B2" sqref="B2:I2"/>
    </sheetView>
  </sheetViews>
  <sheetFormatPr defaultColWidth="9.00390625" defaultRowHeight="12.75"/>
  <cols>
    <col min="1" max="1" width="4.125" style="163" bestFit="1" customWidth="1"/>
    <col min="2" max="2" width="55.125" style="109" bestFit="1" customWidth="1"/>
    <col min="3" max="3" width="11.875" style="109" customWidth="1"/>
    <col min="4" max="4" width="10.25390625" style="109" customWidth="1"/>
    <col min="5" max="5" width="9.875" style="109" bestFit="1" customWidth="1"/>
    <col min="6" max="6" width="53.875" style="109" bestFit="1" customWidth="1"/>
    <col min="7" max="7" width="10.25390625" style="109" customWidth="1"/>
    <col min="8" max="8" width="11.00390625" style="109" customWidth="1"/>
    <col min="9" max="9" width="10.125" style="109" bestFit="1" customWidth="1"/>
    <col min="10" max="16384" width="9.125" style="109" customWidth="1"/>
  </cols>
  <sheetData>
    <row r="1" spans="6:9" ht="12.75" customHeight="1">
      <c r="F1" s="1159" t="s">
        <v>1465</v>
      </c>
      <c r="G1" s="1160"/>
      <c r="H1" s="1160"/>
      <c r="I1" s="1160"/>
    </row>
    <row r="2" spans="1:9" ht="15.75">
      <c r="A2" s="349"/>
      <c r="B2" s="1170" t="s">
        <v>1183</v>
      </c>
      <c r="C2" s="1170"/>
      <c r="D2" s="1170"/>
      <c r="E2" s="1170"/>
      <c r="F2" s="1170"/>
      <c r="G2" s="1170"/>
      <c r="H2" s="1170"/>
      <c r="I2" s="1170"/>
    </row>
    <row r="3" ht="11.25" customHeight="1"/>
    <row r="4" spans="1:9" s="110" customFormat="1" ht="15" customHeight="1">
      <c r="A4" s="1169" t="s">
        <v>220</v>
      </c>
      <c r="B4" s="1171" t="s">
        <v>216</v>
      </c>
      <c r="C4" s="1171"/>
      <c r="D4" s="1171"/>
      <c r="E4" s="1171"/>
      <c r="F4" s="1171" t="s">
        <v>50</v>
      </c>
      <c r="G4" s="1171"/>
      <c r="H4" s="1171"/>
      <c r="I4" s="1171"/>
    </row>
    <row r="5" spans="1:9" s="113" customFormat="1" ht="27" customHeight="1">
      <c r="A5" s="1169"/>
      <c r="B5" s="111" t="s">
        <v>11</v>
      </c>
      <c r="C5" s="112" t="s">
        <v>37</v>
      </c>
      <c r="D5" s="112" t="s">
        <v>38</v>
      </c>
      <c r="E5" s="112" t="s">
        <v>20</v>
      </c>
      <c r="F5" s="111" t="s">
        <v>11</v>
      </c>
      <c r="G5" s="112" t="s">
        <v>37</v>
      </c>
      <c r="H5" s="112" t="s">
        <v>38</v>
      </c>
      <c r="I5" s="112" t="s">
        <v>20</v>
      </c>
    </row>
    <row r="6" spans="1:9" s="162" customFormat="1" ht="12">
      <c r="A6" s="1169"/>
      <c r="B6" s="161" t="s">
        <v>221</v>
      </c>
      <c r="C6" s="161" t="s">
        <v>222</v>
      </c>
      <c r="D6" s="161" t="s">
        <v>223</v>
      </c>
      <c r="E6" s="161" t="s">
        <v>224</v>
      </c>
      <c r="F6" s="161" t="s">
        <v>225</v>
      </c>
      <c r="G6" s="161" t="s">
        <v>226</v>
      </c>
      <c r="H6" s="161" t="s">
        <v>227</v>
      </c>
      <c r="I6" s="161" t="s">
        <v>228</v>
      </c>
    </row>
    <row r="7" spans="1:9" s="116" customFormat="1" ht="14.25">
      <c r="A7" s="161">
        <v>1</v>
      </c>
      <c r="B7" s="114" t="s">
        <v>668</v>
      </c>
      <c r="C7" s="115">
        <f>SUM(C33+C8)</f>
        <v>2683941</v>
      </c>
      <c r="D7" s="115">
        <f>SUM(D33+D8)</f>
        <v>2484976</v>
      </c>
      <c r="E7" s="115">
        <f>SUM(E33+E8)</f>
        <v>2263441</v>
      </c>
      <c r="F7" s="114" t="s">
        <v>669</v>
      </c>
      <c r="G7" s="115">
        <f>SUM(G33+G8)</f>
        <v>2688791</v>
      </c>
      <c r="H7" s="115">
        <f>SUM(H33+H8)</f>
        <v>2608517</v>
      </c>
      <c r="I7" s="115">
        <f>SUM(I33+I8)</f>
        <v>2286448</v>
      </c>
    </row>
    <row r="8" spans="1:9" s="120" customFormat="1" ht="12.75">
      <c r="A8" s="164">
        <v>2</v>
      </c>
      <c r="B8" s="117" t="s">
        <v>142</v>
      </c>
      <c r="C8" s="118">
        <f>SUM(C30+C18+C14+C9)</f>
        <v>1394894</v>
      </c>
      <c r="D8" s="118">
        <f>SUM(D30+D18+D14+D9)</f>
        <v>1077838</v>
      </c>
      <c r="E8" s="118">
        <f>SUM(E30+E18+E14+E9)</f>
        <v>1076559</v>
      </c>
      <c r="F8" s="119" t="s">
        <v>143</v>
      </c>
      <c r="G8" s="118">
        <f>SUM(G18+G12+G11+G10+G9)</f>
        <v>1471242</v>
      </c>
      <c r="H8" s="118">
        <f>SUM(H18+H12+H11+H10+H9)</f>
        <v>1289309</v>
      </c>
      <c r="I8" s="118">
        <f>SUM(I18+I12+I11+I10+I9)</f>
        <v>1146743</v>
      </c>
    </row>
    <row r="9" spans="1:9" s="124" customFormat="1" ht="12.75">
      <c r="A9" s="164">
        <v>3</v>
      </c>
      <c r="B9" s="121" t="s">
        <v>593</v>
      </c>
      <c r="C9" s="122">
        <f>SUM(C10:C13)</f>
        <v>779861</v>
      </c>
      <c r="D9" s="122">
        <f>SUM(D10:D13)</f>
        <v>738823</v>
      </c>
      <c r="E9" s="122">
        <f>SUM(E10:E13)</f>
        <v>738714</v>
      </c>
      <c r="F9" s="123" t="s">
        <v>144</v>
      </c>
      <c r="G9" s="122">
        <v>427287</v>
      </c>
      <c r="H9" s="122">
        <v>358671</v>
      </c>
      <c r="I9" s="122">
        <v>349376</v>
      </c>
    </row>
    <row r="10" spans="1:9" s="124" customFormat="1" ht="12.75">
      <c r="A10" s="161">
        <v>4</v>
      </c>
      <c r="B10" s="125" t="s">
        <v>594</v>
      </c>
      <c r="C10" s="126">
        <v>525185</v>
      </c>
      <c r="D10" s="126">
        <v>537190</v>
      </c>
      <c r="E10" s="126">
        <v>537190</v>
      </c>
      <c r="F10" s="123" t="s">
        <v>595</v>
      </c>
      <c r="G10" s="122">
        <v>102635</v>
      </c>
      <c r="H10" s="122">
        <v>94538</v>
      </c>
      <c r="I10" s="122">
        <v>92753</v>
      </c>
    </row>
    <row r="11" spans="1:9" s="127" customFormat="1" ht="12.75">
      <c r="A11" s="164">
        <v>5</v>
      </c>
      <c r="B11" s="125" t="s">
        <v>596</v>
      </c>
      <c r="C11" s="126">
        <v>842</v>
      </c>
      <c r="D11" s="126">
        <v>42197</v>
      </c>
      <c r="E11" s="126">
        <v>42041</v>
      </c>
      <c r="F11" s="123" t="s">
        <v>146</v>
      </c>
      <c r="G11" s="122">
        <v>615439</v>
      </c>
      <c r="H11" s="351">
        <v>435667</v>
      </c>
      <c r="I11" s="122">
        <f>357390+556</f>
        <v>357946</v>
      </c>
    </row>
    <row r="12" spans="1:9" s="127" customFormat="1" ht="12.75">
      <c r="A12" s="164">
        <v>6</v>
      </c>
      <c r="B12" s="125" t="s">
        <v>597</v>
      </c>
      <c r="C12" s="126">
        <v>253834</v>
      </c>
      <c r="D12" s="126">
        <v>146653</v>
      </c>
      <c r="E12" s="126">
        <v>146700</v>
      </c>
      <c r="F12" s="123" t="s">
        <v>145</v>
      </c>
      <c r="G12" s="122">
        <f>SUM(G13:G17)</f>
        <v>57589</v>
      </c>
      <c r="H12" s="122">
        <f>SUM(H13:H17)</f>
        <v>54736</v>
      </c>
      <c r="I12" s="122">
        <f>SUM(I13:I17)</f>
        <v>53356</v>
      </c>
    </row>
    <row r="13" spans="1:9" s="127" customFormat="1" ht="12.75">
      <c r="A13" s="164">
        <v>7</v>
      </c>
      <c r="B13" s="125" t="s">
        <v>598</v>
      </c>
      <c r="C13" s="126">
        <v>0</v>
      </c>
      <c r="D13" s="126">
        <v>12783</v>
      </c>
      <c r="E13" s="126">
        <v>12783</v>
      </c>
      <c r="F13" s="129" t="s">
        <v>663</v>
      </c>
      <c r="G13" s="126">
        <v>12626</v>
      </c>
      <c r="H13" s="126">
        <v>9089</v>
      </c>
      <c r="I13" s="126">
        <v>9089</v>
      </c>
    </row>
    <row r="14" spans="1:9" s="127" customFormat="1" ht="12.75">
      <c r="A14" s="161">
        <v>8</v>
      </c>
      <c r="B14" s="121" t="s">
        <v>599</v>
      </c>
      <c r="C14" s="122">
        <f>SUM(C15:C17)</f>
        <v>169000</v>
      </c>
      <c r="D14" s="122">
        <f>SUM(D15:D17)</f>
        <v>172504</v>
      </c>
      <c r="E14" s="122">
        <f>SUM(E15:E17)</f>
        <v>191361</v>
      </c>
      <c r="F14" s="129" t="s">
        <v>664</v>
      </c>
      <c r="G14" s="126">
        <v>15</v>
      </c>
      <c r="H14" s="126">
        <v>4</v>
      </c>
      <c r="I14" s="126">
        <v>4</v>
      </c>
    </row>
    <row r="15" spans="1:9" s="124" customFormat="1" ht="12.75">
      <c r="A15" s="164">
        <v>9</v>
      </c>
      <c r="B15" s="125" t="s">
        <v>601</v>
      </c>
      <c r="C15" s="126">
        <v>147200</v>
      </c>
      <c r="D15" s="126">
        <v>150704</v>
      </c>
      <c r="E15" s="126">
        <v>170415</v>
      </c>
      <c r="F15" s="129" t="s">
        <v>665</v>
      </c>
      <c r="G15" s="126">
        <v>23940</v>
      </c>
      <c r="H15" s="126">
        <v>24801</v>
      </c>
      <c r="I15" s="126">
        <v>24800</v>
      </c>
    </row>
    <row r="16" spans="1:9" s="124" customFormat="1" ht="12.75">
      <c r="A16" s="164">
        <v>10</v>
      </c>
      <c r="B16" s="128" t="s">
        <v>603</v>
      </c>
      <c r="C16" s="126">
        <v>20000</v>
      </c>
      <c r="D16" s="126">
        <v>20000</v>
      </c>
      <c r="E16" s="126">
        <v>20075</v>
      </c>
      <c r="F16" s="129" t="s">
        <v>666</v>
      </c>
      <c r="G16" s="126">
        <v>14669</v>
      </c>
      <c r="H16" s="126">
        <v>11919</v>
      </c>
      <c r="I16" s="126">
        <v>11919</v>
      </c>
    </row>
    <row r="17" spans="1:9" s="124" customFormat="1" ht="12.75">
      <c r="A17" s="161">
        <v>11</v>
      </c>
      <c r="B17" s="125" t="s">
        <v>605</v>
      </c>
      <c r="C17" s="126">
        <v>1800</v>
      </c>
      <c r="D17" s="126">
        <v>1800</v>
      </c>
      <c r="E17" s="126">
        <v>871</v>
      </c>
      <c r="F17" s="129" t="s">
        <v>667</v>
      </c>
      <c r="G17" s="126">
        <v>6339</v>
      </c>
      <c r="H17" s="126">
        <v>8923</v>
      </c>
      <c r="I17" s="126">
        <v>7544</v>
      </c>
    </row>
    <row r="18" spans="1:9" s="124" customFormat="1" ht="12.75">
      <c r="A18" s="164">
        <v>12</v>
      </c>
      <c r="B18" s="121" t="s">
        <v>607</v>
      </c>
      <c r="C18" s="122">
        <f>SUM(C19:C29)</f>
        <v>424365</v>
      </c>
      <c r="D18" s="122">
        <f>SUM(D19:D29)</f>
        <v>141733</v>
      </c>
      <c r="E18" s="122">
        <f>SUM(E19:E29)</f>
        <v>143374</v>
      </c>
      <c r="F18" s="130" t="s">
        <v>147</v>
      </c>
      <c r="G18" s="122">
        <f>SUM(G19:G24)</f>
        <v>268292</v>
      </c>
      <c r="H18" s="122">
        <f>SUM(H19:H24)</f>
        <v>345697</v>
      </c>
      <c r="I18" s="122">
        <f>SUM(I19:I24)</f>
        <v>293312</v>
      </c>
    </row>
    <row r="19" spans="1:9" s="124" customFormat="1" ht="12.75">
      <c r="A19" s="164">
        <v>13</v>
      </c>
      <c r="B19" s="125" t="s">
        <v>1176</v>
      </c>
      <c r="C19" s="126">
        <v>8037</v>
      </c>
      <c r="D19" s="126">
        <v>8261</v>
      </c>
      <c r="E19" s="126">
        <v>10911</v>
      </c>
      <c r="F19" s="129" t="s">
        <v>600</v>
      </c>
      <c r="G19" s="126">
        <v>436</v>
      </c>
      <c r="H19" s="126">
        <v>1092</v>
      </c>
      <c r="I19" s="126">
        <v>999</v>
      </c>
    </row>
    <row r="20" spans="1:9" s="124" customFormat="1" ht="12.75">
      <c r="A20" s="164">
        <v>14</v>
      </c>
      <c r="B20" s="125" t="s">
        <v>610</v>
      </c>
      <c r="C20" s="126">
        <v>85516</v>
      </c>
      <c r="D20" s="126">
        <v>85711</v>
      </c>
      <c r="E20" s="126">
        <v>88588</v>
      </c>
      <c r="F20" s="129" t="s">
        <v>602</v>
      </c>
      <c r="G20" s="126">
        <v>0</v>
      </c>
      <c r="H20" s="126">
        <v>41355</v>
      </c>
      <c r="I20" s="126">
        <v>41355</v>
      </c>
    </row>
    <row r="21" spans="1:9" s="124" customFormat="1" ht="12.75">
      <c r="A21" s="161">
        <v>15</v>
      </c>
      <c r="B21" s="125" t="s">
        <v>611</v>
      </c>
      <c r="C21" s="126">
        <v>10835</v>
      </c>
      <c r="D21" s="126">
        <v>11013</v>
      </c>
      <c r="E21" s="126">
        <v>8892</v>
      </c>
      <c r="F21" s="129" t="s">
        <v>604</v>
      </c>
      <c r="G21" s="126">
        <v>199057</v>
      </c>
      <c r="H21" s="126">
        <v>199300</v>
      </c>
      <c r="I21" s="126">
        <v>199202</v>
      </c>
    </row>
    <row r="22" spans="1:9" s="124" customFormat="1" ht="12.75">
      <c r="A22" s="164">
        <v>16</v>
      </c>
      <c r="B22" s="125" t="s">
        <v>612</v>
      </c>
      <c r="C22" s="126">
        <v>695</v>
      </c>
      <c r="D22" s="126">
        <v>829</v>
      </c>
      <c r="E22" s="126">
        <v>1006</v>
      </c>
      <c r="F22" s="129" t="s">
        <v>606</v>
      </c>
      <c r="G22" s="126">
        <v>21668</v>
      </c>
      <c r="H22" s="126">
        <v>24547</v>
      </c>
      <c r="I22" s="126">
        <v>24547</v>
      </c>
    </row>
    <row r="23" spans="1:9" s="124" customFormat="1" ht="12.75">
      <c r="A23" s="164">
        <v>17</v>
      </c>
      <c r="B23" s="125" t="s">
        <v>613</v>
      </c>
      <c r="C23" s="126">
        <v>10183</v>
      </c>
      <c r="D23" s="126">
        <v>10183</v>
      </c>
      <c r="E23" s="126">
        <v>7008</v>
      </c>
      <c r="F23" s="129" t="s">
        <v>608</v>
      </c>
      <c r="G23" s="126">
        <v>47131</v>
      </c>
      <c r="H23" s="126">
        <v>52193</v>
      </c>
      <c r="I23" s="126">
        <v>0</v>
      </c>
    </row>
    <row r="24" spans="1:9" s="133" customFormat="1" ht="12.75">
      <c r="A24" s="161">
        <v>18</v>
      </c>
      <c r="B24" s="125" t="s">
        <v>614</v>
      </c>
      <c r="C24" s="126">
        <v>23714</v>
      </c>
      <c r="D24" s="126">
        <v>23881</v>
      </c>
      <c r="E24" s="126">
        <v>23135</v>
      </c>
      <c r="F24" s="129" t="s">
        <v>609</v>
      </c>
      <c r="G24" s="126">
        <v>0</v>
      </c>
      <c r="H24" s="126">
        <v>27210</v>
      </c>
      <c r="I24" s="126">
        <v>27209</v>
      </c>
    </row>
    <row r="25" spans="1:9" s="134" customFormat="1" ht="13.5">
      <c r="A25" s="164">
        <v>19</v>
      </c>
      <c r="B25" s="125" t="s">
        <v>615</v>
      </c>
      <c r="C25" s="126">
        <v>284628</v>
      </c>
      <c r="D25" s="126">
        <v>77</v>
      </c>
      <c r="E25" s="126">
        <v>0</v>
      </c>
      <c r="F25" s="129"/>
      <c r="G25" s="126"/>
      <c r="H25" s="126"/>
      <c r="I25" s="126"/>
    </row>
    <row r="26" spans="1:9" s="120" customFormat="1" ht="12.75">
      <c r="A26" s="164">
        <v>20</v>
      </c>
      <c r="B26" s="125" t="s">
        <v>1177</v>
      </c>
      <c r="C26" s="126">
        <v>487</v>
      </c>
      <c r="D26" s="126">
        <v>487</v>
      </c>
      <c r="E26" s="126">
        <v>304</v>
      </c>
      <c r="F26" s="131"/>
      <c r="G26" s="126"/>
      <c r="H26" s="132"/>
      <c r="I26" s="132"/>
    </row>
    <row r="27" spans="1:9" s="120" customFormat="1" ht="12.75">
      <c r="A27" s="164">
        <v>21</v>
      </c>
      <c r="B27" s="125" t="s">
        <v>1178</v>
      </c>
      <c r="C27" s="126">
        <v>0</v>
      </c>
      <c r="D27" s="126">
        <v>104</v>
      </c>
      <c r="E27" s="126">
        <v>104</v>
      </c>
      <c r="F27" s="131"/>
      <c r="G27" s="126"/>
      <c r="H27" s="132"/>
      <c r="I27" s="132"/>
    </row>
    <row r="28" spans="1:9" s="120" customFormat="1" ht="12.75">
      <c r="A28" s="164">
        <v>22</v>
      </c>
      <c r="B28" s="125" t="s">
        <v>1179</v>
      </c>
      <c r="C28" s="126">
        <v>0</v>
      </c>
      <c r="D28" s="126">
        <v>54</v>
      </c>
      <c r="E28" s="126">
        <v>104</v>
      </c>
      <c r="F28" s="131"/>
      <c r="G28" s="126"/>
      <c r="H28" s="132"/>
      <c r="I28" s="132"/>
    </row>
    <row r="29" spans="1:9" s="133" customFormat="1" ht="12.75">
      <c r="A29" s="164">
        <v>23</v>
      </c>
      <c r="B29" s="125" t="s">
        <v>1180</v>
      </c>
      <c r="C29" s="126">
        <v>270</v>
      </c>
      <c r="D29" s="126">
        <v>1133</v>
      </c>
      <c r="E29" s="126">
        <v>3322</v>
      </c>
      <c r="F29" s="131"/>
      <c r="G29" s="132"/>
      <c r="H29" s="132"/>
      <c r="I29" s="132"/>
    </row>
    <row r="30" spans="1:9" s="133" customFormat="1" ht="12.75">
      <c r="A30" s="161">
        <v>24</v>
      </c>
      <c r="B30" s="121" t="s">
        <v>166</v>
      </c>
      <c r="C30" s="122">
        <f>SUM(C31:C32)</f>
        <v>21668</v>
      </c>
      <c r="D30" s="122">
        <f>SUM(D31:D32)</f>
        <v>24778</v>
      </c>
      <c r="E30" s="122">
        <f>SUM(E31:E32)</f>
        <v>3110</v>
      </c>
      <c r="F30" s="131"/>
      <c r="G30" s="132"/>
      <c r="H30" s="132"/>
      <c r="I30" s="132"/>
    </row>
    <row r="31" spans="1:9" s="133" customFormat="1" ht="12.75">
      <c r="A31" s="164">
        <v>25</v>
      </c>
      <c r="B31" s="125" t="s">
        <v>616</v>
      </c>
      <c r="C31" s="126">
        <v>21668</v>
      </c>
      <c r="D31" s="126">
        <v>24547</v>
      </c>
      <c r="E31" s="126">
        <v>2879</v>
      </c>
      <c r="F31" s="131"/>
      <c r="G31" s="132"/>
      <c r="H31" s="132"/>
      <c r="I31" s="132"/>
    </row>
    <row r="32" spans="1:9" s="133" customFormat="1" ht="12.75">
      <c r="A32" s="164">
        <v>26</v>
      </c>
      <c r="B32" s="125" t="s">
        <v>617</v>
      </c>
      <c r="C32" s="126">
        <v>0</v>
      </c>
      <c r="D32" s="126">
        <v>231</v>
      </c>
      <c r="E32" s="126">
        <v>231</v>
      </c>
      <c r="F32" s="131"/>
      <c r="G32" s="132"/>
      <c r="H32" s="132"/>
      <c r="I32" s="132"/>
    </row>
    <row r="33" spans="1:9" s="124" customFormat="1" ht="12.75">
      <c r="A33" s="164">
        <v>27</v>
      </c>
      <c r="B33" s="135" t="s">
        <v>151</v>
      </c>
      <c r="C33" s="118">
        <f>SUM(C43+C38+C34)</f>
        <v>1289047</v>
      </c>
      <c r="D33" s="118">
        <f>SUM(D43+D38+D34)</f>
        <v>1407138</v>
      </c>
      <c r="E33" s="118">
        <f>SUM(E43+E38+E34)</f>
        <v>1186882</v>
      </c>
      <c r="F33" s="119" t="s">
        <v>152</v>
      </c>
      <c r="G33" s="118">
        <f>SUM(G34:G36)</f>
        <v>1217549</v>
      </c>
      <c r="H33" s="118">
        <f>SUM(H34:H36)</f>
        <v>1319208</v>
      </c>
      <c r="I33" s="118">
        <f>SUM(I34:I36)</f>
        <v>1139705</v>
      </c>
    </row>
    <row r="34" spans="1:9" s="124" customFormat="1" ht="12.75">
      <c r="A34" s="164">
        <v>28</v>
      </c>
      <c r="B34" s="121" t="s">
        <v>618</v>
      </c>
      <c r="C34" s="122">
        <f>SUM(C35:C37)</f>
        <v>1032834</v>
      </c>
      <c r="D34" s="122">
        <f>SUM(D35:D37)</f>
        <v>1153788</v>
      </c>
      <c r="E34" s="122">
        <f>SUM(E35:E37)</f>
        <v>1154140</v>
      </c>
      <c r="F34" s="123" t="s">
        <v>619</v>
      </c>
      <c r="G34" s="122">
        <v>1213590</v>
      </c>
      <c r="H34" s="122">
        <v>1189628</v>
      </c>
      <c r="I34" s="122">
        <f>1011575+1</f>
        <v>1011576</v>
      </c>
    </row>
    <row r="35" spans="1:9" s="134" customFormat="1" ht="13.5">
      <c r="A35" s="164">
        <v>29</v>
      </c>
      <c r="B35" s="125" t="s">
        <v>620</v>
      </c>
      <c r="C35" s="126">
        <v>0</v>
      </c>
      <c r="D35" s="126">
        <v>16148</v>
      </c>
      <c r="E35" s="126">
        <v>16148</v>
      </c>
      <c r="F35" s="123" t="s">
        <v>621</v>
      </c>
      <c r="G35" s="122">
        <v>1230</v>
      </c>
      <c r="H35" s="122">
        <v>111029</v>
      </c>
      <c r="I35" s="122">
        <v>109584</v>
      </c>
    </row>
    <row r="36" spans="1:9" s="134" customFormat="1" ht="13.5">
      <c r="A36" s="164">
        <v>30</v>
      </c>
      <c r="B36" s="125" t="s">
        <v>1181</v>
      </c>
      <c r="C36" s="126">
        <v>0</v>
      </c>
      <c r="D36" s="126">
        <v>2199</v>
      </c>
      <c r="E36" s="126">
        <v>0</v>
      </c>
      <c r="F36" s="123" t="s">
        <v>148</v>
      </c>
      <c r="G36" s="122">
        <f>SUM(G37:G41)</f>
        <v>2729</v>
      </c>
      <c r="H36" s="122">
        <f>SUM(H37:H41)</f>
        <v>18551</v>
      </c>
      <c r="I36" s="122">
        <f>SUM(I37:I41)</f>
        <v>18545</v>
      </c>
    </row>
    <row r="37" spans="1:9" s="134" customFormat="1" ht="13.5">
      <c r="A37" s="161">
        <v>31</v>
      </c>
      <c r="B37" s="125" t="s">
        <v>622</v>
      </c>
      <c r="C37" s="126">
        <v>1032834</v>
      </c>
      <c r="D37" s="126">
        <v>1135441</v>
      </c>
      <c r="E37" s="126">
        <f>1137991+1</f>
        <v>1137992</v>
      </c>
      <c r="F37" s="129" t="s">
        <v>624</v>
      </c>
      <c r="G37" s="126">
        <v>0</v>
      </c>
      <c r="H37" s="126">
        <v>2199</v>
      </c>
      <c r="I37" s="126">
        <v>2199</v>
      </c>
    </row>
    <row r="38" spans="1:9" s="134" customFormat="1" ht="13.5">
      <c r="A38" s="164">
        <v>32</v>
      </c>
      <c r="B38" s="121" t="s">
        <v>623</v>
      </c>
      <c r="C38" s="122">
        <f>SUM(C39:C42)</f>
        <v>43272</v>
      </c>
      <c r="D38" s="122">
        <f>SUM(D39:D42)</f>
        <v>36892</v>
      </c>
      <c r="E38" s="122">
        <f>SUM(E39:E42)</f>
        <v>8036</v>
      </c>
      <c r="F38" s="129" t="s">
        <v>626</v>
      </c>
      <c r="G38" s="126">
        <v>0</v>
      </c>
      <c r="H38" s="126">
        <v>0</v>
      </c>
      <c r="I38" s="126">
        <v>0</v>
      </c>
    </row>
    <row r="39" spans="1:9" s="134" customFormat="1" ht="13.5">
      <c r="A39" s="164">
        <v>33</v>
      </c>
      <c r="B39" s="125" t="s">
        <v>625</v>
      </c>
      <c r="C39" s="126">
        <v>0</v>
      </c>
      <c r="D39" s="126">
        <v>0</v>
      </c>
      <c r="E39" s="126">
        <v>0</v>
      </c>
      <c r="F39" s="129" t="s">
        <v>628</v>
      </c>
      <c r="G39" s="126">
        <v>0</v>
      </c>
      <c r="H39" s="126">
        <v>260</v>
      </c>
      <c r="I39" s="126">
        <v>255</v>
      </c>
    </row>
    <row r="40" spans="1:9" s="134" customFormat="1" ht="13.5">
      <c r="A40" s="161">
        <v>34</v>
      </c>
      <c r="B40" s="125" t="s">
        <v>627</v>
      </c>
      <c r="C40" s="126">
        <v>43272</v>
      </c>
      <c r="D40" s="126">
        <v>36882</v>
      </c>
      <c r="E40" s="126">
        <v>8026</v>
      </c>
      <c r="F40" s="129" t="s">
        <v>630</v>
      </c>
      <c r="G40" s="126">
        <v>0</v>
      </c>
      <c r="H40" s="126">
        <v>0</v>
      </c>
      <c r="I40" s="126">
        <v>0</v>
      </c>
    </row>
    <row r="41" spans="1:9" s="137" customFormat="1" ht="13.5">
      <c r="A41" s="164">
        <v>35</v>
      </c>
      <c r="B41" s="125" t="s">
        <v>629</v>
      </c>
      <c r="C41" s="126">
        <v>0</v>
      </c>
      <c r="D41" s="126">
        <v>0</v>
      </c>
      <c r="E41" s="126">
        <v>0</v>
      </c>
      <c r="F41" s="129" t="s">
        <v>632</v>
      </c>
      <c r="G41" s="126">
        <v>2729</v>
      </c>
      <c r="H41" s="126">
        <v>16092</v>
      </c>
      <c r="I41" s="126">
        <v>16091</v>
      </c>
    </row>
    <row r="42" spans="1:9" s="137" customFormat="1" ht="13.5">
      <c r="A42" s="164">
        <v>36</v>
      </c>
      <c r="B42" s="125" t="s">
        <v>631</v>
      </c>
      <c r="C42" s="126">
        <v>0</v>
      </c>
      <c r="D42" s="126">
        <v>10</v>
      </c>
      <c r="E42" s="126">
        <v>10</v>
      </c>
      <c r="F42" s="129"/>
      <c r="G42" s="126"/>
      <c r="H42" s="126"/>
      <c r="I42" s="126"/>
    </row>
    <row r="43" spans="1:9" s="134" customFormat="1" ht="13.5">
      <c r="A43" s="164">
        <v>37</v>
      </c>
      <c r="B43" s="121" t="s">
        <v>633</v>
      </c>
      <c r="C43" s="122">
        <f>SUM(C44:C45)</f>
        <v>212941</v>
      </c>
      <c r="D43" s="122">
        <f>SUM(D44:D45)</f>
        <v>216458</v>
      </c>
      <c r="E43" s="122">
        <f>SUM(E44:E45)</f>
        <v>24706</v>
      </c>
      <c r="F43" s="129"/>
      <c r="G43" s="126"/>
      <c r="H43" s="126"/>
      <c r="I43" s="126"/>
    </row>
    <row r="44" spans="1:9" s="134" customFormat="1" ht="15" customHeight="1">
      <c r="A44" s="161">
        <v>38</v>
      </c>
      <c r="B44" s="125" t="s">
        <v>634</v>
      </c>
      <c r="C44" s="126">
        <v>40540</v>
      </c>
      <c r="D44" s="126">
        <v>40540</v>
      </c>
      <c r="E44" s="126">
        <v>0</v>
      </c>
      <c r="F44" s="350"/>
      <c r="G44" s="126"/>
      <c r="H44" s="126"/>
      <c r="I44" s="126"/>
    </row>
    <row r="45" spans="1:9" s="138" customFormat="1" ht="13.5" customHeight="1">
      <c r="A45" s="164">
        <v>39</v>
      </c>
      <c r="B45" s="125" t="s">
        <v>635</v>
      </c>
      <c r="C45" s="126">
        <v>172401</v>
      </c>
      <c r="D45" s="126">
        <v>175918</v>
      </c>
      <c r="E45" s="126">
        <v>24706</v>
      </c>
      <c r="F45" s="350"/>
      <c r="G45" s="126"/>
      <c r="H45" s="126"/>
      <c r="I45" s="126"/>
    </row>
    <row r="46" spans="1:9" s="138" customFormat="1" ht="6.75" customHeight="1">
      <c r="A46" s="1166"/>
      <c r="B46" s="1167"/>
      <c r="C46" s="1167"/>
      <c r="D46" s="1167"/>
      <c r="E46" s="1167"/>
      <c r="F46" s="1167"/>
      <c r="G46" s="1167"/>
      <c r="H46" s="1167"/>
      <c r="I46" s="1168"/>
    </row>
    <row r="47" spans="1:9" s="138" customFormat="1" ht="28.5" customHeight="1">
      <c r="A47" s="164">
        <v>40</v>
      </c>
      <c r="B47" s="1161" t="s">
        <v>149</v>
      </c>
      <c r="C47" s="1162"/>
      <c r="D47" s="1162"/>
      <c r="E47" s="1162"/>
      <c r="F47" s="1162"/>
      <c r="G47" s="147">
        <f>C7-G7</f>
        <v>-4850</v>
      </c>
      <c r="H47" s="147">
        <f>D7-H7</f>
        <v>-123541</v>
      </c>
      <c r="I47" s="147">
        <f>E7-I7</f>
        <v>-23007</v>
      </c>
    </row>
    <row r="48" spans="1:9" s="141" customFormat="1" ht="15">
      <c r="A48" s="1163"/>
      <c r="B48" s="1164"/>
      <c r="C48" s="1164"/>
      <c r="D48" s="1164"/>
      <c r="E48" s="1164"/>
      <c r="F48" s="1164"/>
      <c r="G48" s="1164"/>
      <c r="H48" s="1164"/>
      <c r="I48" s="1165"/>
    </row>
    <row r="49" spans="1:9" s="137" customFormat="1" ht="28.5">
      <c r="A49" s="164">
        <v>41</v>
      </c>
      <c r="B49" s="114" t="s">
        <v>660</v>
      </c>
      <c r="C49" s="139">
        <f>SUM(C50)</f>
        <v>4850</v>
      </c>
      <c r="D49" s="139">
        <f>SUM(D50)</f>
        <v>139779</v>
      </c>
      <c r="E49" s="139">
        <f>SUM(E50)</f>
        <v>131727</v>
      </c>
      <c r="F49" s="140"/>
      <c r="G49" s="139"/>
      <c r="H49" s="139"/>
      <c r="I49" s="139"/>
    </row>
    <row r="50" spans="1:9" s="141" customFormat="1" ht="15">
      <c r="A50" s="161">
        <v>42</v>
      </c>
      <c r="B50" s="142" t="s">
        <v>1182</v>
      </c>
      <c r="C50" s="118">
        <v>4850</v>
      </c>
      <c r="D50" s="118">
        <v>139779</v>
      </c>
      <c r="E50" s="118">
        <f>139779-10830+2778</f>
        <v>131727</v>
      </c>
      <c r="F50" s="119"/>
      <c r="G50" s="118"/>
      <c r="H50" s="118"/>
      <c r="I50" s="118"/>
    </row>
    <row r="51" spans="1:9" s="137" customFormat="1" ht="28.5">
      <c r="A51" s="164">
        <v>43</v>
      </c>
      <c r="B51" s="114" t="s">
        <v>661</v>
      </c>
      <c r="C51" s="139">
        <f>SUM(C52:C54)</f>
        <v>0</v>
      </c>
      <c r="D51" s="139">
        <f>SUM(D52:D54)</f>
        <v>123644</v>
      </c>
      <c r="E51" s="139">
        <f>SUM(E52:E54)</f>
        <v>141280</v>
      </c>
      <c r="F51" s="143" t="s">
        <v>662</v>
      </c>
      <c r="G51" s="139">
        <f>SUM(G52:G54)</f>
        <v>0</v>
      </c>
      <c r="H51" s="139">
        <f>SUM(H52:H54)</f>
        <v>139882</v>
      </c>
      <c r="I51" s="139">
        <f>SUM(I52:I54)</f>
        <v>139882</v>
      </c>
    </row>
    <row r="52" spans="1:9" s="144" customFormat="1" ht="12.75">
      <c r="A52" s="164">
        <v>44</v>
      </c>
      <c r="B52" s="136" t="s">
        <v>670</v>
      </c>
      <c r="C52" s="118">
        <v>0</v>
      </c>
      <c r="D52" s="118">
        <v>0</v>
      </c>
      <c r="E52" s="118">
        <v>0</v>
      </c>
      <c r="F52" s="119" t="s">
        <v>671</v>
      </c>
      <c r="G52" s="118">
        <v>0</v>
      </c>
      <c r="H52" s="118">
        <v>0</v>
      </c>
      <c r="I52" s="118">
        <f>SUM(G52:H52)</f>
        <v>0</v>
      </c>
    </row>
    <row r="53" spans="1:9" s="134" customFormat="1" ht="13.5">
      <c r="A53" s="164">
        <v>45</v>
      </c>
      <c r="B53" s="136" t="s">
        <v>672</v>
      </c>
      <c r="C53" s="118">
        <v>0</v>
      </c>
      <c r="D53" s="118">
        <v>123644</v>
      </c>
      <c r="E53" s="118">
        <v>123644</v>
      </c>
      <c r="F53" s="119" t="s">
        <v>673</v>
      </c>
      <c r="G53" s="118">
        <v>0</v>
      </c>
      <c r="H53" s="118">
        <v>123644</v>
      </c>
      <c r="I53" s="118">
        <v>123644</v>
      </c>
    </row>
    <row r="54" spans="1:9" s="165" customFormat="1" ht="14.25">
      <c r="A54" s="164">
        <v>46</v>
      </c>
      <c r="B54" s="136" t="s">
        <v>674</v>
      </c>
      <c r="C54" s="118">
        <v>0</v>
      </c>
      <c r="D54" s="118">
        <v>0</v>
      </c>
      <c r="E54" s="118">
        <v>17636</v>
      </c>
      <c r="F54" s="119" t="s">
        <v>675</v>
      </c>
      <c r="G54" s="118">
        <v>0</v>
      </c>
      <c r="H54" s="118">
        <v>16238</v>
      </c>
      <c r="I54" s="118">
        <v>16238</v>
      </c>
    </row>
    <row r="55" spans="1:9" s="145" customFormat="1" ht="15.75">
      <c r="A55" s="164">
        <v>47</v>
      </c>
      <c r="B55" s="226" t="s">
        <v>31</v>
      </c>
      <c r="C55" s="227">
        <f>SUM(C49+C51+C7)</f>
        <v>2688791</v>
      </c>
      <c r="D55" s="227">
        <f>SUM(D49+D51+D7)</f>
        <v>2748399</v>
      </c>
      <c r="E55" s="227">
        <f>SUM(E49+E51+E7)</f>
        <v>2536448</v>
      </c>
      <c r="F55" s="226" t="s">
        <v>32</v>
      </c>
      <c r="G55" s="227">
        <f>SUM(G51+G7)</f>
        <v>2688791</v>
      </c>
      <c r="H55" s="227">
        <f>SUM(H51+H7)</f>
        <v>2748399</v>
      </c>
      <c r="I55" s="227">
        <f>SUM(I51+I7)</f>
        <v>2426330</v>
      </c>
    </row>
    <row r="59" ht="15">
      <c r="B59" s="109" t="s">
        <v>636</v>
      </c>
    </row>
    <row r="62" ht="15">
      <c r="B62" s="146"/>
    </row>
  </sheetData>
  <sheetProtection/>
  <mergeCells count="8">
    <mergeCell ref="F1:I1"/>
    <mergeCell ref="B47:F47"/>
    <mergeCell ref="A48:I48"/>
    <mergeCell ref="A46:I46"/>
    <mergeCell ref="A4:A6"/>
    <mergeCell ref="B2:I2"/>
    <mergeCell ref="B4:E4"/>
    <mergeCell ref="F4:I4"/>
  </mergeCells>
  <printOptions horizontalCentered="1"/>
  <pageMargins left="0.1968503937007874" right="0.1968503937007874" top="0.3937007874015748" bottom="0.31496062992125984" header="0.31496062992125984" footer="0.31496062992125984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8"/>
  <sheetViews>
    <sheetView zoomScalePageLayoutView="0" workbookViewId="0" topLeftCell="A1">
      <selection activeCell="F2" sqref="F2"/>
    </sheetView>
  </sheetViews>
  <sheetFormatPr defaultColWidth="8.875" defaultRowHeight="12.75"/>
  <cols>
    <col min="1" max="1" width="4.125" style="150" bestFit="1" customWidth="1"/>
    <col min="2" max="2" width="37.625" style="38" customWidth="1"/>
    <col min="3" max="3" width="11.25390625" style="3" customWidth="1"/>
    <col min="4" max="4" width="12.25390625" style="3" customWidth="1"/>
    <col min="5" max="5" width="11.375" style="3" customWidth="1"/>
    <col min="6" max="6" width="10.625" style="3" customWidth="1"/>
    <col min="7" max="16384" width="8.875" style="3" customWidth="1"/>
  </cols>
  <sheetData>
    <row r="1" spans="2:8" ht="15">
      <c r="B1" s="17"/>
      <c r="C1" s="8"/>
      <c r="D1" s="8"/>
      <c r="E1" s="64"/>
      <c r="F1" s="64" t="s">
        <v>1466</v>
      </c>
      <c r="G1" s="1"/>
      <c r="H1" s="1"/>
    </row>
    <row r="2" spans="2:6" ht="15">
      <c r="B2" s="17"/>
      <c r="C2" s="8"/>
      <c r="D2" s="8"/>
      <c r="E2" s="8"/>
      <c r="F2" s="8"/>
    </row>
    <row r="3" spans="2:6" ht="14.25">
      <c r="B3" s="1172" t="s">
        <v>1184</v>
      </c>
      <c r="C3" s="1172"/>
      <c r="D3" s="1172"/>
      <c r="E3" s="1172"/>
      <c r="F3" s="1172"/>
    </row>
    <row r="4" spans="2:6" ht="14.25">
      <c r="B4" s="1172" t="s">
        <v>22</v>
      </c>
      <c r="C4" s="1172"/>
      <c r="D4" s="1172"/>
      <c r="E4" s="1172"/>
      <c r="F4" s="1172"/>
    </row>
    <row r="5" spans="2:6" ht="15">
      <c r="B5" s="17"/>
      <c r="C5" s="8"/>
      <c r="D5" s="8"/>
      <c r="E5" s="8"/>
      <c r="F5" s="8"/>
    </row>
    <row r="6" spans="2:6" ht="14.25">
      <c r="B6" s="1172" t="s">
        <v>12</v>
      </c>
      <c r="C6" s="1172"/>
      <c r="D6" s="1172"/>
      <c r="E6" s="1172"/>
      <c r="F6" s="1172"/>
    </row>
    <row r="7" spans="2:6" ht="15">
      <c r="B7" s="17"/>
      <c r="C7" s="8"/>
      <c r="D7" s="8"/>
      <c r="E7" s="1177" t="s">
        <v>35</v>
      </c>
      <c r="F7" s="1177"/>
    </row>
    <row r="8" spans="1:6" s="7" customFormat="1" ht="14.25">
      <c r="A8" s="1179" t="s">
        <v>220</v>
      </c>
      <c r="B8" s="1182" t="s">
        <v>11</v>
      </c>
      <c r="C8" s="9" t="s">
        <v>36</v>
      </c>
      <c r="D8" s="9" t="s">
        <v>19</v>
      </c>
      <c r="E8" s="12" t="s">
        <v>20</v>
      </c>
      <c r="F8" s="18" t="s">
        <v>20</v>
      </c>
    </row>
    <row r="9" spans="1:6" s="7" customFormat="1" ht="14.25">
      <c r="A9" s="1180"/>
      <c r="B9" s="1183"/>
      <c r="C9" s="1173" t="s">
        <v>21</v>
      </c>
      <c r="D9" s="1174"/>
      <c r="E9" s="10"/>
      <c r="F9" s="19" t="s">
        <v>28</v>
      </c>
    </row>
    <row r="10" spans="1:6" s="255" customFormat="1" ht="12">
      <c r="A10" s="1181"/>
      <c r="B10" s="253" t="s">
        <v>221</v>
      </c>
      <c r="C10" s="252" t="s">
        <v>222</v>
      </c>
      <c r="D10" s="214" t="s">
        <v>223</v>
      </c>
      <c r="E10" s="254" t="s">
        <v>224</v>
      </c>
      <c r="F10" s="253" t="s">
        <v>225</v>
      </c>
    </row>
    <row r="11" spans="1:6" ht="15">
      <c r="A11" s="160">
        <v>1</v>
      </c>
      <c r="B11" s="20" t="s">
        <v>18</v>
      </c>
      <c r="C11" s="11">
        <v>2669937</v>
      </c>
      <c r="D11" s="11">
        <v>2716685</v>
      </c>
      <c r="E11" s="34">
        <f>2517605+1</f>
        <v>2517606</v>
      </c>
      <c r="F11" s="21">
        <f>(E11/D11)*100</f>
        <v>92.67198810314777</v>
      </c>
    </row>
    <row r="12" spans="1:6" ht="15">
      <c r="A12" s="160">
        <v>2</v>
      </c>
      <c r="B12" s="20" t="s">
        <v>2</v>
      </c>
      <c r="C12" s="11">
        <v>9430</v>
      </c>
      <c r="D12" s="11">
        <v>12664</v>
      </c>
      <c r="E12" s="34">
        <v>12051</v>
      </c>
      <c r="F12" s="21">
        <f>(E12/D12)*100</f>
        <v>95.1595072646873</v>
      </c>
    </row>
    <row r="13" spans="1:6" ht="30">
      <c r="A13" s="160">
        <v>3</v>
      </c>
      <c r="B13" s="33" t="s">
        <v>17</v>
      </c>
      <c r="C13" s="40">
        <v>9424</v>
      </c>
      <c r="D13" s="11">
        <v>19050</v>
      </c>
      <c r="E13" s="11">
        <v>6791</v>
      </c>
      <c r="F13" s="21">
        <f>(E13/D13)*100</f>
        <v>35.648293963254595</v>
      </c>
    </row>
    <row r="14" spans="1:6" s="5" customFormat="1" ht="30.75" customHeight="1">
      <c r="A14" s="160">
        <v>4</v>
      </c>
      <c r="B14" s="22" t="s">
        <v>76</v>
      </c>
      <c r="C14" s="23">
        <f>SUM(C11:C13)</f>
        <v>2688791</v>
      </c>
      <c r="D14" s="23">
        <f>SUM(D11:D13)</f>
        <v>2748399</v>
      </c>
      <c r="E14" s="23">
        <f>SUM(E11:E13)</f>
        <v>2536448</v>
      </c>
      <c r="F14" s="24">
        <f>(E14/D14)*100</f>
        <v>92.28820124006741</v>
      </c>
    </row>
    <row r="15" spans="1:6" s="5" customFormat="1" ht="14.25">
      <c r="A15" s="150"/>
      <c r="B15" s="25"/>
      <c r="C15" s="26"/>
      <c r="D15" s="26"/>
      <c r="E15" s="26"/>
      <c r="F15" s="27"/>
    </row>
    <row r="16" spans="2:6" ht="14.25">
      <c r="B16" s="1172" t="s">
        <v>5</v>
      </c>
      <c r="C16" s="1172"/>
      <c r="D16" s="1172"/>
      <c r="E16" s="1172"/>
      <c r="F16" s="1172"/>
    </row>
    <row r="17" spans="2:6" ht="15">
      <c r="B17" s="17"/>
      <c r="C17" s="8"/>
      <c r="D17" s="8"/>
      <c r="E17" s="8"/>
      <c r="F17" s="8"/>
    </row>
    <row r="18" spans="1:6" s="5" customFormat="1" ht="14.25">
      <c r="A18" s="1179" t="s">
        <v>220</v>
      </c>
      <c r="B18" s="1182" t="s">
        <v>11</v>
      </c>
      <c r="C18" s="29" t="s">
        <v>15</v>
      </c>
      <c r="D18" s="29" t="s">
        <v>19</v>
      </c>
      <c r="E18" s="30" t="s">
        <v>20</v>
      </c>
      <c r="F18" s="28" t="s">
        <v>20</v>
      </c>
    </row>
    <row r="19" spans="1:6" s="5" customFormat="1" ht="14.25">
      <c r="A19" s="1180"/>
      <c r="B19" s="1183"/>
      <c r="C19" s="1175" t="s">
        <v>21</v>
      </c>
      <c r="D19" s="1176"/>
      <c r="E19" s="31"/>
      <c r="F19" s="32" t="s">
        <v>28</v>
      </c>
    </row>
    <row r="20" spans="1:6" s="255" customFormat="1" ht="12">
      <c r="A20" s="1181"/>
      <c r="B20" s="253" t="s">
        <v>221</v>
      </c>
      <c r="C20" s="252" t="s">
        <v>222</v>
      </c>
      <c r="D20" s="214" t="s">
        <v>223</v>
      </c>
      <c r="E20" s="254" t="s">
        <v>224</v>
      </c>
      <c r="F20" s="253" t="s">
        <v>225</v>
      </c>
    </row>
    <row r="21" spans="1:6" ht="15">
      <c r="A21" s="160">
        <v>1</v>
      </c>
      <c r="B21" s="33" t="s">
        <v>77</v>
      </c>
      <c r="C21" s="34">
        <v>2288350</v>
      </c>
      <c r="D21" s="34">
        <v>2366002</v>
      </c>
      <c r="E21" s="34">
        <f>2057827+1</f>
        <v>2057828</v>
      </c>
      <c r="F21" s="35">
        <f>(E21/D21)*100</f>
        <v>86.97490534665651</v>
      </c>
    </row>
    <row r="22" spans="1:6" ht="15">
      <c r="A22" s="160">
        <v>2</v>
      </c>
      <c r="B22" s="33" t="s">
        <v>2</v>
      </c>
      <c r="C22" s="34">
        <v>203002</v>
      </c>
      <c r="D22" s="34">
        <v>172016</v>
      </c>
      <c r="E22" s="34">
        <v>170420</v>
      </c>
      <c r="F22" s="35">
        <f>(E22/D22)*100</f>
        <v>99.07217933215516</v>
      </c>
    </row>
    <row r="23" spans="1:6" ht="30">
      <c r="A23" s="160">
        <v>3</v>
      </c>
      <c r="B23" s="33" t="s">
        <v>17</v>
      </c>
      <c r="C23" s="41">
        <v>197439</v>
      </c>
      <c r="D23" s="34">
        <v>210381</v>
      </c>
      <c r="E23" s="34">
        <v>198082</v>
      </c>
      <c r="F23" s="35">
        <f>(E23/D23)*100</f>
        <v>94.15393975691721</v>
      </c>
    </row>
    <row r="24" spans="1:6" s="5" customFormat="1" ht="34.5" customHeight="1">
      <c r="A24" s="160">
        <v>4</v>
      </c>
      <c r="B24" s="22" t="s">
        <v>76</v>
      </c>
      <c r="C24" s="36">
        <f>SUM(C21:C23)</f>
        <v>2688791</v>
      </c>
      <c r="D24" s="36">
        <f>SUM(D21:D23)</f>
        <v>2748399</v>
      </c>
      <c r="E24" s="36">
        <f>SUM(E21:E23)</f>
        <v>2426330</v>
      </c>
      <c r="F24" s="37">
        <f>(E24/D24)*100</f>
        <v>88.2815777476269</v>
      </c>
    </row>
    <row r="25" spans="2:6" ht="15">
      <c r="B25" s="17"/>
      <c r="C25" s="8"/>
      <c r="D25" s="8"/>
      <c r="E25" s="8"/>
      <c r="F25" s="8"/>
    </row>
    <row r="26" spans="2:6" ht="78" customHeight="1">
      <c r="B26" s="1178" t="s">
        <v>1424</v>
      </c>
      <c r="C26" s="1178"/>
      <c r="D26" s="1178"/>
      <c r="E26" s="1178"/>
      <c r="F26" s="1178"/>
    </row>
    <row r="27" spans="2:6" ht="15">
      <c r="B27" s="17"/>
      <c r="C27" s="8"/>
      <c r="D27" s="8"/>
      <c r="E27" s="8"/>
      <c r="F27" s="8"/>
    </row>
    <row r="28" spans="2:6" ht="15">
      <c r="B28" s="17"/>
      <c r="C28" s="8"/>
      <c r="D28" s="8"/>
      <c r="E28" s="8"/>
      <c r="F28" s="8"/>
    </row>
  </sheetData>
  <sheetProtection/>
  <mergeCells count="12">
    <mergeCell ref="B26:F26"/>
    <mergeCell ref="A8:A10"/>
    <mergeCell ref="A18:A20"/>
    <mergeCell ref="B8:B9"/>
    <mergeCell ref="B18:B19"/>
    <mergeCell ref="B3:F3"/>
    <mergeCell ref="B4:F4"/>
    <mergeCell ref="C9:D9"/>
    <mergeCell ref="C19:D19"/>
    <mergeCell ref="B16:F16"/>
    <mergeCell ref="B6:F6"/>
    <mergeCell ref="E7:F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1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6.125" style="150" customWidth="1"/>
    <col min="2" max="2" width="51.00390625" style="3" customWidth="1"/>
    <col min="3" max="3" width="13.00390625" style="3" customWidth="1"/>
    <col min="4" max="4" width="13.25390625" style="3" customWidth="1"/>
    <col min="5" max="5" width="12.625" style="3" customWidth="1"/>
    <col min="6" max="6" width="12.00390625" style="3" customWidth="1"/>
  </cols>
  <sheetData>
    <row r="1" spans="5:6" ht="12.75">
      <c r="E1" s="155"/>
      <c r="F1" s="64" t="s">
        <v>1467</v>
      </c>
    </row>
    <row r="3" spans="1:6" ht="14.25">
      <c r="A3" s="158"/>
      <c r="B3" s="1186" t="s">
        <v>1184</v>
      </c>
      <c r="C3" s="1186"/>
      <c r="D3" s="1186"/>
      <c r="E3" s="1186"/>
      <c r="F3" s="1186"/>
    </row>
    <row r="4" spans="1:6" ht="14.25">
      <c r="A4" s="158"/>
      <c r="B4" s="1186" t="s">
        <v>68</v>
      </c>
      <c r="C4" s="1186"/>
      <c r="D4" s="1186"/>
      <c r="E4" s="1186"/>
      <c r="F4" s="1186"/>
    </row>
    <row r="5" spans="1:6" ht="14.25">
      <c r="A5" s="158"/>
      <c r="B5" s="1186" t="s">
        <v>12</v>
      </c>
      <c r="C5" s="1186"/>
      <c r="D5" s="1186"/>
      <c r="E5" s="1186"/>
      <c r="F5" s="1186"/>
    </row>
    <row r="6" spans="5:6" ht="13.5" thickBot="1">
      <c r="E6" s="1187" t="s">
        <v>4</v>
      </c>
      <c r="F6" s="1188"/>
    </row>
    <row r="7" spans="1:6" ht="12.75">
      <c r="A7" s="1189" t="s">
        <v>676</v>
      </c>
      <c r="B7" s="1191" t="s">
        <v>677</v>
      </c>
      <c r="C7" s="1193" t="s">
        <v>1185</v>
      </c>
      <c r="D7" s="1193"/>
      <c r="E7" s="1194"/>
      <c r="F7" s="392"/>
    </row>
    <row r="8" spans="1:6" ht="24.75" thickBot="1">
      <c r="A8" s="1190"/>
      <c r="B8" s="1192"/>
      <c r="C8" s="352" t="s">
        <v>37</v>
      </c>
      <c r="D8" s="352" t="s">
        <v>38</v>
      </c>
      <c r="E8" s="382" t="s">
        <v>20</v>
      </c>
      <c r="F8" s="393" t="s">
        <v>137</v>
      </c>
    </row>
    <row r="9" spans="1:6" ht="13.5" thickBot="1">
      <c r="A9" s="353" t="s">
        <v>221</v>
      </c>
      <c r="B9" s="354" t="s">
        <v>222</v>
      </c>
      <c r="C9" s="354" t="s">
        <v>223</v>
      </c>
      <c r="D9" s="354" t="s">
        <v>224</v>
      </c>
      <c r="E9" s="383" t="s">
        <v>225</v>
      </c>
      <c r="F9" s="1104" t="s">
        <v>226</v>
      </c>
    </row>
    <row r="10" spans="1:6" ht="21.75" customHeight="1" thickBot="1">
      <c r="A10" s="744">
        <v>1</v>
      </c>
      <c r="B10" s="1097" t="s">
        <v>821</v>
      </c>
      <c r="C10" s="397"/>
      <c r="D10" s="397"/>
      <c r="E10" s="397"/>
      <c r="F10" s="536"/>
    </row>
    <row r="11" spans="1:6" ht="12" customHeight="1">
      <c r="A11" s="411">
        <v>2</v>
      </c>
      <c r="B11" s="418" t="s">
        <v>835</v>
      </c>
      <c r="C11" s="419">
        <v>525185</v>
      </c>
      <c r="D11" s="419">
        <v>537190</v>
      </c>
      <c r="E11" s="419">
        <v>537190</v>
      </c>
      <c r="F11" s="425">
        <f>E11/D11</f>
        <v>1</v>
      </c>
    </row>
    <row r="12" spans="1:6" ht="2.25" customHeight="1" hidden="1" thickBot="1">
      <c r="A12" s="412" t="s">
        <v>680</v>
      </c>
      <c r="B12" s="362" t="s">
        <v>681</v>
      </c>
      <c r="C12" s="363"/>
      <c r="D12" s="363"/>
      <c r="E12" s="363"/>
      <c r="F12" s="426" t="e">
        <f aca="true" t="shared" si="0" ref="F12:F79">E12/D12</f>
        <v>#DIV/0!</v>
      </c>
    </row>
    <row r="13" spans="1:6" ht="12.75" hidden="1">
      <c r="A13" s="412" t="s">
        <v>682</v>
      </c>
      <c r="B13" s="362" t="s">
        <v>683</v>
      </c>
      <c r="C13" s="363"/>
      <c r="D13" s="363"/>
      <c r="E13" s="363"/>
      <c r="F13" s="426" t="e">
        <f t="shared" si="0"/>
        <v>#DIV/0!</v>
      </c>
    </row>
    <row r="14" spans="1:6" ht="12.75" hidden="1">
      <c r="A14" s="412" t="s">
        <v>684</v>
      </c>
      <c r="B14" s="362" t="s">
        <v>685</v>
      </c>
      <c r="C14" s="363"/>
      <c r="D14" s="363"/>
      <c r="E14" s="363"/>
      <c r="F14" s="426" t="e">
        <f t="shared" si="0"/>
        <v>#DIV/0!</v>
      </c>
    </row>
    <row r="15" spans="1:6" ht="12.75" hidden="1">
      <c r="A15" s="412" t="s">
        <v>686</v>
      </c>
      <c r="B15" s="362" t="s">
        <v>687</v>
      </c>
      <c r="C15" s="363"/>
      <c r="D15" s="363"/>
      <c r="E15" s="363"/>
      <c r="F15" s="426" t="e">
        <f t="shared" si="0"/>
        <v>#DIV/0!</v>
      </c>
    </row>
    <row r="16" spans="1:6" ht="12.75" hidden="1">
      <c r="A16" s="412" t="s">
        <v>688</v>
      </c>
      <c r="B16" s="362" t="s">
        <v>242</v>
      </c>
      <c r="C16" s="363"/>
      <c r="D16" s="363"/>
      <c r="E16" s="363"/>
      <c r="F16" s="426" t="e">
        <f t="shared" si="0"/>
        <v>#DIV/0!</v>
      </c>
    </row>
    <row r="17" spans="1:6" ht="12.75" hidden="1">
      <c r="A17" s="412" t="s">
        <v>689</v>
      </c>
      <c r="B17" s="362" t="s">
        <v>244</v>
      </c>
      <c r="C17" s="363"/>
      <c r="D17" s="363"/>
      <c r="E17" s="363"/>
      <c r="F17" s="426" t="e">
        <f t="shared" si="0"/>
        <v>#DIV/0!</v>
      </c>
    </row>
    <row r="18" spans="1:6" ht="12.75">
      <c r="A18" s="441" t="s">
        <v>93</v>
      </c>
      <c r="B18" s="362" t="s">
        <v>246</v>
      </c>
      <c r="C18" s="430">
        <v>0</v>
      </c>
      <c r="D18" s="363">
        <v>12783</v>
      </c>
      <c r="E18" s="363">
        <v>12783</v>
      </c>
      <c r="F18" s="426">
        <f t="shared" si="0"/>
        <v>1</v>
      </c>
    </row>
    <row r="19" spans="1:6" ht="12.75">
      <c r="A19" s="441" t="s">
        <v>94</v>
      </c>
      <c r="B19" s="362" t="s">
        <v>846</v>
      </c>
      <c r="C19" s="363">
        <v>842</v>
      </c>
      <c r="D19" s="363">
        <v>42197</v>
      </c>
      <c r="E19" s="363">
        <v>42041</v>
      </c>
      <c r="F19" s="426">
        <f t="shared" si="0"/>
        <v>0.9963030547195298</v>
      </c>
    </row>
    <row r="20" spans="1:6" ht="12.75" customHeight="1">
      <c r="A20" s="413">
        <v>5</v>
      </c>
      <c r="B20" s="404" t="s">
        <v>847</v>
      </c>
      <c r="C20" s="406">
        <v>253834</v>
      </c>
      <c r="D20" s="406">
        <v>146653</v>
      </c>
      <c r="E20" s="406">
        <v>146700</v>
      </c>
      <c r="F20" s="426">
        <f t="shared" si="0"/>
        <v>1.0003204844087745</v>
      </c>
    </row>
    <row r="21" spans="1:6" ht="4.5" customHeight="1" hidden="1" thickBot="1">
      <c r="A21" s="412" t="s">
        <v>692</v>
      </c>
      <c r="B21" s="362" t="s">
        <v>246</v>
      </c>
      <c r="C21" s="363"/>
      <c r="D21" s="363"/>
      <c r="E21" s="363"/>
      <c r="F21" s="426" t="e">
        <f t="shared" si="0"/>
        <v>#DIV/0!</v>
      </c>
    </row>
    <row r="22" spans="1:6" ht="12.75" hidden="1">
      <c r="A22" s="412" t="s">
        <v>693</v>
      </c>
      <c r="B22" s="362" t="s">
        <v>694</v>
      </c>
      <c r="C22" s="363"/>
      <c r="D22" s="363"/>
      <c r="E22" s="363"/>
      <c r="F22" s="426" t="e">
        <f t="shared" si="0"/>
        <v>#DIV/0!</v>
      </c>
    </row>
    <row r="23" spans="1:6" ht="12.75" hidden="1">
      <c r="A23" s="412" t="s">
        <v>695</v>
      </c>
      <c r="B23" s="362" t="s">
        <v>696</v>
      </c>
      <c r="C23" s="363"/>
      <c r="D23" s="363"/>
      <c r="E23" s="363"/>
      <c r="F23" s="426" t="e">
        <f t="shared" si="0"/>
        <v>#DIV/0!</v>
      </c>
    </row>
    <row r="24" spans="1:6" ht="12.75" hidden="1">
      <c r="A24" s="412" t="s">
        <v>697</v>
      </c>
      <c r="B24" s="362" t="s">
        <v>698</v>
      </c>
      <c r="C24" s="363"/>
      <c r="D24" s="363"/>
      <c r="E24" s="363"/>
      <c r="F24" s="426" t="e">
        <f t="shared" si="0"/>
        <v>#DIV/0!</v>
      </c>
    </row>
    <row r="25" spans="1:6" ht="12.75" hidden="1">
      <c r="A25" s="412" t="s">
        <v>699</v>
      </c>
      <c r="B25" s="362" t="s">
        <v>700</v>
      </c>
      <c r="C25" s="363"/>
      <c r="D25" s="363"/>
      <c r="E25" s="363"/>
      <c r="F25" s="426" t="e">
        <f t="shared" si="0"/>
        <v>#DIV/0!</v>
      </c>
    </row>
    <row r="26" spans="1:6" ht="12.75" hidden="1">
      <c r="A26" s="412" t="s">
        <v>701</v>
      </c>
      <c r="B26" s="362" t="s">
        <v>702</v>
      </c>
      <c r="C26" s="363"/>
      <c r="D26" s="363"/>
      <c r="E26" s="363"/>
      <c r="F26" s="426" t="e">
        <f t="shared" si="0"/>
        <v>#DIV/0!</v>
      </c>
    </row>
    <row r="27" spans="1:6" ht="12.75">
      <c r="A27" s="441" t="s">
        <v>96</v>
      </c>
      <c r="B27" s="362" t="s">
        <v>706</v>
      </c>
      <c r="C27" s="430">
        <v>0</v>
      </c>
      <c r="D27" s="363">
        <v>16148</v>
      </c>
      <c r="E27" s="363">
        <v>16148</v>
      </c>
      <c r="F27" s="426">
        <f t="shared" si="0"/>
        <v>1</v>
      </c>
    </row>
    <row r="28" spans="1:6" ht="12.75">
      <c r="A28" s="441" t="s">
        <v>74</v>
      </c>
      <c r="B28" s="362" t="s">
        <v>1258</v>
      </c>
      <c r="C28" s="430">
        <v>0</v>
      </c>
      <c r="D28" s="363">
        <v>2199</v>
      </c>
      <c r="E28" s="430">
        <v>0</v>
      </c>
      <c r="F28" s="434" t="s">
        <v>45</v>
      </c>
    </row>
    <row r="29" spans="1:6" ht="12" customHeight="1">
      <c r="A29" s="413">
        <v>8</v>
      </c>
      <c r="B29" s="420" t="s">
        <v>848</v>
      </c>
      <c r="C29" s="406">
        <v>1032834</v>
      </c>
      <c r="D29" s="406">
        <v>1135441</v>
      </c>
      <c r="E29" s="406">
        <f>1144153-6161</f>
        <v>1137992</v>
      </c>
      <c r="F29" s="426">
        <f t="shared" si="0"/>
        <v>1.0022467041440286</v>
      </c>
    </row>
    <row r="30" spans="1:6" ht="3.75" customHeight="1" hidden="1" thickBot="1">
      <c r="A30" s="412" t="s">
        <v>705</v>
      </c>
      <c r="B30" s="362" t="s">
        <v>706</v>
      </c>
      <c r="C30" s="363"/>
      <c r="D30" s="363"/>
      <c r="E30" s="363"/>
      <c r="F30" s="426" t="e">
        <f t="shared" si="0"/>
        <v>#DIV/0!</v>
      </c>
    </row>
    <row r="31" spans="1:6" ht="12.75" hidden="1">
      <c r="A31" s="412" t="s">
        <v>707</v>
      </c>
      <c r="B31" s="362" t="s">
        <v>708</v>
      </c>
      <c r="C31" s="363"/>
      <c r="D31" s="363"/>
      <c r="E31" s="363"/>
      <c r="F31" s="426" t="e">
        <f t="shared" si="0"/>
        <v>#DIV/0!</v>
      </c>
    </row>
    <row r="32" spans="1:6" ht="22.5" hidden="1">
      <c r="A32" s="412" t="s">
        <v>709</v>
      </c>
      <c r="B32" s="362" t="s">
        <v>710</v>
      </c>
      <c r="C32" s="363"/>
      <c r="D32" s="363"/>
      <c r="E32" s="363"/>
      <c r="F32" s="426" t="e">
        <f t="shared" si="0"/>
        <v>#DIV/0!</v>
      </c>
    </row>
    <row r="33" spans="1:6" ht="22.5" hidden="1">
      <c r="A33" s="412" t="s">
        <v>711</v>
      </c>
      <c r="B33" s="362" t="s">
        <v>712</v>
      </c>
      <c r="C33" s="363"/>
      <c r="D33" s="363"/>
      <c r="E33" s="363"/>
      <c r="F33" s="426" t="e">
        <f t="shared" si="0"/>
        <v>#DIV/0!</v>
      </c>
    </row>
    <row r="34" spans="1:6" ht="12.75" hidden="1">
      <c r="A34" s="412" t="s">
        <v>713</v>
      </c>
      <c r="B34" s="362" t="s">
        <v>714</v>
      </c>
      <c r="C34" s="363"/>
      <c r="D34" s="363"/>
      <c r="E34" s="363"/>
      <c r="F34" s="426" t="e">
        <f t="shared" si="0"/>
        <v>#DIV/0!</v>
      </c>
    </row>
    <row r="35" spans="1:6" ht="12.75" hidden="1">
      <c r="A35" s="412" t="s">
        <v>715</v>
      </c>
      <c r="B35" s="404" t="s">
        <v>716</v>
      </c>
      <c r="C35" s="363"/>
      <c r="D35" s="363"/>
      <c r="E35" s="363"/>
      <c r="F35" s="426" t="e">
        <f t="shared" si="0"/>
        <v>#DIV/0!</v>
      </c>
    </row>
    <row r="36" spans="1:6" ht="12" customHeight="1">
      <c r="A36" s="413">
        <v>9</v>
      </c>
      <c r="B36" s="420" t="s">
        <v>838</v>
      </c>
      <c r="C36" s="421">
        <v>168900</v>
      </c>
      <c r="D36" s="421">
        <v>172404</v>
      </c>
      <c r="E36" s="421">
        <v>191351</v>
      </c>
      <c r="F36" s="426">
        <f t="shared" si="0"/>
        <v>1.10989884225424</v>
      </c>
    </row>
    <row r="37" spans="1:6" ht="3.75" customHeight="1" hidden="1" thickBot="1">
      <c r="A37" s="412" t="s">
        <v>719</v>
      </c>
      <c r="B37" s="362" t="s">
        <v>720</v>
      </c>
      <c r="C37" s="406"/>
      <c r="D37" s="406"/>
      <c r="E37" s="406"/>
      <c r="F37" s="426" t="e">
        <f t="shared" si="0"/>
        <v>#DIV/0!</v>
      </c>
    </row>
    <row r="38" spans="1:6" ht="12.75" hidden="1">
      <c r="A38" s="412" t="s">
        <v>721</v>
      </c>
      <c r="B38" s="362" t="s">
        <v>722</v>
      </c>
      <c r="C38" s="363"/>
      <c r="D38" s="363"/>
      <c r="E38" s="363"/>
      <c r="F38" s="426" t="e">
        <f t="shared" si="0"/>
        <v>#DIV/0!</v>
      </c>
    </row>
    <row r="39" spans="1:6" ht="12.75" hidden="1">
      <c r="A39" s="412" t="s">
        <v>723</v>
      </c>
      <c r="B39" s="362" t="s">
        <v>724</v>
      </c>
      <c r="C39" s="363"/>
      <c r="D39" s="363"/>
      <c r="E39" s="363"/>
      <c r="F39" s="426" t="e">
        <f t="shared" si="0"/>
        <v>#DIV/0!</v>
      </c>
    </row>
    <row r="40" spans="1:6" ht="12.75" hidden="1">
      <c r="A40" s="412" t="s">
        <v>725</v>
      </c>
      <c r="B40" s="362" t="s">
        <v>726</v>
      </c>
      <c r="C40" s="363"/>
      <c r="D40" s="363"/>
      <c r="E40" s="363"/>
      <c r="F40" s="426" t="e">
        <f t="shared" si="0"/>
        <v>#DIV/0!</v>
      </c>
    </row>
    <row r="41" spans="1:6" ht="12.75" hidden="1">
      <c r="A41" s="412" t="s">
        <v>727</v>
      </c>
      <c r="B41" s="362" t="s">
        <v>313</v>
      </c>
      <c r="C41" s="363"/>
      <c r="D41" s="363"/>
      <c r="E41" s="363"/>
      <c r="F41" s="426" t="e">
        <f t="shared" si="0"/>
        <v>#DIV/0!</v>
      </c>
    </row>
    <row r="42" spans="1:6" ht="12.75" hidden="1">
      <c r="A42" s="412" t="s">
        <v>728</v>
      </c>
      <c r="B42" s="404" t="s">
        <v>317</v>
      </c>
      <c r="C42" s="363"/>
      <c r="D42" s="363"/>
      <c r="E42" s="363"/>
      <c r="F42" s="426" t="e">
        <f t="shared" si="0"/>
        <v>#DIV/0!</v>
      </c>
    </row>
    <row r="43" spans="1:6" ht="12" customHeight="1">
      <c r="A43" s="413">
        <v>10</v>
      </c>
      <c r="B43" s="420" t="s">
        <v>839</v>
      </c>
      <c r="C43" s="406">
        <v>406892</v>
      </c>
      <c r="D43" s="406">
        <v>124183</v>
      </c>
      <c r="E43" s="406">
        <v>130554</v>
      </c>
      <c r="F43" s="426">
        <f t="shared" si="0"/>
        <v>1.0513033184896483</v>
      </c>
    </row>
    <row r="44" spans="1:6" ht="6" customHeight="1" hidden="1" thickBot="1">
      <c r="A44" s="412" t="s">
        <v>731</v>
      </c>
      <c r="B44" s="362" t="s">
        <v>732</v>
      </c>
      <c r="C44" s="363"/>
      <c r="D44" s="363"/>
      <c r="E44" s="363"/>
      <c r="F44" s="426" t="e">
        <f t="shared" si="0"/>
        <v>#DIV/0!</v>
      </c>
    </row>
    <row r="45" spans="1:6" ht="12.75" hidden="1">
      <c r="A45" s="412" t="s">
        <v>733</v>
      </c>
      <c r="B45" s="362" t="s">
        <v>331</v>
      </c>
      <c r="C45" s="363"/>
      <c r="D45" s="363"/>
      <c r="E45" s="363"/>
      <c r="F45" s="426" t="e">
        <f t="shared" si="0"/>
        <v>#DIV/0!</v>
      </c>
    </row>
    <row r="46" spans="1:6" ht="12.75" hidden="1">
      <c r="A46" s="412" t="s">
        <v>734</v>
      </c>
      <c r="B46" s="362" t="s">
        <v>735</v>
      </c>
      <c r="C46" s="363"/>
      <c r="D46" s="363"/>
      <c r="E46" s="363"/>
      <c r="F46" s="426" t="e">
        <f t="shared" si="0"/>
        <v>#DIV/0!</v>
      </c>
    </row>
    <row r="47" spans="1:6" ht="12.75" hidden="1">
      <c r="A47" s="412" t="s">
        <v>736</v>
      </c>
      <c r="B47" s="362" t="s">
        <v>337</v>
      </c>
      <c r="C47" s="363"/>
      <c r="D47" s="363"/>
      <c r="E47" s="363"/>
      <c r="F47" s="426" t="e">
        <f t="shared" si="0"/>
        <v>#DIV/0!</v>
      </c>
    </row>
    <row r="48" spans="1:6" ht="12.75" hidden="1">
      <c r="A48" s="412" t="s">
        <v>737</v>
      </c>
      <c r="B48" s="362" t="s">
        <v>738</v>
      </c>
      <c r="C48" s="363"/>
      <c r="D48" s="363"/>
      <c r="E48" s="363"/>
      <c r="F48" s="426" t="e">
        <f t="shared" si="0"/>
        <v>#DIV/0!</v>
      </c>
    </row>
    <row r="49" spans="1:6" ht="12.75" hidden="1">
      <c r="A49" s="412" t="s">
        <v>739</v>
      </c>
      <c r="B49" s="362" t="s">
        <v>740</v>
      </c>
      <c r="C49" s="363"/>
      <c r="D49" s="363"/>
      <c r="E49" s="363"/>
      <c r="F49" s="426" t="e">
        <f t="shared" si="0"/>
        <v>#DIV/0!</v>
      </c>
    </row>
    <row r="50" spans="1:6" ht="12.75" hidden="1">
      <c r="A50" s="412" t="s">
        <v>741</v>
      </c>
      <c r="B50" s="362" t="s">
        <v>345</v>
      </c>
      <c r="C50" s="363"/>
      <c r="D50" s="363"/>
      <c r="E50" s="363"/>
      <c r="F50" s="426" t="e">
        <f t="shared" si="0"/>
        <v>#DIV/0!</v>
      </c>
    </row>
    <row r="51" spans="1:6" ht="12.75" hidden="1">
      <c r="A51" s="412" t="s">
        <v>742</v>
      </c>
      <c r="B51" s="362" t="s">
        <v>743</v>
      </c>
      <c r="C51" s="363"/>
      <c r="D51" s="363"/>
      <c r="E51" s="363"/>
      <c r="F51" s="426" t="e">
        <f t="shared" si="0"/>
        <v>#DIV/0!</v>
      </c>
    </row>
    <row r="52" spans="1:6" ht="12.75" hidden="1">
      <c r="A52" s="412" t="s">
        <v>744</v>
      </c>
      <c r="B52" s="362" t="s">
        <v>745</v>
      </c>
      <c r="C52" s="370"/>
      <c r="D52" s="370"/>
      <c r="E52" s="370"/>
      <c r="F52" s="426" t="e">
        <f t="shared" si="0"/>
        <v>#DIV/0!</v>
      </c>
    </row>
    <row r="53" spans="1:6" ht="12.75" hidden="1">
      <c r="A53" s="412" t="s">
        <v>746</v>
      </c>
      <c r="B53" s="362" t="s">
        <v>747</v>
      </c>
      <c r="C53" s="370"/>
      <c r="D53" s="370"/>
      <c r="E53" s="370"/>
      <c r="F53" s="426" t="e">
        <f t="shared" si="0"/>
        <v>#DIV/0!</v>
      </c>
    </row>
    <row r="54" spans="1:6" ht="12" customHeight="1">
      <c r="A54" s="413">
        <v>11</v>
      </c>
      <c r="B54" s="420" t="s">
        <v>168</v>
      </c>
      <c r="C54" s="406">
        <v>43272</v>
      </c>
      <c r="D54" s="406">
        <v>36892</v>
      </c>
      <c r="E54" s="406">
        <v>8036</v>
      </c>
      <c r="F54" s="426">
        <f t="shared" si="0"/>
        <v>0.21782500271061478</v>
      </c>
    </row>
    <row r="55" spans="1:6" ht="0.75" customHeight="1" hidden="1" thickBot="1">
      <c r="A55" s="412" t="s">
        <v>750</v>
      </c>
      <c r="B55" s="362" t="s">
        <v>30</v>
      </c>
      <c r="C55" s="370"/>
      <c r="D55" s="370"/>
      <c r="E55" s="370"/>
      <c r="F55" s="426" t="e">
        <f t="shared" si="0"/>
        <v>#DIV/0!</v>
      </c>
    </row>
    <row r="56" spans="1:6" ht="12.75" hidden="1">
      <c r="A56" s="412" t="s">
        <v>751</v>
      </c>
      <c r="B56" s="362" t="s">
        <v>354</v>
      </c>
      <c r="C56" s="370"/>
      <c r="D56" s="370"/>
      <c r="E56" s="370"/>
      <c r="F56" s="426" t="e">
        <f t="shared" si="0"/>
        <v>#DIV/0!</v>
      </c>
    </row>
    <row r="57" spans="1:6" ht="12.75" hidden="1">
      <c r="A57" s="412" t="s">
        <v>752</v>
      </c>
      <c r="B57" s="362" t="s">
        <v>357</v>
      </c>
      <c r="C57" s="370"/>
      <c r="D57" s="370"/>
      <c r="E57" s="370"/>
      <c r="F57" s="426" t="e">
        <f t="shared" si="0"/>
        <v>#DIV/0!</v>
      </c>
    </row>
    <row r="58" spans="1:6" ht="12.75" hidden="1">
      <c r="A58" s="412" t="s">
        <v>753</v>
      </c>
      <c r="B58" s="362" t="s">
        <v>359</v>
      </c>
      <c r="C58" s="370"/>
      <c r="D58" s="370"/>
      <c r="E58" s="370"/>
      <c r="F58" s="426" t="e">
        <f t="shared" si="0"/>
        <v>#DIV/0!</v>
      </c>
    </row>
    <row r="59" spans="1:6" ht="12.75" hidden="1">
      <c r="A59" s="412" t="s">
        <v>754</v>
      </c>
      <c r="B59" s="362" t="s">
        <v>361</v>
      </c>
      <c r="C59" s="370"/>
      <c r="D59" s="370"/>
      <c r="E59" s="370"/>
      <c r="F59" s="426" t="e">
        <f t="shared" si="0"/>
        <v>#DIV/0!</v>
      </c>
    </row>
    <row r="60" spans="1:6" ht="13.5" customHeight="1">
      <c r="A60" s="413">
        <v>12</v>
      </c>
      <c r="B60" s="420" t="s">
        <v>840</v>
      </c>
      <c r="C60" s="406">
        <v>21668</v>
      </c>
      <c r="D60" s="406">
        <v>24778</v>
      </c>
      <c r="E60" s="406">
        <v>3110</v>
      </c>
      <c r="F60" s="426">
        <f t="shared" si="0"/>
        <v>0.1255145693760594</v>
      </c>
    </row>
    <row r="61" spans="1:6" ht="0.75" customHeight="1" hidden="1" thickBot="1">
      <c r="A61" s="412" t="s">
        <v>757</v>
      </c>
      <c r="B61" s="362" t="s">
        <v>758</v>
      </c>
      <c r="C61" s="363"/>
      <c r="D61" s="363"/>
      <c r="E61" s="363"/>
      <c r="F61" s="426" t="e">
        <f t="shared" si="0"/>
        <v>#DIV/0!</v>
      </c>
    </row>
    <row r="62" spans="1:6" ht="22.5" hidden="1">
      <c r="A62" s="412" t="s">
        <v>759</v>
      </c>
      <c r="B62" s="362" t="s">
        <v>760</v>
      </c>
      <c r="C62" s="363"/>
      <c r="D62" s="363"/>
      <c r="E62" s="363"/>
      <c r="F62" s="426" t="e">
        <f t="shared" si="0"/>
        <v>#DIV/0!</v>
      </c>
    </row>
    <row r="63" spans="1:6" ht="12.75" hidden="1">
      <c r="A63" s="412" t="s">
        <v>761</v>
      </c>
      <c r="B63" s="362" t="s">
        <v>762</v>
      </c>
      <c r="C63" s="363"/>
      <c r="D63" s="363"/>
      <c r="E63" s="363"/>
      <c r="F63" s="426" t="e">
        <f t="shared" si="0"/>
        <v>#DIV/0!</v>
      </c>
    </row>
    <row r="64" spans="1:6" ht="12.75" hidden="1">
      <c r="A64" s="412" t="s">
        <v>763</v>
      </c>
      <c r="B64" s="362" t="s">
        <v>764</v>
      </c>
      <c r="C64" s="363"/>
      <c r="D64" s="363"/>
      <c r="E64" s="363"/>
      <c r="F64" s="426" t="e">
        <f t="shared" si="0"/>
        <v>#DIV/0!</v>
      </c>
    </row>
    <row r="65" spans="1:6" ht="12.75">
      <c r="A65" s="413">
        <v>13</v>
      </c>
      <c r="B65" s="404" t="s">
        <v>841</v>
      </c>
      <c r="C65" s="406">
        <v>212941</v>
      </c>
      <c r="D65" s="406">
        <v>216458</v>
      </c>
      <c r="E65" s="406">
        <v>24706</v>
      </c>
      <c r="F65" s="426">
        <f t="shared" si="0"/>
        <v>0.11413761561134261</v>
      </c>
    </row>
    <row r="66" spans="1:6" ht="22.5" hidden="1">
      <c r="A66" s="412" t="s">
        <v>767</v>
      </c>
      <c r="B66" s="362" t="s">
        <v>768</v>
      </c>
      <c r="C66" s="370">
        <v>0</v>
      </c>
      <c r="D66" s="370">
        <v>0</v>
      </c>
      <c r="E66" s="370">
        <v>0</v>
      </c>
      <c r="F66" s="426" t="e">
        <f t="shared" si="0"/>
        <v>#DIV/0!</v>
      </c>
    </row>
    <row r="67" spans="1:6" ht="22.5" hidden="1">
      <c r="A67" s="412" t="s">
        <v>769</v>
      </c>
      <c r="B67" s="362" t="s">
        <v>770</v>
      </c>
      <c r="C67" s="370">
        <v>0</v>
      </c>
      <c r="D67" s="370">
        <v>0</v>
      </c>
      <c r="E67" s="370">
        <v>0</v>
      </c>
      <c r="F67" s="426" t="e">
        <f t="shared" si="0"/>
        <v>#DIV/0!</v>
      </c>
    </row>
    <row r="68" spans="1:6" ht="12.75" hidden="1">
      <c r="A68" s="412" t="s">
        <v>771</v>
      </c>
      <c r="B68" s="362" t="s">
        <v>772</v>
      </c>
      <c r="C68" s="370">
        <v>0</v>
      </c>
      <c r="D68" s="370">
        <v>0</v>
      </c>
      <c r="E68" s="370">
        <v>0</v>
      </c>
      <c r="F68" s="426" t="e">
        <f t="shared" si="0"/>
        <v>#DIV/0!</v>
      </c>
    </row>
    <row r="69" spans="1:6" ht="12.75" hidden="1">
      <c r="A69" s="412" t="s">
        <v>773</v>
      </c>
      <c r="B69" s="362" t="s">
        <v>774</v>
      </c>
      <c r="C69" s="370">
        <v>0</v>
      </c>
      <c r="D69" s="370">
        <v>0</v>
      </c>
      <c r="E69" s="370">
        <v>0</v>
      </c>
      <c r="F69" s="426" t="e">
        <f t="shared" si="0"/>
        <v>#DIV/0!</v>
      </c>
    </row>
    <row r="70" spans="1:6" ht="12.75">
      <c r="A70" s="413">
        <v>14</v>
      </c>
      <c r="B70" s="403" t="s">
        <v>849</v>
      </c>
      <c r="C70" s="405">
        <f>SUM(C11:C65)</f>
        <v>2666368</v>
      </c>
      <c r="D70" s="405">
        <f>SUM(D11:D65)</f>
        <v>2467326</v>
      </c>
      <c r="E70" s="405">
        <f>SUM(E11:E65)</f>
        <v>2250611</v>
      </c>
      <c r="F70" s="431">
        <f t="shared" si="0"/>
        <v>0.9121660453462574</v>
      </c>
    </row>
    <row r="71" spans="1:6" ht="12.75">
      <c r="A71" s="414">
        <v>15</v>
      </c>
      <c r="B71" s="404" t="s">
        <v>842</v>
      </c>
      <c r="C71" s="430">
        <v>0</v>
      </c>
      <c r="D71" s="430">
        <v>123644</v>
      </c>
      <c r="E71" s="430">
        <v>123644</v>
      </c>
      <c r="F71" s="426">
        <f t="shared" si="0"/>
        <v>1</v>
      </c>
    </row>
    <row r="72" spans="1:6" ht="12.75" hidden="1">
      <c r="A72" s="412" t="s">
        <v>779</v>
      </c>
      <c r="B72" s="362" t="s">
        <v>780</v>
      </c>
      <c r="C72" s="370"/>
      <c r="D72" s="370"/>
      <c r="E72" s="370"/>
      <c r="F72" s="426" t="e">
        <f t="shared" si="0"/>
        <v>#DIV/0!</v>
      </c>
    </row>
    <row r="73" spans="1:6" ht="12.75" hidden="1">
      <c r="A73" s="412" t="s">
        <v>781</v>
      </c>
      <c r="B73" s="362" t="s">
        <v>782</v>
      </c>
      <c r="C73" s="370"/>
      <c r="D73" s="370"/>
      <c r="E73" s="370"/>
      <c r="F73" s="426" t="e">
        <f t="shared" si="0"/>
        <v>#DIV/0!</v>
      </c>
    </row>
    <row r="74" spans="1:6" ht="12.75" hidden="1">
      <c r="A74" s="412" t="s">
        <v>783</v>
      </c>
      <c r="B74" s="407" t="s">
        <v>784</v>
      </c>
      <c r="C74" s="370"/>
      <c r="D74" s="370"/>
      <c r="E74" s="370"/>
      <c r="F74" s="426" t="e">
        <f t="shared" si="0"/>
        <v>#DIV/0!</v>
      </c>
    </row>
    <row r="75" spans="1:6" ht="12.75">
      <c r="A75" s="414">
        <v>16</v>
      </c>
      <c r="B75" s="404" t="s">
        <v>843</v>
      </c>
      <c r="C75" s="430">
        <v>0</v>
      </c>
      <c r="D75" s="430">
        <v>0</v>
      </c>
      <c r="E75" s="430">
        <v>0</v>
      </c>
      <c r="F75" s="434" t="s">
        <v>45</v>
      </c>
    </row>
    <row r="76" spans="1:6" ht="12.75" hidden="1">
      <c r="A76" s="412" t="s">
        <v>787</v>
      </c>
      <c r="B76" s="362" t="s">
        <v>788</v>
      </c>
      <c r="C76" s="370"/>
      <c r="D76" s="370"/>
      <c r="E76" s="370"/>
      <c r="F76" s="426" t="e">
        <f t="shared" si="0"/>
        <v>#DIV/0!</v>
      </c>
    </row>
    <row r="77" spans="1:6" ht="12.75" hidden="1">
      <c r="A77" s="412" t="s">
        <v>789</v>
      </c>
      <c r="B77" s="362" t="s">
        <v>790</v>
      </c>
      <c r="C77" s="370"/>
      <c r="D77" s="370"/>
      <c r="E77" s="370"/>
      <c r="F77" s="426" t="e">
        <f t="shared" si="0"/>
        <v>#DIV/0!</v>
      </c>
    </row>
    <row r="78" spans="1:6" ht="12.75" hidden="1">
      <c r="A78" s="412" t="s">
        <v>791</v>
      </c>
      <c r="B78" s="362" t="s">
        <v>792</v>
      </c>
      <c r="C78" s="370"/>
      <c r="D78" s="370"/>
      <c r="E78" s="370"/>
      <c r="F78" s="426" t="e">
        <f t="shared" si="0"/>
        <v>#DIV/0!</v>
      </c>
    </row>
    <row r="79" spans="1:6" ht="12.75" hidden="1">
      <c r="A79" s="412" t="s">
        <v>793</v>
      </c>
      <c r="B79" s="362" t="s">
        <v>794</v>
      </c>
      <c r="C79" s="370"/>
      <c r="D79" s="370"/>
      <c r="E79" s="370"/>
      <c r="F79" s="426" t="e">
        <f t="shared" si="0"/>
        <v>#DIV/0!</v>
      </c>
    </row>
    <row r="80" spans="1:6" ht="12.75" customHeight="1">
      <c r="A80" s="414">
        <v>17</v>
      </c>
      <c r="B80" s="404" t="s">
        <v>844</v>
      </c>
      <c r="C80" s="406">
        <v>3569</v>
      </c>
      <c r="D80" s="406">
        <v>125715</v>
      </c>
      <c r="E80" s="406">
        <v>125715</v>
      </c>
      <c r="F80" s="426">
        <f>E80/D80</f>
        <v>1</v>
      </c>
    </row>
    <row r="81" spans="1:6" ht="12.75" hidden="1">
      <c r="A81" s="412" t="s">
        <v>797</v>
      </c>
      <c r="B81" s="362" t="s">
        <v>403</v>
      </c>
      <c r="C81" s="370"/>
      <c r="D81" s="370"/>
      <c r="E81" s="370"/>
      <c r="F81" s="426" t="e">
        <f>E81/D81</f>
        <v>#DIV/0!</v>
      </c>
    </row>
    <row r="82" spans="1:6" ht="12.75" hidden="1">
      <c r="A82" s="412" t="s">
        <v>798</v>
      </c>
      <c r="B82" s="362" t="s">
        <v>405</v>
      </c>
      <c r="C82" s="370"/>
      <c r="D82" s="370"/>
      <c r="E82" s="370"/>
      <c r="F82" s="426" t="e">
        <f>E82/D82</f>
        <v>#DIV/0!</v>
      </c>
    </row>
    <row r="83" spans="1:6" ht="12.75">
      <c r="A83" s="441" t="s">
        <v>107</v>
      </c>
      <c r="B83" s="362" t="s">
        <v>802</v>
      </c>
      <c r="C83" s="430">
        <v>0</v>
      </c>
      <c r="D83" s="430">
        <v>0</v>
      </c>
      <c r="E83" s="370">
        <v>17636</v>
      </c>
      <c r="F83" s="434" t="s">
        <v>45</v>
      </c>
    </row>
    <row r="84" spans="1:6" ht="12.75" customHeight="1">
      <c r="A84" s="414">
        <v>19</v>
      </c>
      <c r="B84" s="432" t="s">
        <v>850</v>
      </c>
      <c r="C84" s="433">
        <f>SUM(C71:C83)</f>
        <v>3569</v>
      </c>
      <c r="D84" s="433">
        <f>SUM(D71:D83)</f>
        <v>249359</v>
      </c>
      <c r="E84" s="433">
        <f>SUM(E71:E83)</f>
        <v>266995</v>
      </c>
      <c r="F84" s="434">
        <f aca="true" t="shared" si="1" ref="F84:F144">E84/D84</f>
        <v>1.0707253397711733</v>
      </c>
    </row>
    <row r="85" spans="1:6" ht="12.75" hidden="1">
      <c r="A85" s="412" t="s">
        <v>801</v>
      </c>
      <c r="B85" s="362" t="s">
        <v>802</v>
      </c>
      <c r="C85" s="370"/>
      <c r="D85" s="370"/>
      <c r="E85" s="370"/>
      <c r="F85" s="426" t="e">
        <f t="shared" si="1"/>
        <v>#DIV/0!</v>
      </c>
    </row>
    <row r="86" spans="1:6" ht="12.75" hidden="1">
      <c r="A86" s="412" t="s">
        <v>803</v>
      </c>
      <c r="B86" s="362" t="s">
        <v>804</v>
      </c>
      <c r="C86" s="370"/>
      <c r="D86" s="370"/>
      <c r="E86" s="370"/>
      <c r="F86" s="426" t="e">
        <f t="shared" si="1"/>
        <v>#DIV/0!</v>
      </c>
    </row>
    <row r="87" spans="1:6" ht="12.75" hidden="1">
      <c r="A87" s="412" t="s">
        <v>805</v>
      </c>
      <c r="B87" s="404" t="s">
        <v>413</v>
      </c>
      <c r="C87" s="370"/>
      <c r="D87" s="370"/>
      <c r="E87" s="370"/>
      <c r="F87" s="426" t="e">
        <f t="shared" si="1"/>
        <v>#DIV/0!</v>
      </c>
    </row>
    <row r="88" spans="1:6" ht="12.75" customHeight="1">
      <c r="A88" s="414">
        <v>20</v>
      </c>
      <c r="B88" s="432" t="s">
        <v>845</v>
      </c>
      <c r="C88" s="430">
        <v>0</v>
      </c>
      <c r="D88" s="430">
        <v>0</v>
      </c>
      <c r="E88" s="430">
        <v>0</v>
      </c>
      <c r="F88" s="434" t="s">
        <v>45</v>
      </c>
    </row>
    <row r="89" spans="1:6" ht="12.75" hidden="1">
      <c r="A89" s="415" t="s">
        <v>808</v>
      </c>
      <c r="B89" s="362" t="s">
        <v>809</v>
      </c>
      <c r="C89" s="370"/>
      <c r="D89" s="370"/>
      <c r="E89" s="370"/>
      <c r="F89" s="426" t="e">
        <f t="shared" si="1"/>
        <v>#DIV/0!</v>
      </c>
    </row>
    <row r="90" spans="1:6" ht="12.75" hidden="1">
      <c r="A90" s="415" t="s">
        <v>810</v>
      </c>
      <c r="B90" s="362" t="s">
        <v>811</v>
      </c>
      <c r="C90" s="370"/>
      <c r="D90" s="370"/>
      <c r="E90" s="370"/>
      <c r="F90" s="426" t="e">
        <f t="shared" si="1"/>
        <v>#DIV/0!</v>
      </c>
    </row>
    <row r="91" spans="1:6" ht="12.75" hidden="1">
      <c r="A91" s="415" t="s">
        <v>812</v>
      </c>
      <c r="B91" s="362" t="s">
        <v>813</v>
      </c>
      <c r="C91" s="370"/>
      <c r="D91" s="370"/>
      <c r="E91" s="370"/>
      <c r="F91" s="426" t="e">
        <f t="shared" si="1"/>
        <v>#DIV/0!</v>
      </c>
    </row>
    <row r="92" spans="1:6" ht="12.75" hidden="1">
      <c r="A92" s="416" t="s">
        <v>814</v>
      </c>
      <c r="B92" s="404" t="s">
        <v>815</v>
      </c>
      <c r="C92" s="370"/>
      <c r="D92" s="370"/>
      <c r="E92" s="370"/>
      <c r="F92" s="426" t="e">
        <f t="shared" si="1"/>
        <v>#DIV/0!</v>
      </c>
    </row>
    <row r="93" spans="1:6" ht="12.75" customHeight="1">
      <c r="A93" s="414">
        <v>21</v>
      </c>
      <c r="B93" s="432" t="s">
        <v>419</v>
      </c>
      <c r="C93" s="430">
        <v>0</v>
      </c>
      <c r="D93" s="430">
        <v>0</v>
      </c>
      <c r="E93" s="430">
        <v>0</v>
      </c>
      <c r="F93" s="434" t="s">
        <v>45</v>
      </c>
    </row>
    <row r="94" spans="1:6" ht="12.75">
      <c r="A94" s="414">
        <v>22</v>
      </c>
      <c r="B94" s="408" t="s">
        <v>851</v>
      </c>
      <c r="C94" s="405">
        <f>SUM(C84:C93)</f>
        <v>3569</v>
      </c>
      <c r="D94" s="405">
        <f>SUM(D84:D93)</f>
        <v>249359</v>
      </c>
      <c r="E94" s="405">
        <f>SUM(E84:E93)</f>
        <v>266995</v>
      </c>
      <c r="F94" s="431">
        <f t="shared" si="1"/>
        <v>1.0707253397711733</v>
      </c>
    </row>
    <row r="95" spans="1:6" ht="21.75" thickBot="1">
      <c r="A95" s="417">
        <v>23</v>
      </c>
      <c r="B95" s="409" t="s">
        <v>852</v>
      </c>
      <c r="C95" s="410">
        <f>SUM(C70+C94)</f>
        <v>2669937</v>
      </c>
      <c r="D95" s="410">
        <f>SUM(D70+D94)</f>
        <v>2716685</v>
      </c>
      <c r="E95" s="410">
        <f>SUM(E70+E94)</f>
        <v>2517606</v>
      </c>
      <c r="F95" s="435">
        <f t="shared" si="1"/>
        <v>0.9267198810314777</v>
      </c>
    </row>
    <row r="96" spans="1:6" ht="21.75" customHeight="1" thickBot="1">
      <c r="A96" s="744">
        <v>24</v>
      </c>
      <c r="B96" s="1097" t="s">
        <v>75</v>
      </c>
      <c r="C96" s="397"/>
      <c r="D96" s="397"/>
      <c r="E96" s="397"/>
      <c r="F96" s="398"/>
    </row>
    <row r="97" spans="1:6" ht="14.25" customHeight="1">
      <c r="A97" s="401">
        <v>25</v>
      </c>
      <c r="B97" s="422" t="s">
        <v>836</v>
      </c>
      <c r="C97" s="430">
        <v>0</v>
      </c>
      <c r="D97" s="430">
        <v>0</v>
      </c>
      <c r="E97" s="430">
        <v>0</v>
      </c>
      <c r="F97" s="434" t="s">
        <v>45</v>
      </c>
    </row>
    <row r="98" spans="1:6" ht="1.5" customHeight="1" hidden="1" thickBot="1">
      <c r="A98" s="361" t="s">
        <v>680</v>
      </c>
      <c r="B98" s="362" t="s">
        <v>246</v>
      </c>
      <c r="C98" s="363"/>
      <c r="D98" s="363"/>
      <c r="E98" s="363"/>
      <c r="F98" s="426" t="e">
        <f t="shared" si="1"/>
        <v>#DIV/0!</v>
      </c>
    </row>
    <row r="99" spans="1:6" ht="12.75" hidden="1">
      <c r="A99" s="361" t="s">
        <v>682</v>
      </c>
      <c r="B99" s="362" t="s">
        <v>694</v>
      </c>
      <c r="C99" s="363"/>
      <c r="D99" s="363"/>
      <c r="E99" s="363"/>
      <c r="F99" s="426" t="e">
        <f t="shared" si="1"/>
        <v>#DIV/0!</v>
      </c>
    </row>
    <row r="100" spans="1:6" ht="12.75" hidden="1">
      <c r="A100" s="361" t="s">
        <v>684</v>
      </c>
      <c r="B100" s="362" t="s">
        <v>696</v>
      </c>
      <c r="C100" s="363"/>
      <c r="D100" s="363"/>
      <c r="E100" s="363"/>
      <c r="F100" s="426" t="e">
        <f t="shared" si="1"/>
        <v>#DIV/0!</v>
      </c>
    </row>
    <row r="101" spans="1:6" ht="12.75" hidden="1">
      <c r="A101" s="361" t="s">
        <v>686</v>
      </c>
      <c r="B101" s="362" t="s">
        <v>698</v>
      </c>
      <c r="C101" s="363"/>
      <c r="D101" s="363"/>
      <c r="E101" s="363"/>
      <c r="F101" s="426" t="e">
        <f t="shared" si="1"/>
        <v>#DIV/0!</v>
      </c>
    </row>
    <row r="102" spans="1:6" ht="12.75" hidden="1">
      <c r="A102" s="361" t="s">
        <v>688</v>
      </c>
      <c r="B102" s="362" t="s">
        <v>700</v>
      </c>
      <c r="C102" s="363"/>
      <c r="D102" s="363"/>
      <c r="E102" s="363"/>
      <c r="F102" s="426" t="e">
        <f t="shared" si="1"/>
        <v>#DIV/0!</v>
      </c>
    </row>
    <row r="103" spans="1:6" ht="12.75" hidden="1">
      <c r="A103" s="361" t="s">
        <v>689</v>
      </c>
      <c r="B103" s="362" t="s">
        <v>702</v>
      </c>
      <c r="C103" s="363"/>
      <c r="D103" s="363"/>
      <c r="E103" s="363"/>
      <c r="F103" s="426" t="e">
        <f t="shared" si="1"/>
        <v>#DIV/0!</v>
      </c>
    </row>
    <row r="104" spans="1:6" ht="15" customHeight="1">
      <c r="A104" s="402">
        <v>26</v>
      </c>
      <c r="B104" s="420" t="s">
        <v>837</v>
      </c>
      <c r="C104" s="430">
        <v>0</v>
      </c>
      <c r="D104" s="430">
        <v>0</v>
      </c>
      <c r="E104" s="430">
        <v>0</v>
      </c>
      <c r="F104" s="434" t="s">
        <v>45</v>
      </c>
    </row>
    <row r="105" spans="1:6" ht="2.25" customHeight="1" hidden="1" thickBot="1">
      <c r="A105" s="361" t="s">
        <v>692</v>
      </c>
      <c r="B105" s="362" t="s">
        <v>706</v>
      </c>
      <c r="C105" s="363"/>
      <c r="D105" s="363"/>
      <c r="E105" s="363"/>
      <c r="F105" s="426" t="e">
        <f t="shared" si="1"/>
        <v>#DIV/0!</v>
      </c>
    </row>
    <row r="106" spans="1:6" ht="12.75" hidden="1">
      <c r="A106" s="361" t="s">
        <v>693</v>
      </c>
      <c r="B106" s="362" t="s">
        <v>708</v>
      </c>
      <c r="C106" s="363"/>
      <c r="D106" s="363"/>
      <c r="E106" s="363"/>
      <c r="F106" s="426" t="e">
        <f t="shared" si="1"/>
        <v>#DIV/0!</v>
      </c>
    </row>
    <row r="107" spans="1:6" ht="22.5" hidden="1">
      <c r="A107" s="361" t="s">
        <v>695</v>
      </c>
      <c r="B107" s="362" t="s">
        <v>710</v>
      </c>
      <c r="C107" s="363"/>
      <c r="D107" s="363"/>
      <c r="E107" s="363"/>
      <c r="F107" s="426" t="e">
        <f t="shared" si="1"/>
        <v>#DIV/0!</v>
      </c>
    </row>
    <row r="108" spans="1:6" ht="22.5" hidden="1">
      <c r="A108" s="361" t="s">
        <v>697</v>
      </c>
      <c r="B108" s="362" t="s">
        <v>712</v>
      </c>
      <c r="C108" s="363"/>
      <c r="D108" s="363"/>
      <c r="E108" s="363"/>
      <c r="F108" s="426" t="e">
        <f t="shared" si="1"/>
        <v>#DIV/0!</v>
      </c>
    </row>
    <row r="109" spans="1:6" ht="12.75" hidden="1">
      <c r="A109" s="361" t="s">
        <v>699</v>
      </c>
      <c r="B109" s="362" t="s">
        <v>714</v>
      </c>
      <c r="C109" s="363"/>
      <c r="D109" s="363"/>
      <c r="E109" s="363"/>
      <c r="F109" s="426" t="e">
        <f t="shared" si="1"/>
        <v>#DIV/0!</v>
      </c>
    </row>
    <row r="110" spans="1:6" ht="12.75" hidden="1">
      <c r="A110" s="361" t="s">
        <v>701</v>
      </c>
      <c r="B110" s="404" t="s">
        <v>716</v>
      </c>
      <c r="C110" s="363"/>
      <c r="D110" s="363"/>
      <c r="E110" s="363"/>
      <c r="F110" s="426" t="e">
        <f t="shared" si="1"/>
        <v>#DIV/0!</v>
      </c>
    </row>
    <row r="111" spans="1:6" ht="12.75" customHeight="1">
      <c r="A111" s="402">
        <v>27</v>
      </c>
      <c r="B111" s="420" t="s">
        <v>838</v>
      </c>
      <c r="C111" s="421">
        <v>100</v>
      </c>
      <c r="D111" s="421">
        <v>100</v>
      </c>
      <c r="E111" s="421">
        <v>10</v>
      </c>
      <c r="F111" s="426">
        <f t="shared" si="1"/>
        <v>0.1</v>
      </c>
    </row>
    <row r="112" spans="1:6" ht="12" customHeight="1">
      <c r="A112" s="402">
        <v>28</v>
      </c>
      <c r="B112" s="420" t="s">
        <v>839</v>
      </c>
      <c r="C112" s="406">
        <v>9330</v>
      </c>
      <c r="D112" s="406">
        <v>9330</v>
      </c>
      <c r="E112" s="406">
        <v>8807</v>
      </c>
      <c r="F112" s="426">
        <f t="shared" si="1"/>
        <v>0.9439442658092175</v>
      </c>
    </row>
    <row r="113" spans="1:6" ht="5.25" customHeight="1" hidden="1" thickBot="1">
      <c r="A113" s="361" t="s">
        <v>719</v>
      </c>
      <c r="B113" s="362" t="s">
        <v>732</v>
      </c>
      <c r="C113" s="363"/>
      <c r="D113" s="363"/>
      <c r="E113" s="363"/>
      <c r="F113" s="426" t="e">
        <f t="shared" si="1"/>
        <v>#DIV/0!</v>
      </c>
    </row>
    <row r="114" spans="1:6" ht="12.75" hidden="1">
      <c r="A114" s="361" t="s">
        <v>725</v>
      </c>
      <c r="B114" s="362" t="s">
        <v>331</v>
      </c>
      <c r="C114" s="363"/>
      <c r="D114" s="363"/>
      <c r="E114" s="363"/>
      <c r="F114" s="426" t="e">
        <f t="shared" si="1"/>
        <v>#DIV/0!</v>
      </c>
    </row>
    <row r="115" spans="1:6" ht="12.75" hidden="1">
      <c r="A115" s="361" t="s">
        <v>727</v>
      </c>
      <c r="B115" s="362" t="s">
        <v>735</v>
      </c>
      <c r="C115" s="363"/>
      <c r="D115" s="363"/>
      <c r="E115" s="363"/>
      <c r="F115" s="426" t="e">
        <f t="shared" si="1"/>
        <v>#DIV/0!</v>
      </c>
    </row>
    <row r="116" spans="1:6" ht="12.75" hidden="1">
      <c r="A116" s="361" t="s">
        <v>728</v>
      </c>
      <c r="B116" s="362" t="s">
        <v>337</v>
      </c>
      <c r="C116" s="363"/>
      <c r="D116" s="363"/>
      <c r="E116" s="363"/>
      <c r="F116" s="426" t="e">
        <f t="shared" si="1"/>
        <v>#DIV/0!</v>
      </c>
    </row>
    <row r="117" spans="1:6" ht="12.75" hidden="1">
      <c r="A117" s="361" t="s">
        <v>826</v>
      </c>
      <c r="B117" s="362" t="s">
        <v>738</v>
      </c>
      <c r="C117" s="363"/>
      <c r="D117" s="363"/>
      <c r="E117" s="363"/>
      <c r="F117" s="426" t="e">
        <f t="shared" si="1"/>
        <v>#DIV/0!</v>
      </c>
    </row>
    <row r="118" spans="1:6" ht="12.75" hidden="1">
      <c r="A118" s="361" t="s">
        <v>827</v>
      </c>
      <c r="B118" s="362" t="s">
        <v>740</v>
      </c>
      <c r="C118" s="363"/>
      <c r="D118" s="363"/>
      <c r="E118" s="363"/>
      <c r="F118" s="426" t="e">
        <f t="shared" si="1"/>
        <v>#DIV/0!</v>
      </c>
    </row>
    <row r="119" spans="1:6" ht="12.75" hidden="1">
      <c r="A119" s="361" t="s">
        <v>828</v>
      </c>
      <c r="B119" s="362" t="s">
        <v>345</v>
      </c>
      <c r="C119" s="363"/>
      <c r="D119" s="363"/>
      <c r="E119" s="363"/>
      <c r="F119" s="426" t="e">
        <f t="shared" si="1"/>
        <v>#DIV/0!</v>
      </c>
    </row>
    <row r="120" spans="1:6" ht="12.75" hidden="1">
      <c r="A120" s="361" t="s">
        <v>829</v>
      </c>
      <c r="B120" s="362" t="s">
        <v>743</v>
      </c>
      <c r="C120" s="363"/>
      <c r="D120" s="363"/>
      <c r="E120" s="363"/>
      <c r="F120" s="426" t="e">
        <f t="shared" si="1"/>
        <v>#DIV/0!</v>
      </c>
    </row>
    <row r="121" spans="1:6" ht="12.75" hidden="1">
      <c r="A121" s="361" t="s">
        <v>830</v>
      </c>
      <c r="B121" s="362" t="s">
        <v>745</v>
      </c>
      <c r="C121" s="370"/>
      <c r="D121" s="370"/>
      <c r="E121" s="370"/>
      <c r="F121" s="426" t="e">
        <f t="shared" si="1"/>
        <v>#DIV/0!</v>
      </c>
    </row>
    <row r="122" spans="1:6" ht="12.75" hidden="1">
      <c r="A122" s="361" t="s">
        <v>831</v>
      </c>
      <c r="B122" s="362" t="s">
        <v>747</v>
      </c>
      <c r="C122" s="370"/>
      <c r="D122" s="370"/>
      <c r="E122" s="370"/>
      <c r="F122" s="426" t="e">
        <f t="shared" si="1"/>
        <v>#DIV/0!</v>
      </c>
    </row>
    <row r="123" spans="1:6" ht="11.25" customHeight="1">
      <c r="A123" s="402">
        <v>29</v>
      </c>
      <c r="B123" s="420" t="s">
        <v>168</v>
      </c>
      <c r="C123" s="430">
        <v>0</v>
      </c>
      <c r="D123" s="430">
        <v>0</v>
      </c>
      <c r="E123" s="430">
        <v>0</v>
      </c>
      <c r="F123" s="434" t="s">
        <v>45</v>
      </c>
    </row>
    <row r="124" spans="1:6" ht="1.5" customHeight="1" hidden="1" thickBot="1">
      <c r="A124" s="361" t="s">
        <v>731</v>
      </c>
      <c r="B124" s="362" t="s">
        <v>30</v>
      </c>
      <c r="C124" s="370"/>
      <c r="D124" s="370"/>
      <c r="E124" s="370"/>
      <c r="F124" s="426" t="e">
        <f t="shared" si="1"/>
        <v>#DIV/0!</v>
      </c>
    </row>
    <row r="125" spans="1:6" ht="12.75" hidden="1">
      <c r="A125" s="361" t="s">
        <v>733</v>
      </c>
      <c r="B125" s="362" t="s">
        <v>354</v>
      </c>
      <c r="C125" s="370"/>
      <c r="D125" s="370"/>
      <c r="E125" s="370"/>
      <c r="F125" s="426" t="e">
        <f t="shared" si="1"/>
        <v>#DIV/0!</v>
      </c>
    </row>
    <row r="126" spans="1:6" ht="12.75" hidden="1">
      <c r="A126" s="361" t="s">
        <v>734</v>
      </c>
      <c r="B126" s="362" t="s">
        <v>357</v>
      </c>
      <c r="C126" s="370"/>
      <c r="D126" s="370"/>
      <c r="E126" s="370"/>
      <c r="F126" s="426" t="e">
        <f t="shared" si="1"/>
        <v>#DIV/0!</v>
      </c>
    </row>
    <row r="127" spans="1:6" ht="12.75" hidden="1">
      <c r="A127" s="361" t="s">
        <v>736</v>
      </c>
      <c r="B127" s="362" t="s">
        <v>359</v>
      </c>
      <c r="C127" s="370"/>
      <c r="D127" s="370"/>
      <c r="E127" s="370"/>
      <c r="F127" s="426" t="e">
        <f t="shared" si="1"/>
        <v>#DIV/0!</v>
      </c>
    </row>
    <row r="128" spans="1:6" ht="12.75" hidden="1">
      <c r="A128" s="361" t="s">
        <v>737</v>
      </c>
      <c r="B128" s="362" t="s">
        <v>361</v>
      </c>
      <c r="C128" s="370"/>
      <c r="D128" s="370"/>
      <c r="E128" s="370"/>
      <c r="F128" s="426" t="e">
        <f t="shared" si="1"/>
        <v>#DIV/0!</v>
      </c>
    </row>
    <row r="129" spans="1:6" ht="12.75">
      <c r="A129" s="402">
        <v>30</v>
      </c>
      <c r="B129" s="420" t="s">
        <v>363</v>
      </c>
      <c r="C129" s="430">
        <v>0</v>
      </c>
      <c r="D129" s="430">
        <v>0</v>
      </c>
      <c r="E129" s="430">
        <v>0</v>
      </c>
      <c r="F129" s="434" t="s">
        <v>45</v>
      </c>
    </row>
    <row r="130" spans="1:6" ht="12.75">
      <c r="A130" s="402">
        <v>31</v>
      </c>
      <c r="B130" s="404" t="s">
        <v>381</v>
      </c>
      <c r="C130" s="430">
        <v>0</v>
      </c>
      <c r="D130" s="430">
        <v>0</v>
      </c>
      <c r="E130" s="430">
        <v>0</v>
      </c>
      <c r="F130" s="434" t="s">
        <v>45</v>
      </c>
    </row>
    <row r="131" spans="1:6" ht="12.75">
      <c r="A131" s="402">
        <v>32</v>
      </c>
      <c r="B131" s="403" t="s">
        <v>853</v>
      </c>
      <c r="C131" s="405">
        <f>SUM(C97:C130)</f>
        <v>9430</v>
      </c>
      <c r="D131" s="405">
        <f>SUM(D97:D130)</f>
        <v>9430</v>
      </c>
      <c r="E131" s="405">
        <f>SUM(E97:E130)</f>
        <v>8817</v>
      </c>
      <c r="F131" s="431">
        <f t="shared" si="1"/>
        <v>0.9349946977730647</v>
      </c>
    </row>
    <row r="132" spans="1:6" ht="12.75">
      <c r="A132" s="402">
        <v>33</v>
      </c>
      <c r="B132" s="404" t="s">
        <v>822</v>
      </c>
      <c r="C132" s="430">
        <v>0</v>
      </c>
      <c r="D132" s="430">
        <v>3234</v>
      </c>
      <c r="E132" s="430">
        <v>3234</v>
      </c>
      <c r="F132" s="426">
        <f t="shared" si="1"/>
        <v>1</v>
      </c>
    </row>
    <row r="133" spans="1:6" ht="12.75">
      <c r="A133" s="402">
        <v>34</v>
      </c>
      <c r="B133" s="404" t="s">
        <v>823</v>
      </c>
      <c r="C133" s="430">
        <v>0</v>
      </c>
      <c r="D133" s="430">
        <v>0</v>
      </c>
      <c r="E133" s="430">
        <v>0</v>
      </c>
      <c r="F133" s="434" t="s">
        <v>45</v>
      </c>
    </row>
    <row r="134" spans="1:6" ht="12.75">
      <c r="A134" s="402">
        <v>35</v>
      </c>
      <c r="B134" s="362" t="s">
        <v>824</v>
      </c>
      <c r="C134" s="370">
        <v>193572</v>
      </c>
      <c r="D134" s="370">
        <v>159352</v>
      </c>
      <c r="E134" s="370">
        <v>159352</v>
      </c>
      <c r="F134" s="426">
        <f t="shared" si="1"/>
        <v>1</v>
      </c>
    </row>
    <row r="135" spans="1:6" ht="12.75">
      <c r="A135" s="402">
        <v>36</v>
      </c>
      <c r="B135" s="408" t="s">
        <v>854</v>
      </c>
      <c r="C135" s="405">
        <f>SUM(C132:C134)</f>
        <v>193572</v>
      </c>
      <c r="D135" s="405">
        <f>SUM(D132:D134)</f>
        <v>162586</v>
      </c>
      <c r="E135" s="405">
        <f>SUM(E132:E134)</f>
        <v>162586</v>
      </c>
      <c r="F135" s="431">
        <f t="shared" si="1"/>
        <v>1</v>
      </c>
    </row>
    <row r="136" spans="1:6" ht="21.75" thickBot="1">
      <c r="A136" s="417">
        <v>37</v>
      </c>
      <c r="B136" s="409" t="s">
        <v>855</v>
      </c>
      <c r="C136" s="410">
        <f>SUM(C131+C135)</f>
        <v>203002</v>
      </c>
      <c r="D136" s="410">
        <f>SUM(D131+D135)</f>
        <v>172016</v>
      </c>
      <c r="E136" s="410">
        <f>SUM(E131+E135)</f>
        <v>171403</v>
      </c>
      <c r="F136" s="435">
        <f t="shared" si="1"/>
        <v>0.9964363780113478</v>
      </c>
    </row>
    <row r="137" spans="1:6" ht="21.75" customHeight="1" thickBot="1">
      <c r="A137" s="744">
        <v>38</v>
      </c>
      <c r="B137" s="1184" t="s">
        <v>169</v>
      </c>
      <c r="C137" s="1185"/>
      <c r="D137" s="1185"/>
      <c r="E137" s="397"/>
      <c r="F137" s="398"/>
    </row>
    <row r="138" spans="1:6" ht="15" customHeight="1">
      <c r="A138" s="401">
        <v>39</v>
      </c>
      <c r="B138" s="422" t="s">
        <v>836</v>
      </c>
      <c r="C138" s="430">
        <v>0</v>
      </c>
      <c r="D138" s="430">
        <v>0</v>
      </c>
      <c r="E138" s="430">
        <v>0</v>
      </c>
      <c r="F138" s="434" t="s">
        <v>45</v>
      </c>
    </row>
    <row r="139" spans="1:6" ht="1.5" customHeight="1" hidden="1">
      <c r="A139" s="361" t="s">
        <v>680</v>
      </c>
      <c r="B139" s="362" t="s">
        <v>246</v>
      </c>
      <c r="C139" s="363"/>
      <c r="D139" s="363"/>
      <c r="E139" s="363"/>
      <c r="F139" s="426" t="e">
        <f t="shared" si="1"/>
        <v>#DIV/0!</v>
      </c>
    </row>
    <row r="140" spans="1:6" ht="12.75" hidden="1">
      <c r="A140" s="361" t="s">
        <v>682</v>
      </c>
      <c r="B140" s="362" t="s">
        <v>694</v>
      </c>
      <c r="C140" s="363"/>
      <c r="D140" s="363"/>
      <c r="E140" s="363"/>
      <c r="F140" s="426" t="e">
        <f t="shared" si="1"/>
        <v>#DIV/0!</v>
      </c>
    </row>
    <row r="141" spans="1:6" ht="12.75" hidden="1">
      <c r="A141" s="361" t="s">
        <v>684</v>
      </c>
      <c r="B141" s="362" t="s">
        <v>696</v>
      </c>
      <c r="C141" s="363"/>
      <c r="D141" s="363"/>
      <c r="E141" s="363"/>
      <c r="F141" s="426" t="e">
        <f t="shared" si="1"/>
        <v>#DIV/0!</v>
      </c>
    </row>
    <row r="142" spans="1:6" ht="12.75" hidden="1">
      <c r="A142" s="361" t="s">
        <v>686</v>
      </c>
      <c r="B142" s="362" t="s">
        <v>698</v>
      </c>
      <c r="C142" s="363"/>
      <c r="D142" s="363"/>
      <c r="E142" s="363"/>
      <c r="F142" s="426" t="e">
        <f t="shared" si="1"/>
        <v>#DIV/0!</v>
      </c>
    </row>
    <row r="143" spans="1:6" ht="12.75" hidden="1">
      <c r="A143" s="361" t="s">
        <v>688</v>
      </c>
      <c r="B143" s="362" t="s">
        <v>700</v>
      </c>
      <c r="C143" s="363"/>
      <c r="D143" s="363"/>
      <c r="E143" s="363"/>
      <c r="F143" s="426" t="e">
        <f t="shared" si="1"/>
        <v>#DIV/0!</v>
      </c>
    </row>
    <row r="144" spans="1:6" ht="12.75" hidden="1">
      <c r="A144" s="361" t="s">
        <v>689</v>
      </c>
      <c r="B144" s="362" t="s">
        <v>702</v>
      </c>
      <c r="C144" s="363"/>
      <c r="D144" s="363"/>
      <c r="E144" s="363"/>
      <c r="F144" s="426" t="e">
        <f t="shared" si="1"/>
        <v>#DIV/0!</v>
      </c>
    </row>
    <row r="145" spans="1:6" ht="13.5" customHeight="1">
      <c r="A145" s="402">
        <v>40</v>
      </c>
      <c r="B145" s="420" t="s">
        <v>837</v>
      </c>
      <c r="C145" s="430">
        <v>0</v>
      </c>
      <c r="D145" s="430">
        <v>0</v>
      </c>
      <c r="E145" s="430">
        <v>0</v>
      </c>
      <c r="F145" s="434" t="s">
        <v>45</v>
      </c>
    </row>
    <row r="146" spans="1:6" ht="2.25" customHeight="1" hidden="1">
      <c r="A146" s="361" t="s">
        <v>692</v>
      </c>
      <c r="B146" s="362" t="s">
        <v>706</v>
      </c>
      <c r="C146" s="363"/>
      <c r="D146" s="363"/>
      <c r="E146" s="363"/>
      <c r="F146" s="426" t="e">
        <f aca="true" t="shared" si="2" ref="F146:F181">E146/D146</f>
        <v>#DIV/0!</v>
      </c>
    </row>
    <row r="147" spans="1:6" ht="12.75" hidden="1">
      <c r="A147" s="361" t="s">
        <v>693</v>
      </c>
      <c r="B147" s="362" t="s">
        <v>708</v>
      </c>
      <c r="C147" s="363"/>
      <c r="D147" s="363"/>
      <c r="E147" s="363"/>
      <c r="F147" s="426" t="e">
        <f t="shared" si="2"/>
        <v>#DIV/0!</v>
      </c>
    </row>
    <row r="148" spans="1:6" ht="22.5" hidden="1">
      <c r="A148" s="361" t="s">
        <v>695</v>
      </c>
      <c r="B148" s="362" t="s">
        <v>710</v>
      </c>
      <c r="C148" s="363"/>
      <c r="D148" s="363"/>
      <c r="E148" s="363"/>
      <c r="F148" s="426" t="e">
        <f t="shared" si="2"/>
        <v>#DIV/0!</v>
      </c>
    </row>
    <row r="149" spans="1:6" ht="22.5" hidden="1">
      <c r="A149" s="361" t="s">
        <v>697</v>
      </c>
      <c r="B149" s="362" t="s">
        <v>712</v>
      </c>
      <c r="C149" s="363"/>
      <c r="D149" s="363"/>
      <c r="E149" s="363"/>
      <c r="F149" s="426" t="e">
        <f t="shared" si="2"/>
        <v>#DIV/0!</v>
      </c>
    </row>
    <row r="150" spans="1:6" ht="12.75" hidden="1">
      <c r="A150" s="361" t="s">
        <v>699</v>
      </c>
      <c r="B150" s="362" t="s">
        <v>714</v>
      </c>
      <c r="C150" s="363"/>
      <c r="D150" s="363"/>
      <c r="E150" s="363"/>
      <c r="F150" s="426" t="e">
        <f t="shared" si="2"/>
        <v>#DIV/0!</v>
      </c>
    </row>
    <row r="151" spans="1:6" ht="12.75" hidden="1">
      <c r="A151" s="361" t="s">
        <v>701</v>
      </c>
      <c r="B151" s="404" t="s">
        <v>716</v>
      </c>
      <c r="C151" s="363"/>
      <c r="D151" s="363"/>
      <c r="E151" s="363"/>
      <c r="F151" s="426" t="e">
        <f t="shared" si="2"/>
        <v>#DIV/0!</v>
      </c>
    </row>
    <row r="152" spans="1:6" ht="12.75">
      <c r="A152" s="402">
        <v>41</v>
      </c>
      <c r="B152" s="420" t="s">
        <v>838</v>
      </c>
      <c r="C152" s="430">
        <v>0</v>
      </c>
      <c r="D152" s="430">
        <v>0</v>
      </c>
      <c r="E152" s="430">
        <v>0</v>
      </c>
      <c r="F152" s="434" t="s">
        <v>45</v>
      </c>
    </row>
    <row r="153" spans="1:6" ht="12" customHeight="1">
      <c r="A153" s="402">
        <v>42</v>
      </c>
      <c r="B153" s="420" t="s">
        <v>839</v>
      </c>
      <c r="C153" s="406">
        <v>8143</v>
      </c>
      <c r="D153" s="406">
        <v>8220</v>
      </c>
      <c r="E153" s="406">
        <v>4013</v>
      </c>
      <c r="F153" s="426">
        <f t="shared" si="2"/>
        <v>0.48819951338199513</v>
      </c>
    </row>
    <row r="154" spans="1:6" ht="5.25" customHeight="1" hidden="1">
      <c r="A154" s="361" t="s">
        <v>719</v>
      </c>
      <c r="B154" s="362" t="s">
        <v>732</v>
      </c>
      <c r="C154" s="363"/>
      <c r="D154" s="363"/>
      <c r="E154" s="363"/>
      <c r="F154" s="426" t="e">
        <f t="shared" si="2"/>
        <v>#DIV/0!</v>
      </c>
    </row>
    <row r="155" spans="1:6" ht="12.75" hidden="1">
      <c r="A155" s="361" t="s">
        <v>725</v>
      </c>
      <c r="B155" s="362" t="s">
        <v>331</v>
      </c>
      <c r="C155" s="363"/>
      <c r="D155" s="363"/>
      <c r="E155" s="363"/>
      <c r="F155" s="426" t="e">
        <f t="shared" si="2"/>
        <v>#DIV/0!</v>
      </c>
    </row>
    <row r="156" spans="1:6" ht="12.75" hidden="1">
      <c r="A156" s="361" t="s">
        <v>727</v>
      </c>
      <c r="B156" s="362" t="s">
        <v>735</v>
      </c>
      <c r="C156" s="363"/>
      <c r="D156" s="363"/>
      <c r="E156" s="363"/>
      <c r="F156" s="426" t="e">
        <f t="shared" si="2"/>
        <v>#DIV/0!</v>
      </c>
    </row>
    <row r="157" spans="1:6" ht="12.75" hidden="1">
      <c r="A157" s="361" t="s">
        <v>728</v>
      </c>
      <c r="B157" s="362" t="s">
        <v>337</v>
      </c>
      <c r="C157" s="363"/>
      <c r="D157" s="363"/>
      <c r="E157" s="363"/>
      <c r="F157" s="426" t="e">
        <f t="shared" si="2"/>
        <v>#DIV/0!</v>
      </c>
    </row>
    <row r="158" spans="1:6" ht="12.75" hidden="1">
      <c r="A158" s="361" t="s">
        <v>826</v>
      </c>
      <c r="B158" s="362" t="s">
        <v>738</v>
      </c>
      <c r="C158" s="363"/>
      <c r="D158" s="363"/>
      <c r="E158" s="363"/>
      <c r="F158" s="426" t="e">
        <f t="shared" si="2"/>
        <v>#DIV/0!</v>
      </c>
    </row>
    <row r="159" spans="1:6" ht="12.75" hidden="1">
      <c r="A159" s="361" t="s">
        <v>827</v>
      </c>
      <c r="B159" s="362" t="s">
        <v>740</v>
      </c>
      <c r="C159" s="363"/>
      <c r="D159" s="363"/>
      <c r="E159" s="363"/>
      <c r="F159" s="426" t="e">
        <f t="shared" si="2"/>
        <v>#DIV/0!</v>
      </c>
    </row>
    <row r="160" spans="1:6" ht="12.75" hidden="1">
      <c r="A160" s="361" t="s">
        <v>828</v>
      </c>
      <c r="B160" s="362" t="s">
        <v>345</v>
      </c>
      <c r="C160" s="363"/>
      <c r="D160" s="363"/>
      <c r="E160" s="363"/>
      <c r="F160" s="426" t="e">
        <f t="shared" si="2"/>
        <v>#DIV/0!</v>
      </c>
    </row>
    <row r="161" spans="1:6" ht="12.75" hidden="1">
      <c r="A161" s="361" t="s">
        <v>829</v>
      </c>
      <c r="B161" s="362" t="s">
        <v>743</v>
      </c>
      <c r="C161" s="363"/>
      <c r="D161" s="363"/>
      <c r="E161" s="363"/>
      <c r="F161" s="426" t="e">
        <f t="shared" si="2"/>
        <v>#DIV/0!</v>
      </c>
    </row>
    <row r="162" spans="1:6" ht="12.75" hidden="1">
      <c r="A162" s="361" t="s">
        <v>830</v>
      </c>
      <c r="B162" s="362" t="s">
        <v>745</v>
      </c>
      <c r="C162" s="370"/>
      <c r="D162" s="370"/>
      <c r="E162" s="370"/>
      <c r="F162" s="426" t="e">
        <f t="shared" si="2"/>
        <v>#DIV/0!</v>
      </c>
    </row>
    <row r="163" spans="1:6" ht="12.75" hidden="1">
      <c r="A163" s="361" t="s">
        <v>831</v>
      </c>
      <c r="B163" s="362" t="s">
        <v>747</v>
      </c>
      <c r="C163" s="370"/>
      <c r="D163" s="370"/>
      <c r="E163" s="370"/>
      <c r="F163" s="426" t="e">
        <f t="shared" si="2"/>
        <v>#DIV/0!</v>
      </c>
    </row>
    <row r="164" spans="1:6" ht="14.25" customHeight="1">
      <c r="A164" s="402">
        <v>43</v>
      </c>
      <c r="B164" s="420" t="s">
        <v>168</v>
      </c>
      <c r="C164" s="430">
        <v>0</v>
      </c>
      <c r="D164" s="430">
        <v>0</v>
      </c>
      <c r="E164" s="430">
        <v>0</v>
      </c>
      <c r="F164" s="434" t="s">
        <v>45</v>
      </c>
    </row>
    <row r="165" spans="1:6" ht="1.5" customHeight="1" hidden="1">
      <c r="A165" s="361" t="s">
        <v>731</v>
      </c>
      <c r="B165" s="362" t="s">
        <v>30</v>
      </c>
      <c r="C165" s="430">
        <v>0</v>
      </c>
      <c r="D165" s="430">
        <v>0</v>
      </c>
      <c r="E165" s="430">
        <v>0</v>
      </c>
      <c r="F165" s="426" t="e">
        <f t="shared" si="2"/>
        <v>#DIV/0!</v>
      </c>
    </row>
    <row r="166" spans="1:6" ht="12.75" hidden="1">
      <c r="A166" s="361" t="s">
        <v>733</v>
      </c>
      <c r="B166" s="362" t="s">
        <v>354</v>
      </c>
      <c r="C166" s="430">
        <v>0</v>
      </c>
      <c r="D166" s="430">
        <v>0</v>
      </c>
      <c r="E166" s="430">
        <v>0</v>
      </c>
      <c r="F166" s="426" t="e">
        <f t="shared" si="2"/>
        <v>#DIV/0!</v>
      </c>
    </row>
    <row r="167" spans="1:6" ht="12.75" hidden="1">
      <c r="A167" s="361" t="s">
        <v>734</v>
      </c>
      <c r="B167" s="362" t="s">
        <v>357</v>
      </c>
      <c r="C167" s="430">
        <v>0</v>
      </c>
      <c r="D167" s="430">
        <v>0</v>
      </c>
      <c r="E167" s="430">
        <v>0</v>
      </c>
      <c r="F167" s="426" t="e">
        <f t="shared" si="2"/>
        <v>#DIV/0!</v>
      </c>
    </row>
    <row r="168" spans="1:6" ht="12.75" hidden="1">
      <c r="A168" s="361" t="s">
        <v>736</v>
      </c>
      <c r="B168" s="362" t="s">
        <v>359</v>
      </c>
      <c r="C168" s="430">
        <v>0</v>
      </c>
      <c r="D168" s="430">
        <v>0</v>
      </c>
      <c r="E168" s="430">
        <v>0</v>
      </c>
      <c r="F168" s="426" t="e">
        <f t="shared" si="2"/>
        <v>#DIV/0!</v>
      </c>
    </row>
    <row r="169" spans="1:6" ht="12.75" hidden="1">
      <c r="A169" s="361" t="s">
        <v>737</v>
      </c>
      <c r="B169" s="362" t="s">
        <v>361</v>
      </c>
      <c r="C169" s="430">
        <v>0</v>
      </c>
      <c r="D169" s="430">
        <v>0</v>
      </c>
      <c r="E169" s="430">
        <v>0</v>
      </c>
      <c r="F169" s="426" t="e">
        <f t="shared" si="2"/>
        <v>#DIV/0!</v>
      </c>
    </row>
    <row r="170" spans="1:6" ht="12.75">
      <c r="A170" s="402">
        <v>44</v>
      </c>
      <c r="B170" s="420" t="s">
        <v>363</v>
      </c>
      <c r="C170" s="430">
        <v>0</v>
      </c>
      <c r="D170" s="430">
        <v>0</v>
      </c>
      <c r="E170" s="430">
        <v>0</v>
      </c>
      <c r="F170" s="434" t="s">
        <v>45</v>
      </c>
    </row>
    <row r="171" spans="1:6" ht="12.75">
      <c r="A171" s="402">
        <v>45</v>
      </c>
      <c r="B171" s="404" t="s">
        <v>381</v>
      </c>
      <c r="C171" s="430">
        <v>0</v>
      </c>
      <c r="D171" s="430">
        <v>0</v>
      </c>
      <c r="E171" s="430">
        <v>0</v>
      </c>
      <c r="F171" s="434" t="s">
        <v>45</v>
      </c>
    </row>
    <row r="172" spans="1:6" ht="12.75">
      <c r="A172" s="402">
        <v>46</v>
      </c>
      <c r="B172" s="403" t="s">
        <v>856</v>
      </c>
      <c r="C172" s="405">
        <f>SUM(C138:C171)</f>
        <v>8143</v>
      </c>
      <c r="D172" s="405">
        <f>SUM(D138:D171)</f>
        <v>8220</v>
      </c>
      <c r="E172" s="405">
        <f>SUM(E138:E171)</f>
        <v>4013</v>
      </c>
      <c r="F172" s="426">
        <f t="shared" si="2"/>
        <v>0.48819951338199513</v>
      </c>
    </row>
    <row r="173" spans="1:6" ht="12.75">
      <c r="A173" s="402">
        <v>47</v>
      </c>
      <c r="B173" s="404" t="s">
        <v>822</v>
      </c>
      <c r="C173" s="430">
        <v>1281</v>
      </c>
      <c r="D173" s="430">
        <v>10830</v>
      </c>
      <c r="E173" s="430">
        <v>2778</v>
      </c>
      <c r="F173" s="426">
        <f t="shared" si="2"/>
        <v>0.2565096952908587</v>
      </c>
    </row>
    <row r="174" spans="1:6" ht="12.75">
      <c r="A174" s="402">
        <v>48</v>
      </c>
      <c r="B174" s="404" t="s">
        <v>823</v>
      </c>
      <c r="C174" s="430">
        <v>0</v>
      </c>
      <c r="D174" s="430">
        <v>0</v>
      </c>
      <c r="E174" s="430">
        <v>0</v>
      </c>
      <c r="F174" s="434" t="s">
        <v>45</v>
      </c>
    </row>
    <row r="175" spans="1:6" ht="12.75">
      <c r="A175" s="402">
        <v>49</v>
      </c>
      <c r="B175" s="362" t="s">
        <v>824</v>
      </c>
      <c r="C175" s="370">
        <v>188015</v>
      </c>
      <c r="D175" s="370">
        <v>191331</v>
      </c>
      <c r="E175" s="370">
        <v>191330</v>
      </c>
      <c r="F175" s="426">
        <f t="shared" si="2"/>
        <v>0.9999947734554254</v>
      </c>
    </row>
    <row r="176" spans="1:6" ht="12.75">
      <c r="A176" s="402">
        <v>50</v>
      </c>
      <c r="B176" s="408" t="s">
        <v>857</v>
      </c>
      <c r="C176" s="405">
        <f>SUM(C173:C175)</f>
        <v>189296</v>
      </c>
      <c r="D176" s="405">
        <f>SUM(D173:D175)</f>
        <v>202161</v>
      </c>
      <c r="E176" s="405">
        <f>SUM(E173:E175)</f>
        <v>194108</v>
      </c>
      <c r="F176" s="426">
        <f t="shared" si="2"/>
        <v>0.9601654127156078</v>
      </c>
    </row>
    <row r="177" spans="1:6" ht="21.75" thickBot="1">
      <c r="A177" s="438">
        <v>51</v>
      </c>
      <c r="B177" s="409" t="s">
        <v>858</v>
      </c>
      <c r="C177" s="410">
        <f>SUM(C172+C176)</f>
        <v>197439</v>
      </c>
      <c r="D177" s="410">
        <f>SUM(D172+D176)</f>
        <v>210381</v>
      </c>
      <c r="E177" s="410">
        <f>SUM(E172+E176)</f>
        <v>198121</v>
      </c>
      <c r="F177" s="427">
        <f t="shared" si="2"/>
        <v>0.9417247755263071</v>
      </c>
    </row>
    <row r="178" spans="1:6" ht="27" customHeight="1" thickBot="1">
      <c r="A178" s="355">
        <v>52</v>
      </c>
      <c r="B178" s="1097" t="s">
        <v>833</v>
      </c>
      <c r="C178" s="397"/>
      <c r="D178" s="397"/>
      <c r="E178" s="397"/>
      <c r="F178" s="398"/>
    </row>
    <row r="179" spans="1:6" ht="24.75" customHeight="1">
      <c r="A179" s="1101">
        <v>53</v>
      </c>
      <c r="B179" s="1098" t="s">
        <v>859</v>
      </c>
      <c r="C179" s="429">
        <f>SUM(C177+C136+C95)</f>
        <v>3070378</v>
      </c>
      <c r="D179" s="429">
        <f>SUM(D177+D136+D95)</f>
        <v>3099082</v>
      </c>
      <c r="E179" s="429">
        <f>SUM(E177+E136+E95)</f>
        <v>2887130</v>
      </c>
      <c r="F179" s="439">
        <f t="shared" si="2"/>
        <v>0.9316081342797642</v>
      </c>
    </row>
    <row r="180" spans="1:6" ht="13.5" thickBot="1">
      <c r="A180" s="1103">
        <v>54</v>
      </c>
      <c r="B180" s="1099" t="s">
        <v>860</v>
      </c>
      <c r="C180" s="436">
        <f>-SUM(C175+C134)</f>
        <v>-381587</v>
      </c>
      <c r="D180" s="436">
        <f>-SUM(D175+D134)</f>
        <v>-350683</v>
      </c>
      <c r="E180" s="436">
        <f>-SUM(E175+E134)</f>
        <v>-350682</v>
      </c>
      <c r="F180" s="508"/>
    </row>
    <row r="181" spans="1:6" s="424" customFormat="1" ht="29.25" customHeight="1" thickBot="1">
      <c r="A181" s="1102">
        <v>55</v>
      </c>
      <c r="B181" s="1100" t="s">
        <v>834</v>
      </c>
      <c r="C181" s="437">
        <f>SUM(C179+C180)</f>
        <v>2688791</v>
      </c>
      <c r="D181" s="437">
        <f>SUM(D179+D180)</f>
        <v>2748399</v>
      </c>
      <c r="E181" s="437">
        <f>SUM(E179+E180)</f>
        <v>2536448</v>
      </c>
      <c r="F181" s="440">
        <f t="shared" si="2"/>
        <v>0.922882012400674</v>
      </c>
    </row>
  </sheetData>
  <sheetProtection/>
  <mergeCells count="8">
    <mergeCell ref="B137:D137"/>
    <mergeCell ref="B3:F3"/>
    <mergeCell ref="B4:F4"/>
    <mergeCell ref="B5:F5"/>
    <mergeCell ref="E6:F6"/>
    <mergeCell ref="A7:A8"/>
    <mergeCell ref="B7:B8"/>
    <mergeCell ref="C7:E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68"/>
  <sheetViews>
    <sheetView zoomScalePageLayoutView="0" workbookViewId="0" topLeftCell="A1">
      <selection activeCell="F2" sqref="F2"/>
    </sheetView>
  </sheetViews>
  <sheetFormatPr defaultColWidth="8.875" defaultRowHeight="12.75"/>
  <cols>
    <col min="1" max="1" width="6.125" style="150" customWidth="1"/>
    <col min="2" max="2" width="51.00390625" style="3" customWidth="1"/>
    <col min="3" max="3" width="13.00390625" style="3" customWidth="1"/>
    <col min="4" max="4" width="13.25390625" style="3" customWidth="1"/>
    <col min="5" max="5" width="12.625" style="3" customWidth="1"/>
    <col min="6" max="6" width="12.00390625" style="3" customWidth="1"/>
    <col min="7" max="16384" width="8.875" style="4" customWidth="1"/>
  </cols>
  <sheetData>
    <row r="1" spans="5:6" ht="12.75">
      <c r="E1" s="155"/>
      <c r="F1" s="64" t="s">
        <v>1468</v>
      </c>
    </row>
    <row r="3" spans="1:6" ht="14.25">
      <c r="A3" s="158"/>
      <c r="B3" s="1186" t="s">
        <v>1184</v>
      </c>
      <c r="C3" s="1186"/>
      <c r="D3" s="1186"/>
      <c r="E3" s="1186"/>
      <c r="F3" s="1186"/>
    </row>
    <row r="4" spans="1:6" ht="14.25">
      <c r="A4" s="158"/>
      <c r="B4" s="1186" t="s">
        <v>68</v>
      </c>
      <c r="C4" s="1186"/>
      <c r="D4" s="1186"/>
      <c r="E4" s="1186"/>
      <c r="F4" s="1186"/>
    </row>
    <row r="5" spans="1:6" ht="14.25">
      <c r="A5" s="158"/>
      <c r="B5" s="1186" t="s">
        <v>5</v>
      </c>
      <c r="C5" s="1186"/>
      <c r="D5" s="1186"/>
      <c r="E5" s="1186"/>
      <c r="F5" s="1186"/>
    </row>
    <row r="6" spans="5:6" ht="13.5" thickBot="1">
      <c r="E6" s="1187" t="s">
        <v>4</v>
      </c>
      <c r="F6" s="1188"/>
    </row>
    <row r="7" spans="1:6" ht="12.75">
      <c r="A7" s="1189" t="s">
        <v>676</v>
      </c>
      <c r="B7" s="1191" t="s">
        <v>861</v>
      </c>
      <c r="C7" s="1193" t="s">
        <v>1185</v>
      </c>
      <c r="D7" s="1193"/>
      <c r="E7" s="1194"/>
      <c r="F7" s="392"/>
    </row>
    <row r="8" spans="1:6" s="16" customFormat="1" ht="36.75" customHeight="1" thickBot="1">
      <c r="A8" s="1190"/>
      <c r="B8" s="1192"/>
      <c r="C8" s="352" t="s">
        <v>37</v>
      </c>
      <c r="D8" s="352" t="s">
        <v>38</v>
      </c>
      <c r="E8" s="382" t="s">
        <v>20</v>
      </c>
      <c r="F8" s="393" t="s">
        <v>137</v>
      </c>
    </row>
    <row r="9" spans="1:6" s="16" customFormat="1" ht="13.5" thickBot="1">
      <c r="A9" s="353" t="s">
        <v>221</v>
      </c>
      <c r="B9" s="354" t="s">
        <v>222</v>
      </c>
      <c r="C9" s="354" t="s">
        <v>223</v>
      </c>
      <c r="D9" s="354" t="s">
        <v>224</v>
      </c>
      <c r="E9" s="383" t="s">
        <v>225</v>
      </c>
      <c r="F9" s="1104" t="s">
        <v>226</v>
      </c>
    </row>
    <row r="10" spans="1:6" s="159" customFormat="1" ht="24.75" customHeight="1" thickBot="1">
      <c r="A10" s="495">
        <v>1</v>
      </c>
      <c r="B10" s="397" t="s">
        <v>821</v>
      </c>
      <c r="C10" s="397"/>
      <c r="D10" s="397"/>
      <c r="E10" s="397"/>
      <c r="F10" s="398"/>
    </row>
    <row r="11" spans="1:6" s="39" customFormat="1" ht="13.5" thickBot="1">
      <c r="A11" s="496">
        <v>2</v>
      </c>
      <c r="B11" s="487" t="s">
        <v>908</v>
      </c>
      <c r="C11" s="444">
        <f>SUM(C12:C20)</f>
        <v>1024319</v>
      </c>
      <c r="D11" s="444">
        <f>SUM(D12:D20)</f>
        <v>856958</v>
      </c>
      <c r="E11" s="444">
        <f>SUM(E12:E20)</f>
        <v>779410</v>
      </c>
      <c r="F11" s="532">
        <f>E11/D11</f>
        <v>0.9095078171859065</v>
      </c>
    </row>
    <row r="12" spans="1:6" s="153" customFormat="1" ht="12.75">
      <c r="A12" s="496">
        <v>3</v>
      </c>
      <c r="B12" s="488" t="s">
        <v>862</v>
      </c>
      <c r="C12" s="446">
        <v>216422</v>
      </c>
      <c r="D12" s="446">
        <v>166558</v>
      </c>
      <c r="E12" s="510">
        <v>160829</v>
      </c>
      <c r="F12" s="501">
        <f aca="true" t="shared" si="0" ref="F12:F35">E12/D12</f>
        <v>0.9656035735299415</v>
      </c>
    </row>
    <row r="13" spans="1:6" ht="12.75">
      <c r="A13" s="496">
        <v>4</v>
      </c>
      <c r="B13" s="450" t="s">
        <v>863</v>
      </c>
      <c r="C13" s="363">
        <v>44609</v>
      </c>
      <c r="D13" s="363">
        <v>41487</v>
      </c>
      <c r="E13" s="386">
        <v>40233</v>
      </c>
      <c r="F13" s="426">
        <f t="shared" si="0"/>
        <v>0.9697736640393376</v>
      </c>
    </row>
    <row r="14" spans="1:6" ht="12.75">
      <c r="A14" s="496">
        <v>5</v>
      </c>
      <c r="B14" s="450" t="s">
        <v>864</v>
      </c>
      <c r="C14" s="366">
        <v>539327</v>
      </c>
      <c r="D14" s="366">
        <v>364062</v>
      </c>
      <c r="E14" s="387">
        <v>295068</v>
      </c>
      <c r="F14" s="426">
        <f t="shared" si="0"/>
        <v>0.8104883234174399</v>
      </c>
    </row>
    <row r="15" spans="1:6" ht="12.75">
      <c r="A15" s="496">
        <v>6</v>
      </c>
      <c r="B15" s="450" t="s">
        <v>67</v>
      </c>
      <c r="C15" s="366">
        <v>2800</v>
      </c>
      <c r="D15" s="366">
        <v>4130</v>
      </c>
      <c r="E15" s="387">
        <v>2751</v>
      </c>
      <c r="F15" s="426">
        <f t="shared" si="0"/>
        <v>0.6661016949152543</v>
      </c>
    </row>
    <row r="16" spans="1:6" ht="12.75">
      <c r="A16" s="496">
        <v>7</v>
      </c>
      <c r="B16" s="490" t="s">
        <v>522</v>
      </c>
      <c r="C16" s="430">
        <v>0</v>
      </c>
      <c r="D16" s="366">
        <v>14427</v>
      </c>
      <c r="E16" s="387">
        <v>14426</v>
      </c>
      <c r="F16" s="426">
        <f t="shared" si="0"/>
        <v>0.9999306855202051</v>
      </c>
    </row>
    <row r="17" spans="1:6" ht="12.75">
      <c r="A17" s="496">
        <v>8</v>
      </c>
      <c r="B17" s="490" t="s">
        <v>904</v>
      </c>
      <c r="C17" s="507">
        <v>0</v>
      </c>
      <c r="D17" s="366">
        <v>41355</v>
      </c>
      <c r="E17" s="387">
        <v>41355</v>
      </c>
      <c r="F17" s="426">
        <f t="shared" si="0"/>
        <v>1</v>
      </c>
    </row>
    <row r="18" spans="1:6" ht="12.75">
      <c r="A18" s="496">
        <v>9</v>
      </c>
      <c r="B18" s="478" t="s">
        <v>905</v>
      </c>
      <c r="C18" s="366">
        <v>436</v>
      </c>
      <c r="D18" s="366">
        <v>1092</v>
      </c>
      <c r="E18" s="387">
        <v>999</v>
      </c>
      <c r="F18" s="426">
        <f t="shared" si="0"/>
        <v>0.9148351648351648</v>
      </c>
    </row>
    <row r="19" spans="1:6" ht="12.75">
      <c r="A19" s="496">
        <v>10</v>
      </c>
      <c r="B19" s="475" t="s">
        <v>906</v>
      </c>
      <c r="C19" s="430">
        <v>21668</v>
      </c>
      <c r="D19" s="363">
        <v>24547</v>
      </c>
      <c r="E19" s="387">
        <v>24547</v>
      </c>
      <c r="F19" s="426">
        <f t="shared" si="0"/>
        <v>1</v>
      </c>
    </row>
    <row r="20" spans="1:6" ht="13.5" thickBot="1">
      <c r="A20" s="496">
        <v>11</v>
      </c>
      <c r="B20" s="540" t="s">
        <v>907</v>
      </c>
      <c r="C20" s="366">
        <v>199057</v>
      </c>
      <c r="D20" s="366">
        <v>199300</v>
      </c>
      <c r="E20" s="387">
        <v>199202</v>
      </c>
      <c r="F20" s="426">
        <f t="shared" si="0"/>
        <v>0.9995082789764175</v>
      </c>
    </row>
    <row r="21" spans="1:6" s="153" customFormat="1" ht="13.5" thickBot="1">
      <c r="A21" s="496">
        <v>12</v>
      </c>
      <c r="B21" s="489" t="s">
        <v>909</v>
      </c>
      <c r="C21" s="357">
        <f>SUM(C22:C24)</f>
        <v>1216900</v>
      </c>
      <c r="D21" s="357">
        <f>SUM(D22:D24)</f>
        <v>1316969</v>
      </c>
      <c r="E21" s="511">
        <f>SUM(E22:E24)</f>
        <v>1138536</v>
      </c>
      <c r="F21" s="532">
        <f t="shared" si="0"/>
        <v>0.8645123765251878</v>
      </c>
    </row>
    <row r="22" spans="1:6" ht="12.75">
      <c r="A22" s="496">
        <v>13</v>
      </c>
      <c r="B22" s="450" t="s">
        <v>51</v>
      </c>
      <c r="C22" s="360">
        <v>1212941</v>
      </c>
      <c r="D22" s="360">
        <v>1188056</v>
      </c>
      <c r="E22" s="385">
        <f>1010406+1</f>
        <v>1010407</v>
      </c>
      <c r="F22" s="426">
        <f t="shared" si="0"/>
        <v>0.8504708532257739</v>
      </c>
    </row>
    <row r="23" spans="1:6" ht="12.75">
      <c r="A23" s="496">
        <v>14</v>
      </c>
      <c r="B23" s="490" t="s">
        <v>875</v>
      </c>
      <c r="C23" s="363">
        <v>1230</v>
      </c>
      <c r="D23" s="363">
        <v>110362</v>
      </c>
      <c r="E23" s="386">
        <v>109584</v>
      </c>
      <c r="F23" s="426">
        <f t="shared" si="0"/>
        <v>0.9929504720827821</v>
      </c>
    </row>
    <row r="24" spans="1:6" ht="13.5" thickBot="1">
      <c r="A24" s="496">
        <v>15</v>
      </c>
      <c r="B24" s="491" t="s">
        <v>876</v>
      </c>
      <c r="C24" s="363">
        <v>2729</v>
      </c>
      <c r="D24" s="363">
        <v>18551</v>
      </c>
      <c r="E24" s="386">
        <v>18545</v>
      </c>
      <c r="F24" s="439">
        <f t="shared" si="0"/>
        <v>0.9996765673009541</v>
      </c>
    </row>
    <row r="25" spans="1:6" s="39" customFormat="1" ht="13.5" thickBot="1">
      <c r="A25" s="496">
        <v>16</v>
      </c>
      <c r="B25" s="492" t="s">
        <v>910</v>
      </c>
      <c r="C25" s="357">
        <f>SUM(C26:C27)</f>
        <v>47131</v>
      </c>
      <c r="D25" s="357">
        <f>SUM(D26:D27)</f>
        <v>52193</v>
      </c>
      <c r="E25" s="512">
        <f>SUM(E26:E27)</f>
        <v>0</v>
      </c>
      <c r="F25" s="524" t="s">
        <v>45</v>
      </c>
    </row>
    <row r="26" spans="1:6" ht="12.75">
      <c r="A26" s="496">
        <v>17</v>
      </c>
      <c r="B26" s="493" t="s">
        <v>16</v>
      </c>
      <c r="C26" s="360">
        <v>2000</v>
      </c>
      <c r="D26" s="507">
        <v>0</v>
      </c>
      <c r="E26" s="513">
        <v>0</v>
      </c>
      <c r="F26" s="523" t="s">
        <v>45</v>
      </c>
    </row>
    <row r="27" spans="1:6" s="154" customFormat="1" ht="13.5" customHeight="1" thickBot="1">
      <c r="A27" s="496">
        <v>18</v>
      </c>
      <c r="B27" s="490" t="s">
        <v>882</v>
      </c>
      <c r="C27" s="366">
        <v>45131</v>
      </c>
      <c r="D27" s="366">
        <v>52193</v>
      </c>
      <c r="E27" s="514">
        <v>0</v>
      </c>
      <c r="F27" s="533" t="s">
        <v>45</v>
      </c>
    </row>
    <row r="28" spans="1:6" ht="13.5" thickBot="1">
      <c r="A28" s="496">
        <v>19</v>
      </c>
      <c r="B28" s="498" t="s">
        <v>911</v>
      </c>
      <c r="C28" s="357">
        <f>SUM(C25+C21+C11)</f>
        <v>2288350</v>
      </c>
      <c r="D28" s="444">
        <f>SUM(D25+D21+D11)</f>
        <v>2226120</v>
      </c>
      <c r="E28" s="509">
        <f>SUM(E25+E21+E11)</f>
        <v>1917946</v>
      </c>
      <c r="F28" s="532">
        <f t="shared" si="0"/>
        <v>0.861564515839218</v>
      </c>
    </row>
    <row r="29" spans="1:6" s="472" customFormat="1" ht="12.75">
      <c r="A29" s="496">
        <v>20</v>
      </c>
      <c r="B29" s="502" t="s">
        <v>900</v>
      </c>
      <c r="C29" s="507">
        <v>0</v>
      </c>
      <c r="D29" s="503">
        <v>123644</v>
      </c>
      <c r="E29" s="515">
        <v>123644</v>
      </c>
      <c r="F29" s="792">
        <f t="shared" si="0"/>
        <v>1</v>
      </c>
    </row>
    <row r="30" spans="1:6" s="472" customFormat="1" ht="12.75">
      <c r="A30" s="496">
        <v>21</v>
      </c>
      <c r="B30" s="504" t="s">
        <v>901</v>
      </c>
      <c r="C30" s="507">
        <v>0</v>
      </c>
      <c r="D30" s="507">
        <v>0</v>
      </c>
      <c r="E30" s="527">
        <v>0</v>
      </c>
      <c r="F30" s="434" t="s">
        <v>45</v>
      </c>
    </row>
    <row r="31" spans="1:6" s="472" customFormat="1" ht="12.75">
      <c r="A31" s="496">
        <v>22</v>
      </c>
      <c r="B31" s="789" t="s">
        <v>891</v>
      </c>
      <c r="C31" s="525">
        <v>0</v>
      </c>
      <c r="D31" s="790">
        <v>16238</v>
      </c>
      <c r="E31" s="791">
        <v>16238</v>
      </c>
      <c r="F31" s="792">
        <f t="shared" si="0"/>
        <v>1</v>
      </c>
    </row>
    <row r="32" spans="1:6" s="472" customFormat="1" ht="23.25" thickBot="1">
      <c r="A32" s="496">
        <v>23</v>
      </c>
      <c r="B32" s="505" t="s">
        <v>898</v>
      </c>
      <c r="C32" s="506">
        <v>381587</v>
      </c>
      <c r="D32" s="506">
        <v>350683</v>
      </c>
      <c r="E32" s="516">
        <v>350682</v>
      </c>
      <c r="F32" s="471">
        <f t="shared" si="0"/>
        <v>0.999997148421794</v>
      </c>
    </row>
    <row r="33" spans="1:6" ht="12.75" customHeight="1" thickBot="1">
      <c r="A33" s="496">
        <v>24</v>
      </c>
      <c r="B33" s="499" t="s">
        <v>912</v>
      </c>
      <c r="C33" s="500">
        <f>SUM(C29:C32)</f>
        <v>381587</v>
      </c>
      <c r="D33" s="500">
        <f>SUM(D29:D32)</f>
        <v>490565</v>
      </c>
      <c r="E33" s="517">
        <f>SUM(E29:E32)</f>
        <v>490564</v>
      </c>
      <c r="F33" s="532">
        <f t="shared" si="0"/>
        <v>0.9999979615341494</v>
      </c>
    </row>
    <row r="34" spans="1:6" ht="13.5" thickBot="1">
      <c r="A34" s="496">
        <v>25</v>
      </c>
      <c r="B34" s="492" t="s">
        <v>902</v>
      </c>
      <c r="C34" s="507">
        <v>0</v>
      </c>
      <c r="D34" s="507">
        <v>0</v>
      </c>
      <c r="E34" s="527">
        <v>0</v>
      </c>
      <c r="F34" s="524" t="s">
        <v>45</v>
      </c>
    </row>
    <row r="35" spans="1:6" s="6" customFormat="1" ht="12" customHeight="1" thickBot="1">
      <c r="A35" s="496">
        <v>26</v>
      </c>
      <c r="B35" s="492" t="s">
        <v>913</v>
      </c>
      <c r="C35" s="468">
        <f>SUM(C33:C34)</f>
        <v>381587</v>
      </c>
      <c r="D35" s="468">
        <f>SUM(D33:D34)</f>
        <v>490565</v>
      </c>
      <c r="E35" s="518">
        <f>SUM(E33:E34)</f>
        <v>490564</v>
      </c>
      <c r="F35" s="532">
        <f t="shared" si="0"/>
        <v>0.9999979615341494</v>
      </c>
    </row>
    <row r="36" spans="1:6" ht="21.75" thickBot="1">
      <c r="A36" s="496">
        <v>27</v>
      </c>
      <c r="B36" s="494" t="s">
        <v>914</v>
      </c>
      <c r="C36" s="410">
        <f>SUM(C35+C28)</f>
        <v>2669937</v>
      </c>
      <c r="D36" s="410">
        <f>SUM(D35+D28)</f>
        <v>2716685</v>
      </c>
      <c r="E36" s="519">
        <f>SUM(E35+E28)</f>
        <v>2408510</v>
      </c>
      <c r="F36" s="532">
        <f>E36/D36</f>
        <v>0.8865621152249893</v>
      </c>
    </row>
    <row r="37" spans="1:6" ht="17.25" thickBot="1">
      <c r="A37" s="496">
        <v>28</v>
      </c>
      <c r="B37" s="396" t="s">
        <v>75</v>
      </c>
      <c r="C37" s="397"/>
      <c r="D37" s="397"/>
      <c r="E37" s="397"/>
      <c r="F37" s="536"/>
    </row>
    <row r="38" spans="1:6" s="39" customFormat="1" ht="13.5" thickBot="1">
      <c r="A38" s="496">
        <v>29</v>
      </c>
      <c r="B38" s="473" t="s">
        <v>915</v>
      </c>
      <c r="C38" s="444">
        <f>SUM(C39:C43)</f>
        <v>202557</v>
      </c>
      <c r="D38" s="444">
        <f>SUM(D39:D43)</f>
        <v>171401</v>
      </c>
      <c r="E38" s="509">
        <f>SUM(E39:E43)</f>
        <v>169915</v>
      </c>
      <c r="F38" s="532">
        <f>E38/D38</f>
        <v>0.9913302722854592</v>
      </c>
    </row>
    <row r="39" spans="1:6" s="153" customFormat="1" ht="12.75">
      <c r="A39" s="496">
        <v>30</v>
      </c>
      <c r="B39" s="474" t="s">
        <v>862</v>
      </c>
      <c r="C39" s="446">
        <v>94582</v>
      </c>
      <c r="D39" s="446">
        <v>74717</v>
      </c>
      <c r="E39" s="510">
        <v>73898</v>
      </c>
      <c r="F39" s="534">
        <f aca="true" t="shared" si="1" ref="F39:F48">E39/D39</f>
        <v>0.9890386391316568</v>
      </c>
    </row>
    <row r="40" spans="1:6" ht="12.75">
      <c r="A40" s="496">
        <v>31</v>
      </c>
      <c r="B40" s="475" t="s">
        <v>863</v>
      </c>
      <c r="C40" s="363">
        <v>25561</v>
      </c>
      <c r="D40" s="363">
        <v>20305</v>
      </c>
      <c r="E40" s="386">
        <v>20064</v>
      </c>
      <c r="F40" s="535">
        <f t="shared" si="1"/>
        <v>0.9881310022162029</v>
      </c>
    </row>
    <row r="41" spans="1:6" ht="12.75">
      <c r="A41" s="496">
        <v>32</v>
      </c>
      <c r="B41" s="475" t="s">
        <v>864</v>
      </c>
      <c r="C41" s="366">
        <v>27625</v>
      </c>
      <c r="D41" s="366">
        <v>22539</v>
      </c>
      <c r="E41" s="387">
        <v>22114</v>
      </c>
      <c r="F41" s="535">
        <f t="shared" si="1"/>
        <v>0.9811437951994321</v>
      </c>
    </row>
    <row r="42" spans="1:6" ht="12.75">
      <c r="A42" s="496">
        <v>33</v>
      </c>
      <c r="B42" s="475" t="s">
        <v>67</v>
      </c>
      <c r="C42" s="363">
        <v>54789</v>
      </c>
      <c r="D42" s="366">
        <v>50606</v>
      </c>
      <c r="E42" s="387">
        <v>50605</v>
      </c>
      <c r="F42" s="426">
        <f t="shared" si="1"/>
        <v>0.9999802394972929</v>
      </c>
    </row>
    <row r="43" spans="1:6" ht="13.5" thickBot="1">
      <c r="A43" s="496">
        <v>34</v>
      </c>
      <c r="B43" s="476" t="s">
        <v>865</v>
      </c>
      <c r="C43" s="526">
        <v>0</v>
      </c>
      <c r="D43" s="366">
        <v>3234</v>
      </c>
      <c r="E43" s="387">
        <v>3234</v>
      </c>
      <c r="F43" s="427">
        <f t="shared" si="1"/>
        <v>1</v>
      </c>
    </row>
    <row r="44" spans="1:6" s="153" customFormat="1" ht="13.5" thickBot="1">
      <c r="A44" s="496">
        <v>35</v>
      </c>
      <c r="B44" s="477" t="s">
        <v>916</v>
      </c>
      <c r="C44" s="357">
        <f>SUM(C45:C47)</f>
        <v>445</v>
      </c>
      <c r="D44" s="357">
        <f>SUM(D45:D47)</f>
        <v>615</v>
      </c>
      <c r="E44" s="511">
        <f>SUM(E45:E47)</f>
        <v>505</v>
      </c>
      <c r="F44" s="532">
        <f t="shared" si="1"/>
        <v>0.8211382113821138</v>
      </c>
    </row>
    <row r="45" spans="1:6" ht="12.75">
      <c r="A45" s="496">
        <v>36</v>
      </c>
      <c r="B45" s="475" t="s">
        <v>51</v>
      </c>
      <c r="C45" s="360">
        <v>445</v>
      </c>
      <c r="D45" s="360">
        <v>615</v>
      </c>
      <c r="E45" s="385">
        <v>505</v>
      </c>
      <c r="F45" s="534">
        <f t="shared" si="1"/>
        <v>0.8211382113821138</v>
      </c>
    </row>
    <row r="46" spans="1:6" ht="12.75">
      <c r="A46" s="496">
        <v>37</v>
      </c>
      <c r="B46" s="478" t="s">
        <v>875</v>
      </c>
      <c r="C46" s="507">
        <v>0</v>
      </c>
      <c r="D46" s="507">
        <v>0</v>
      </c>
      <c r="E46" s="527">
        <v>0</v>
      </c>
      <c r="F46" s="434" t="s">
        <v>45</v>
      </c>
    </row>
    <row r="47" spans="1:6" ht="13.5" thickBot="1">
      <c r="A47" s="496">
        <v>38</v>
      </c>
      <c r="B47" s="479" t="s">
        <v>876</v>
      </c>
      <c r="C47" s="507">
        <v>0</v>
      </c>
      <c r="D47" s="507">
        <v>0</v>
      </c>
      <c r="E47" s="527">
        <v>0</v>
      </c>
      <c r="F47" s="533" t="s">
        <v>45</v>
      </c>
    </row>
    <row r="48" spans="1:6" ht="13.5" thickBot="1">
      <c r="A48" s="496">
        <v>39</v>
      </c>
      <c r="B48" s="480" t="s">
        <v>917</v>
      </c>
      <c r="C48" s="357">
        <f>SUM(C44+C38)</f>
        <v>203002</v>
      </c>
      <c r="D48" s="357">
        <f>SUM(D44+D38)</f>
        <v>172016</v>
      </c>
      <c r="E48" s="511">
        <f>SUM(E44+E38)</f>
        <v>170420</v>
      </c>
      <c r="F48" s="532">
        <f t="shared" si="1"/>
        <v>0.9907217933215515</v>
      </c>
    </row>
    <row r="49" spans="1:6" s="6" customFormat="1" ht="12" customHeight="1" thickBot="1">
      <c r="A49" s="496">
        <v>40</v>
      </c>
      <c r="B49" s="480" t="s">
        <v>903</v>
      </c>
      <c r="C49" s="525">
        <v>0</v>
      </c>
      <c r="D49" s="525">
        <v>0</v>
      </c>
      <c r="E49" s="528">
        <v>0</v>
      </c>
      <c r="F49" s="524" t="s">
        <v>45</v>
      </c>
    </row>
    <row r="50" spans="1:6" ht="21.75" thickBot="1">
      <c r="A50" s="496">
        <v>41</v>
      </c>
      <c r="B50" s="481" t="s">
        <v>918</v>
      </c>
      <c r="C50" s="369">
        <f>SUM(C49+C48)</f>
        <v>203002</v>
      </c>
      <c r="D50" s="369">
        <f>SUM(D49+D48)</f>
        <v>172016</v>
      </c>
      <c r="E50" s="531">
        <f>SUM(E49+E48)</f>
        <v>170420</v>
      </c>
      <c r="F50" s="532">
        <f>E50/D50</f>
        <v>0.9907217933215515</v>
      </c>
    </row>
    <row r="51" spans="1:6" ht="33.75" thickBot="1">
      <c r="A51" s="496">
        <v>42</v>
      </c>
      <c r="B51" s="397" t="s">
        <v>169</v>
      </c>
      <c r="C51" s="397"/>
      <c r="D51" s="397"/>
      <c r="E51" s="397"/>
      <c r="F51" s="536"/>
    </row>
    <row r="52" spans="1:6" s="39" customFormat="1" ht="13.5" thickBot="1">
      <c r="A52" s="496">
        <v>43</v>
      </c>
      <c r="B52" s="487" t="s">
        <v>919</v>
      </c>
      <c r="C52" s="444">
        <f>SUM(C53:C57)</f>
        <v>197235</v>
      </c>
      <c r="D52" s="444">
        <f>SUM(D53:D57)</f>
        <v>208757</v>
      </c>
      <c r="E52" s="509">
        <f>SUM(E53:E57)</f>
        <v>197418</v>
      </c>
      <c r="F52" s="532">
        <f>E52/D52</f>
        <v>0.9456832585254626</v>
      </c>
    </row>
    <row r="53" spans="1:6" s="153" customFormat="1" ht="12.75">
      <c r="A53" s="496">
        <v>44</v>
      </c>
      <c r="B53" s="488" t="s">
        <v>862</v>
      </c>
      <c r="C53" s="446">
        <v>116283</v>
      </c>
      <c r="D53" s="446">
        <v>117396</v>
      </c>
      <c r="E53" s="510">
        <v>114649</v>
      </c>
      <c r="F53" s="534">
        <f aca="true" t="shared" si="2" ref="F53:F64">E53/D53</f>
        <v>0.9766005656070054</v>
      </c>
    </row>
    <row r="54" spans="1:6" ht="12.75">
      <c r="A54" s="496">
        <v>45</v>
      </c>
      <c r="B54" s="450" t="s">
        <v>863</v>
      </c>
      <c r="C54" s="363">
        <v>32465</v>
      </c>
      <c r="D54" s="363">
        <v>32746</v>
      </c>
      <c r="E54" s="386">
        <v>32456</v>
      </c>
      <c r="F54" s="426">
        <f t="shared" si="2"/>
        <v>0.9911439565137726</v>
      </c>
    </row>
    <row r="55" spans="1:6" ht="12.75">
      <c r="A55" s="496">
        <v>46</v>
      </c>
      <c r="B55" s="450" t="s">
        <v>864</v>
      </c>
      <c r="C55" s="363">
        <v>48487</v>
      </c>
      <c r="D55" s="363">
        <v>49066</v>
      </c>
      <c r="E55" s="529">
        <f>40208+556</f>
        <v>40764</v>
      </c>
      <c r="F55" s="426">
        <f t="shared" si="2"/>
        <v>0.8307993315126564</v>
      </c>
    </row>
    <row r="56" spans="1:6" ht="12.75">
      <c r="A56" s="496">
        <v>47</v>
      </c>
      <c r="B56" s="450" t="s">
        <v>67</v>
      </c>
      <c r="C56" s="507">
        <v>0</v>
      </c>
      <c r="D56" s="507">
        <v>0</v>
      </c>
      <c r="E56" s="527">
        <v>0</v>
      </c>
      <c r="F56" s="434" t="s">
        <v>45</v>
      </c>
    </row>
    <row r="57" spans="1:6" ht="13.5" thickBot="1">
      <c r="A57" s="496">
        <v>48</v>
      </c>
      <c r="B57" s="451" t="s">
        <v>865</v>
      </c>
      <c r="C57" s="507">
        <v>0</v>
      </c>
      <c r="D57" s="507">
        <v>9549</v>
      </c>
      <c r="E57" s="527">
        <v>9549</v>
      </c>
      <c r="F57" s="426">
        <f t="shared" si="2"/>
        <v>1</v>
      </c>
    </row>
    <row r="58" spans="1:6" s="153" customFormat="1" ht="13.5" thickBot="1">
      <c r="A58" s="496">
        <v>49</v>
      </c>
      <c r="B58" s="489" t="s">
        <v>920</v>
      </c>
      <c r="C58" s="539">
        <f>SUM(C59:C61)</f>
        <v>204</v>
      </c>
      <c r="D58" s="357">
        <f>SUM(D59:D61)</f>
        <v>1624</v>
      </c>
      <c r="E58" s="511">
        <f>SUM(E59:E61)</f>
        <v>664</v>
      </c>
      <c r="F58" s="532">
        <f t="shared" si="2"/>
        <v>0.4088669950738916</v>
      </c>
    </row>
    <row r="59" spans="1:6" ht="12.75">
      <c r="A59" s="496">
        <v>50</v>
      </c>
      <c r="B59" s="450" t="s">
        <v>51</v>
      </c>
      <c r="C59" s="507">
        <v>204</v>
      </c>
      <c r="D59" s="507">
        <v>957</v>
      </c>
      <c r="E59" s="527">
        <v>664</v>
      </c>
      <c r="F59" s="534">
        <f t="shared" si="2"/>
        <v>0.6938349007314525</v>
      </c>
    </row>
    <row r="60" spans="1:6" ht="12.75">
      <c r="A60" s="496">
        <v>51</v>
      </c>
      <c r="B60" s="490" t="s">
        <v>875</v>
      </c>
      <c r="C60" s="430">
        <v>0</v>
      </c>
      <c r="D60" s="430">
        <v>667</v>
      </c>
      <c r="E60" s="530">
        <v>0</v>
      </c>
      <c r="F60" s="434" t="s">
        <v>45</v>
      </c>
    </row>
    <row r="61" spans="1:6" ht="13.5" thickBot="1">
      <c r="A61" s="496">
        <v>52</v>
      </c>
      <c r="B61" s="491" t="s">
        <v>876</v>
      </c>
      <c r="C61" s="507">
        <v>0</v>
      </c>
      <c r="D61" s="507">
        <v>0</v>
      </c>
      <c r="E61" s="527">
        <v>0</v>
      </c>
      <c r="F61" s="434" t="s">
        <v>45</v>
      </c>
    </row>
    <row r="62" spans="1:6" ht="13.5" thickBot="1">
      <c r="A62" s="496">
        <v>53</v>
      </c>
      <c r="B62" s="492" t="s">
        <v>921</v>
      </c>
      <c r="C62" s="357">
        <f>SUM(C58+C52)</f>
        <v>197439</v>
      </c>
      <c r="D62" s="357">
        <f>SUM(D58+D52)</f>
        <v>210381</v>
      </c>
      <c r="E62" s="357">
        <f>SUM(E58+E52)</f>
        <v>198082</v>
      </c>
      <c r="F62" s="532">
        <f t="shared" si="2"/>
        <v>0.9415393975691722</v>
      </c>
    </row>
    <row r="63" spans="1:6" s="6" customFormat="1" ht="12" customHeight="1" thickBot="1">
      <c r="A63" s="496">
        <v>54</v>
      </c>
      <c r="B63" s="492" t="s">
        <v>903</v>
      </c>
      <c r="C63" s="525">
        <v>0</v>
      </c>
      <c r="D63" s="525">
        <v>0</v>
      </c>
      <c r="E63" s="528">
        <v>0</v>
      </c>
      <c r="F63" s="524" t="s">
        <v>45</v>
      </c>
    </row>
    <row r="64" spans="1:6" ht="21.75" thickBot="1">
      <c r="A64" s="496">
        <v>55</v>
      </c>
      <c r="B64" s="494" t="s">
        <v>922</v>
      </c>
      <c r="C64" s="369">
        <f>SUM(C63+C62)</f>
        <v>197439</v>
      </c>
      <c r="D64" s="369">
        <f>SUM(D63+D62)</f>
        <v>210381</v>
      </c>
      <c r="E64" s="369">
        <f>SUM(E63+E62)</f>
        <v>198082</v>
      </c>
      <c r="F64" s="532">
        <f t="shared" si="2"/>
        <v>0.9415393975691722</v>
      </c>
    </row>
    <row r="65" spans="1:6" ht="30.75" customHeight="1" thickBot="1">
      <c r="A65" s="496">
        <v>56</v>
      </c>
      <c r="B65" s="396" t="s">
        <v>833</v>
      </c>
      <c r="C65" s="397"/>
      <c r="D65" s="397"/>
      <c r="E65" s="397"/>
      <c r="F65" s="536"/>
    </row>
    <row r="66" spans="1:6" ht="21">
      <c r="A66" s="496">
        <v>57</v>
      </c>
      <c r="B66" s="399" t="s">
        <v>923</v>
      </c>
      <c r="C66" s="429">
        <f>SUM(C64+C50+C36)</f>
        <v>3070378</v>
      </c>
      <c r="D66" s="429">
        <f>SUM(D64+D50+D36)</f>
        <v>3099082</v>
      </c>
      <c r="E66" s="520">
        <f>SUM(E64+E50+E36)</f>
        <v>2777012</v>
      </c>
      <c r="F66" s="425">
        <f>E66/D66</f>
        <v>0.8960756766035878</v>
      </c>
    </row>
    <row r="67" spans="1:6" ht="13.5" thickBot="1">
      <c r="A67" s="496">
        <v>58</v>
      </c>
      <c r="B67" s="400" t="s">
        <v>924</v>
      </c>
      <c r="C67" s="436">
        <f>-C32</f>
        <v>-381587</v>
      </c>
      <c r="D67" s="436">
        <f>-D32</f>
        <v>-350683</v>
      </c>
      <c r="E67" s="521">
        <f>-E32</f>
        <v>-350682</v>
      </c>
      <c r="F67" s="537"/>
    </row>
    <row r="68" spans="1:6" ht="32.25" thickBot="1">
      <c r="A68" s="497">
        <v>59</v>
      </c>
      <c r="B68" s="423" t="s">
        <v>899</v>
      </c>
      <c r="C68" s="437">
        <f>SUM(C66:C67)</f>
        <v>2688791</v>
      </c>
      <c r="D68" s="437">
        <f>SUM(D66:D67)</f>
        <v>2748399</v>
      </c>
      <c r="E68" s="522">
        <f>SUM(E66:E67)</f>
        <v>2426330</v>
      </c>
      <c r="F68" s="538">
        <f>E68/D68</f>
        <v>0.8828157774762689</v>
      </c>
    </row>
  </sheetData>
  <sheetProtection/>
  <mergeCells count="7">
    <mergeCell ref="B3:F3"/>
    <mergeCell ref="B4:F4"/>
    <mergeCell ref="B5:F5"/>
    <mergeCell ref="E6:F6"/>
    <mergeCell ref="A7:A8"/>
    <mergeCell ref="B7:B8"/>
    <mergeCell ref="C7:E7"/>
  </mergeCells>
  <printOptions horizontalCentered="1"/>
  <pageMargins left="0.984251968503937" right="0.984251968503937" top="0.5905511811023623" bottom="0.3937007874015748" header="0.5118110236220472" footer="0.5118110236220472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170"/>
  <sheetViews>
    <sheetView zoomScalePageLayoutView="0" workbookViewId="0" topLeftCell="B1">
      <selection activeCell="N2" sqref="N2"/>
    </sheetView>
  </sheetViews>
  <sheetFormatPr defaultColWidth="9.00390625" defaultRowHeight="12.75"/>
  <cols>
    <col min="1" max="1" width="7.625" style="150" customWidth="1"/>
    <col min="2" max="2" width="51.00390625" style="3" customWidth="1"/>
    <col min="3" max="3" width="11.375" style="3" customWidth="1"/>
    <col min="4" max="4" width="11.25390625" style="3" customWidth="1"/>
    <col min="5" max="5" width="9.875" style="3" customWidth="1"/>
    <col min="6" max="7" width="11.125" style="3" customWidth="1"/>
    <col min="8" max="8" width="9.375" style="3" customWidth="1"/>
    <col min="9" max="9" width="11.00390625" style="3" customWidth="1"/>
    <col min="10" max="10" width="11.25390625" style="3" customWidth="1"/>
    <col min="11" max="11" width="9.75390625" style="3" customWidth="1"/>
    <col min="12" max="12" width="10.75390625" style="3" customWidth="1"/>
    <col min="13" max="13" width="11.00390625" style="3" customWidth="1"/>
    <col min="14" max="14" width="10.375" style="3" customWidth="1"/>
  </cols>
  <sheetData>
    <row r="1" spans="5:14" ht="12.75">
      <c r="E1" s="155"/>
      <c r="H1" s="155"/>
      <c r="K1" s="155"/>
      <c r="N1" s="64" t="s">
        <v>1469</v>
      </c>
    </row>
    <row r="3" spans="1:14" ht="14.25">
      <c r="A3" s="158"/>
      <c r="B3" s="1186" t="s">
        <v>1425</v>
      </c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</row>
    <row r="4" spans="1:14" ht="14.25">
      <c r="A4" s="158"/>
      <c r="B4" s="1186"/>
      <c r="C4" s="1186"/>
      <c r="D4" s="1186"/>
      <c r="E4" s="1186"/>
      <c r="F4" s="4"/>
      <c r="G4" s="4"/>
      <c r="H4" s="4"/>
      <c r="I4" s="4"/>
      <c r="J4" s="4"/>
      <c r="K4" s="4"/>
      <c r="L4" s="4"/>
      <c r="M4" s="4"/>
      <c r="N4" s="4"/>
    </row>
    <row r="5" spans="1:14" ht="15.75">
      <c r="A5" s="158"/>
      <c r="B5" s="1210" t="s">
        <v>925</v>
      </c>
      <c r="C5" s="1210"/>
      <c r="D5" s="1210"/>
      <c r="E5" s="1210"/>
      <c r="F5" s="1210"/>
      <c r="G5" s="1210"/>
      <c r="H5" s="1210"/>
      <c r="I5" s="1210"/>
      <c r="J5" s="1210"/>
      <c r="K5" s="1210"/>
      <c r="L5" s="1210"/>
      <c r="M5" s="1210"/>
      <c r="N5" s="1210"/>
    </row>
    <row r="6" spans="5:14" ht="14.25" thickBot="1">
      <c r="E6" s="547"/>
      <c r="H6" s="547"/>
      <c r="K6" s="547"/>
      <c r="N6" s="547" t="s">
        <v>926</v>
      </c>
    </row>
    <row r="7" spans="1:14" ht="12.75" customHeight="1">
      <c r="A7" s="1195" t="s">
        <v>676</v>
      </c>
      <c r="B7" s="1198" t="s">
        <v>677</v>
      </c>
      <c r="C7" s="1194" t="s">
        <v>1185</v>
      </c>
      <c r="D7" s="1208"/>
      <c r="E7" s="1208"/>
      <c r="F7" s="1211" t="s">
        <v>1185</v>
      </c>
      <c r="G7" s="1208"/>
      <c r="H7" s="1212"/>
      <c r="I7" s="1208" t="s">
        <v>1185</v>
      </c>
      <c r="J7" s="1208"/>
      <c r="K7" s="1208"/>
      <c r="L7" s="1207" t="s">
        <v>1185</v>
      </c>
      <c r="M7" s="1208"/>
      <c r="N7" s="1209"/>
    </row>
    <row r="8" spans="1:14" ht="12.75">
      <c r="A8" s="1196"/>
      <c r="B8" s="1199"/>
      <c r="C8" s="1201" t="s">
        <v>931</v>
      </c>
      <c r="D8" s="1202"/>
      <c r="E8" s="1203"/>
      <c r="F8" s="1204" t="s">
        <v>932</v>
      </c>
      <c r="G8" s="1202"/>
      <c r="H8" s="1203"/>
      <c r="I8" s="1204" t="s">
        <v>933</v>
      </c>
      <c r="J8" s="1202"/>
      <c r="K8" s="1205"/>
      <c r="L8" s="1206" t="s">
        <v>934</v>
      </c>
      <c r="M8" s="1202"/>
      <c r="N8" s="1205"/>
    </row>
    <row r="9" spans="1:14" ht="24.75" thickBot="1">
      <c r="A9" s="1197"/>
      <c r="B9" s="1200"/>
      <c r="C9" s="352" t="s">
        <v>37</v>
      </c>
      <c r="D9" s="352" t="s">
        <v>38</v>
      </c>
      <c r="E9" s="382" t="s">
        <v>20</v>
      </c>
      <c r="F9" s="428" t="s">
        <v>37</v>
      </c>
      <c r="G9" s="352" t="s">
        <v>38</v>
      </c>
      <c r="H9" s="548" t="s">
        <v>20</v>
      </c>
      <c r="I9" s="557" t="s">
        <v>37</v>
      </c>
      <c r="J9" s="352" t="s">
        <v>38</v>
      </c>
      <c r="K9" s="382" t="s">
        <v>20</v>
      </c>
      <c r="L9" s="573" t="s">
        <v>37</v>
      </c>
      <c r="M9" s="352" t="s">
        <v>38</v>
      </c>
      <c r="N9" s="574" t="s">
        <v>20</v>
      </c>
    </row>
    <row r="10" spans="1:14" ht="13.5" thickBot="1">
      <c r="A10" s="353" t="s">
        <v>221</v>
      </c>
      <c r="B10" s="354" t="s">
        <v>222</v>
      </c>
      <c r="C10" s="354" t="s">
        <v>223</v>
      </c>
      <c r="D10" s="354" t="s">
        <v>224</v>
      </c>
      <c r="E10" s="383" t="s">
        <v>225</v>
      </c>
      <c r="F10" s="353" t="s">
        <v>226</v>
      </c>
      <c r="G10" s="354" t="s">
        <v>227</v>
      </c>
      <c r="H10" s="563" t="s">
        <v>228</v>
      </c>
      <c r="I10" s="558" t="s">
        <v>229</v>
      </c>
      <c r="J10" s="354" t="s">
        <v>118</v>
      </c>
      <c r="K10" s="383" t="s">
        <v>119</v>
      </c>
      <c r="L10" s="575" t="s">
        <v>120</v>
      </c>
      <c r="M10" s="354" t="s">
        <v>121</v>
      </c>
      <c r="N10" s="576" t="s">
        <v>1461</v>
      </c>
    </row>
    <row r="11" spans="1:14" ht="13.5" thickBot="1">
      <c r="A11" s="355" t="s">
        <v>678</v>
      </c>
      <c r="B11" s="356" t="s">
        <v>679</v>
      </c>
      <c r="C11" s="357">
        <f>SUM(C12:C17)</f>
        <v>525185</v>
      </c>
      <c r="D11" s="357">
        <f aca="true" t="shared" si="0" ref="D11:K11">SUM(D12:D17)</f>
        <v>537190</v>
      </c>
      <c r="E11" s="511">
        <f t="shared" si="0"/>
        <v>537190</v>
      </c>
      <c r="F11" s="564">
        <f t="shared" si="0"/>
        <v>0</v>
      </c>
      <c r="G11" s="357">
        <f t="shared" si="0"/>
        <v>0</v>
      </c>
      <c r="H11" s="394">
        <f t="shared" si="0"/>
        <v>0</v>
      </c>
      <c r="I11" s="484">
        <f t="shared" si="0"/>
        <v>0</v>
      </c>
      <c r="J11" s="357">
        <f t="shared" si="0"/>
        <v>0</v>
      </c>
      <c r="K11" s="511">
        <f t="shared" si="0"/>
        <v>0</v>
      </c>
      <c r="L11" s="577">
        <f>SUM(C11+F11+I11)</f>
        <v>525185</v>
      </c>
      <c r="M11" s="357">
        <f aca="true" t="shared" si="1" ref="M11:N26">SUM(D11+G11+J11)</f>
        <v>537190</v>
      </c>
      <c r="N11" s="604">
        <f t="shared" si="1"/>
        <v>537190</v>
      </c>
    </row>
    <row r="12" spans="1:14" ht="12.75">
      <c r="A12" s="358" t="s">
        <v>680</v>
      </c>
      <c r="B12" s="359" t="s">
        <v>681</v>
      </c>
      <c r="C12" s="360">
        <v>203895</v>
      </c>
      <c r="D12" s="360">
        <v>204415</v>
      </c>
      <c r="E12" s="385">
        <v>204415</v>
      </c>
      <c r="F12" s="565">
        <v>0</v>
      </c>
      <c r="G12" s="360">
        <v>0</v>
      </c>
      <c r="H12" s="461">
        <v>0</v>
      </c>
      <c r="I12" s="485">
        <v>0</v>
      </c>
      <c r="J12" s="360">
        <v>0</v>
      </c>
      <c r="K12" s="385">
        <v>0</v>
      </c>
      <c r="L12" s="579">
        <f aca="true" t="shared" si="2" ref="L12:N79">SUM(C12+F12+I12)</f>
        <v>203895</v>
      </c>
      <c r="M12" s="360">
        <f t="shared" si="1"/>
        <v>204415</v>
      </c>
      <c r="N12" s="580">
        <f t="shared" si="1"/>
        <v>204415</v>
      </c>
    </row>
    <row r="13" spans="1:14" ht="12.75">
      <c r="A13" s="361" t="s">
        <v>682</v>
      </c>
      <c r="B13" s="362" t="s">
        <v>683</v>
      </c>
      <c r="C13" s="363">
        <v>130224</v>
      </c>
      <c r="D13" s="363">
        <v>135985</v>
      </c>
      <c r="E13" s="386">
        <v>135985</v>
      </c>
      <c r="F13" s="566"/>
      <c r="G13" s="363"/>
      <c r="H13" s="448"/>
      <c r="I13" s="482"/>
      <c r="J13" s="363">
        <v>0</v>
      </c>
      <c r="K13" s="386">
        <v>0</v>
      </c>
      <c r="L13" s="581">
        <f t="shared" si="2"/>
        <v>130224</v>
      </c>
      <c r="M13" s="363">
        <f t="shared" si="1"/>
        <v>135985</v>
      </c>
      <c r="N13" s="582">
        <f t="shared" si="1"/>
        <v>135985</v>
      </c>
    </row>
    <row r="14" spans="1:14" ht="22.5">
      <c r="A14" s="361" t="s">
        <v>684</v>
      </c>
      <c r="B14" s="362" t="s">
        <v>1345</v>
      </c>
      <c r="C14" s="363">
        <v>180567</v>
      </c>
      <c r="D14" s="363">
        <v>178321</v>
      </c>
      <c r="E14" s="386">
        <v>178321</v>
      </c>
      <c r="F14" s="566"/>
      <c r="G14" s="363"/>
      <c r="H14" s="448"/>
      <c r="I14" s="482"/>
      <c r="J14" s="363">
        <v>0</v>
      </c>
      <c r="K14" s="386">
        <v>0</v>
      </c>
      <c r="L14" s="581">
        <f t="shared" si="2"/>
        <v>180567</v>
      </c>
      <c r="M14" s="363">
        <f t="shared" si="1"/>
        <v>178321</v>
      </c>
      <c r="N14" s="582">
        <f t="shared" si="1"/>
        <v>178321</v>
      </c>
    </row>
    <row r="15" spans="1:14" ht="12.75">
      <c r="A15" s="361" t="s">
        <v>686</v>
      </c>
      <c r="B15" s="362" t="s">
        <v>687</v>
      </c>
      <c r="C15" s="363">
        <v>10499</v>
      </c>
      <c r="D15" s="363">
        <v>10916</v>
      </c>
      <c r="E15" s="386">
        <v>10916</v>
      </c>
      <c r="F15" s="566"/>
      <c r="G15" s="363"/>
      <c r="H15" s="448"/>
      <c r="I15" s="482"/>
      <c r="J15" s="363">
        <v>0</v>
      </c>
      <c r="K15" s="386">
        <v>0</v>
      </c>
      <c r="L15" s="581">
        <f t="shared" si="2"/>
        <v>10499</v>
      </c>
      <c r="M15" s="363">
        <f t="shared" si="1"/>
        <v>10916</v>
      </c>
      <c r="N15" s="582">
        <f t="shared" si="1"/>
        <v>10916</v>
      </c>
    </row>
    <row r="16" spans="1:14" ht="12.75">
      <c r="A16" s="361" t="s">
        <v>688</v>
      </c>
      <c r="B16" s="362" t="s">
        <v>1346</v>
      </c>
      <c r="C16" s="363"/>
      <c r="D16" s="363">
        <v>7553</v>
      </c>
      <c r="E16" s="386">
        <v>7553</v>
      </c>
      <c r="F16" s="566"/>
      <c r="G16" s="363"/>
      <c r="H16" s="448"/>
      <c r="I16" s="482"/>
      <c r="J16" s="363">
        <v>0</v>
      </c>
      <c r="K16" s="386">
        <v>0</v>
      </c>
      <c r="L16" s="581">
        <f t="shared" si="2"/>
        <v>0</v>
      </c>
      <c r="M16" s="363">
        <f t="shared" si="1"/>
        <v>7553</v>
      </c>
      <c r="N16" s="582">
        <f t="shared" si="1"/>
        <v>7553</v>
      </c>
    </row>
    <row r="17" spans="1:14" ht="13.5" thickBot="1">
      <c r="A17" s="364" t="s">
        <v>689</v>
      </c>
      <c r="B17" s="365" t="s">
        <v>1353</v>
      </c>
      <c r="C17" s="366"/>
      <c r="D17" s="366"/>
      <c r="E17" s="387"/>
      <c r="F17" s="567"/>
      <c r="G17" s="366"/>
      <c r="H17" s="449"/>
      <c r="I17" s="483"/>
      <c r="J17" s="366">
        <v>0</v>
      </c>
      <c r="K17" s="387">
        <v>0</v>
      </c>
      <c r="L17" s="583">
        <f t="shared" si="2"/>
        <v>0</v>
      </c>
      <c r="M17" s="366">
        <f t="shared" si="1"/>
        <v>0</v>
      </c>
      <c r="N17" s="584">
        <f t="shared" si="1"/>
        <v>0</v>
      </c>
    </row>
    <row r="18" spans="1:14" ht="21.75" thickBot="1">
      <c r="A18" s="355" t="s">
        <v>690</v>
      </c>
      <c r="B18" s="367" t="s">
        <v>691</v>
      </c>
      <c r="C18" s="357">
        <f>SUM(C19:C23)</f>
        <v>202146</v>
      </c>
      <c r="D18" s="357">
        <f aca="true" t="shared" si="3" ref="D18:K18">SUM(D19:D23)</f>
        <v>138629</v>
      </c>
      <c r="E18" s="511">
        <f t="shared" si="3"/>
        <v>138633</v>
      </c>
      <c r="F18" s="564">
        <f t="shared" si="3"/>
        <v>22998</v>
      </c>
      <c r="G18" s="357">
        <f t="shared" si="3"/>
        <v>33472</v>
      </c>
      <c r="H18" s="394">
        <f t="shared" si="3"/>
        <v>33357</v>
      </c>
      <c r="I18" s="484">
        <f t="shared" si="3"/>
        <v>29532</v>
      </c>
      <c r="J18" s="357">
        <f t="shared" si="3"/>
        <v>29532</v>
      </c>
      <c r="K18" s="511">
        <f t="shared" si="3"/>
        <v>29534</v>
      </c>
      <c r="L18" s="577">
        <f t="shared" si="2"/>
        <v>254676</v>
      </c>
      <c r="M18" s="357">
        <f t="shared" si="1"/>
        <v>201633</v>
      </c>
      <c r="N18" s="604">
        <f t="shared" si="1"/>
        <v>201524</v>
      </c>
    </row>
    <row r="19" spans="1:14" ht="12.75">
      <c r="A19" s="358" t="s">
        <v>692</v>
      </c>
      <c r="B19" s="359" t="s">
        <v>246</v>
      </c>
      <c r="C19" s="360"/>
      <c r="D19" s="360">
        <v>12783</v>
      </c>
      <c r="E19" s="385">
        <v>12783</v>
      </c>
      <c r="F19" s="565"/>
      <c r="G19" s="360"/>
      <c r="H19" s="461"/>
      <c r="I19" s="485"/>
      <c r="J19" s="360">
        <v>0</v>
      </c>
      <c r="K19" s="385">
        <v>0</v>
      </c>
      <c r="L19" s="579">
        <f t="shared" si="2"/>
        <v>0</v>
      </c>
      <c r="M19" s="360">
        <f t="shared" si="1"/>
        <v>12783</v>
      </c>
      <c r="N19" s="580">
        <f t="shared" si="1"/>
        <v>12783</v>
      </c>
    </row>
    <row r="20" spans="1:14" ht="12.75">
      <c r="A20" s="361" t="s">
        <v>693</v>
      </c>
      <c r="B20" s="362" t="s">
        <v>694</v>
      </c>
      <c r="C20" s="363"/>
      <c r="D20" s="363"/>
      <c r="E20" s="386"/>
      <c r="F20" s="566"/>
      <c r="G20" s="363"/>
      <c r="H20" s="448"/>
      <c r="I20" s="482"/>
      <c r="J20" s="363">
        <v>0</v>
      </c>
      <c r="K20" s="386">
        <v>0</v>
      </c>
      <c r="L20" s="581">
        <f t="shared" si="2"/>
        <v>0</v>
      </c>
      <c r="M20" s="363">
        <f t="shared" si="1"/>
        <v>0</v>
      </c>
      <c r="N20" s="582">
        <f t="shared" si="1"/>
        <v>0</v>
      </c>
    </row>
    <row r="21" spans="1:14" ht="12.75">
      <c r="A21" s="361" t="s">
        <v>695</v>
      </c>
      <c r="B21" s="362" t="s">
        <v>696</v>
      </c>
      <c r="C21" s="363">
        <v>842</v>
      </c>
      <c r="D21" s="363">
        <v>42197</v>
      </c>
      <c r="E21" s="386">
        <v>42041</v>
      </c>
      <c r="F21" s="566"/>
      <c r="G21" s="363"/>
      <c r="H21" s="448"/>
      <c r="I21" s="482"/>
      <c r="J21" s="363">
        <v>0</v>
      </c>
      <c r="K21" s="386">
        <v>0</v>
      </c>
      <c r="L21" s="581">
        <f t="shared" si="2"/>
        <v>842</v>
      </c>
      <c r="M21" s="363">
        <f t="shared" si="1"/>
        <v>42197</v>
      </c>
      <c r="N21" s="582">
        <f t="shared" si="1"/>
        <v>42041</v>
      </c>
    </row>
    <row r="22" spans="1:14" ht="12.75">
      <c r="A22" s="361" t="s">
        <v>697</v>
      </c>
      <c r="B22" s="362" t="s">
        <v>698</v>
      </c>
      <c r="C22" s="363"/>
      <c r="D22" s="363"/>
      <c r="E22" s="386"/>
      <c r="F22" s="566"/>
      <c r="G22" s="363"/>
      <c r="H22" s="448"/>
      <c r="I22" s="482"/>
      <c r="J22" s="363">
        <v>0</v>
      </c>
      <c r="K22" s="386">
        <v>0</v>
      </c>
      <c r="L22" s="581">
        <f t="shared" si="2"/>
        <v>0</v>
      </c>
      <c r="M22" s="363">
        <f t="shared" si="1"/>
        <v>0</v>
      </c>
      <c r="N22" s="582">
        <f t="shared" si="1"/>
        <v>0</v>
      </c>
    </row>
    <row r="23" spans="1:14" ht="12.75">
      <c r="A23" s="361" t="s">
        <v>699</v>
      </c>
      <c r="B23" s="362" t="s">
        <v>1348</v>
      </c>
      <c r="C23" s="363">
        <v>201304</v>
      </c>
      <c r="D23" s="363">
        <v>83649</v>
      </c>
      <c r="E23" s="386">
        <v>83809</v>
      </c>
      <c r="F23" s="566">
        <v>22998</v>
      </c>
      <c r="G23" s="363">
        <v>33472</v>
      </c>
      <c r="H23" s="448">
        <v>33357</v>
      </c>
      <c r="I23" s="482">
        <v>29532</v>
      </c>
      <c r="J23" s="363">
        <v>29532</v>
      </c>
      <c r="K23" s="386">
        <v>29534</v>
      </c>
      <c r="L23" s="581">
        <f t="shared" si="2"/>
        <v>253834</v>
      </c>
      <c r="M23" s="363">
        <f t="shared" si="1"/>
        <v>146653</v>
      </c>
      <c r="N23" s="582">
        <f t="shared" si="1"/>
        <v>146700</v>
      </c>
    </row>
    <row r="24" spans="1:14" ht="13.5" thickBot="1">
      <c r="A24" s="364" t="s">
        <v>701</v>
      </c>
      <c r="B24" s="365" t="s">
        <v>702</v>
      </c>
      <c r="C24" s="366"/>
      <c r="D24" s="366"/>
      <c r="E24" s="387"/>
      <c r="F24" s="567">
        <v>15388</v>
      </c>
      <c r="G24" s="366">
        <v>21882</v>
      </c>
      <c r="H24" s="449">
        <v>21835</v>
      </c>
      <c r="I24" s="483"/>
      <c r="J24" s="366">
        <v>0</v>
      </c>
      <c r="K24" s="387">
        <v>0</v>
      </c>
      <c r="L24" s="583">
        <f t="shared" si="2"/>
        <v>15388</v>
      </c>
      <c r="M24" s="366">
        <f t="shared" si="1"/>
        <v>21882</v>
      </c>
      <c r="N24" s="584">
        <f t="shared" si="1"/>
        <v>21835</v>
      </c>
    </row>
    <row r="25" spans="1:14" ht="21.75" thickBot="1">
      <c r="A25" s="355" t="s">
        <v>703</v>
      </c>
      <c r="B25" s="356" t="s">
        <v>704</v>
      </c>
      <c r="C25" s="357">
        <f>SUM(C26:C30)</f>
        <v>568348</v>
      </c>
      <c r="D25" s="357">
        <f aca="true" t="shared" si="4" ref="D25:K25">SUM(D26:D30)</f>
        <v>664664</v>
      </c>
      <c r="E25" s="511">
        <f t="shared" si="4"/>
        <v>695816</v>
      </c>
      <c r="F25" s="564">
        <f t="shared" si="4"/>
        <v>464486</v>
      </c>
      <c r="G25" s="357">
        <f t="shared" si="4"/>
        <v>489124</v>
      </c>
      <c r="H25" s="394">
        <f t="shared" si="4"/>
        <v>458324</v>
      </c>
      <c r="I25" s="484">
        <f t="shared" si="4"/>
        <v>0</v>
      </c>
      <c r="J25" s="357">
        <f t="shared" si="4"/>
        <v>0</v>
      </c>
      <c r="K25" s="511">
        <f t="shared" si="4"/>
        <v>0</v>
      </c>
      <c r="L25" s="577">
        <f t="shared" si="2"/>
        <v>1032834</v>
      </c>
      <c r="M25" s="357">
        <f t="shared" si="1"/>
        <v>1153788</v>
      </c>
      <c r="N25" s="604">
        <f t="shared" si="1"/>
        <v>1154140</v>
      </c>
    </row>
    <row r="26" spans="1:14" ht="12.75">
      <c r="A26" s="358" t="s">
        <v>705</v>
      </c>
      <c r="B26" s="359" t="s">
        <v>706</v>
      </c>
      <c r="C26" s="360"/>
      <c r="D26" s="360">
        <v>15170</v>
      </c>
      <c r="E26" s="385">
        <v>15170</v>
      </c>
      <c r="F26" s="565"/>
      <c r="G26" s="360">
        <v>978</v>
      </c>
      <c r="H26" s="461">
        <v>978</v>
      </c>
      <c r="I26" s="485"/>
      <c r="J26" s="360"/>
      <c r="K26" s="385">
        <v>0</v>
      </c>
      <c r="L26" s="579">
        <f t="shared" si="2"/>
        <v>0</v>
      </c>
      <c r="M26" s="360">
        <f t="shared" si="1"/>
        <v>16148</v>
      </c>
      <c r="N26" s="580">
        <f t="shared" si="1"/>
        <v>16148</v>
      </c>
    </row>
    <row r="27" spans="1:14" ht="12.75">
      <c r="A27" s="361" t="s">
        <v>707</v>
      </c>
      <c r="B27" s="362" t="s">
        <v>708</v>
      </c>
      <c r="C27" s="363"/>
      <c r="D27" s="363"/>
      <c r="E27" s="386"/>
      <c r="F27" s="566"/>
      <c r="G27" s="363"/>
      <c r="H27" s="448"/>
      <c r="I27" s="482"/>
      <c r="J27" s="363"/>
      <c r="K27" s="386">
        <v>0</v>
      </c>
      <c r="L27" s="581">
        <f t="shared" si="2"/>
        <v>0</v>
      </c>
      <c r="M27" s="363">
        <f t="shared" si="2"/>
        <v>0</v>
      </c>
      <c r="N27" s="582">
        <f t="shared" si="2"/>
        <v>0</v>
      </c>
    </row>
    <row r="28" spans="1:14" ht="22.5">
      <c r="A28" s="361" t="s">
        <v>709</v>
      </c>
      <c r="B28" s="362" t="s">
        <v>710</v>
      </c>
      <c r="C28" s="363"/>
      <c r="D28" s="363">
        <v>2199</v>
      </c>
      <c r="E28" s="386"/>
      <c r="F28" s="566"/>
      <c r="G28" s="363"/>
      <c r="H28" s="448"/>
      <c r="I28" s="482"/>
      <c r="J28" s="363"/>
      <c r="K28" s="386">
        <v>0</v>
      </c>
      <c r="L28" s="581">
        <f t="shared" si="2"/>
        <v>0</v>
      </c>
      <c r="M28" s="363">
        <f t="shared" si="2"/>
        <v>2199</v>
      </c>
      <c r="N28" s="582">
        <f t="shared" si="2"/>
        <v>0</v>
      </c>
    </row>
    <row r="29" spans="1:14" ht="22.5">
      <c r="A29" s="361" t="s">
        <v>711</v>
      </c>
      <c r="B29" s="362" t="s">
        <v>712</v>
      </c>
      <c r="C29" s="363"/>
      <c r="D29" s="363"/>
      <c r="E29" s="386"/>
      <c r="F29" s="566"/>
      <c r="G29" s="363"/>
      <c r="H29" s="448"/>
      <c r="I29" s="482"/>
      <c r="J29" s="363"/>
      <c r="K29" s="386">
        <v>0</v>
      </c>
      <c r="L29" s="581">
        <f t="shared" si="2"/>
        <v>0</v>
      </c>
      <c r="M29" s="363">
        <f t="shared" si="2"/>
        <v>0</v>
      </c>
      <c r="N29" s="582">
        <f t="shared" si="2"/>
        <v>0</v>
      </c>
    </row>
    <row r="30" spans="1:14" ht="12.75">
      <c r="A30" s="361" t="s">
        <v>713</v>
      </c>
      <c r="B30" s="362" t="s">
        <v>1349</v>
      </c>
      <c r="C30" s="363">
        <v>568348</v>
      </c>
      <c r="D30" s="363">
        <v>647295</v>
      </c>
      <c r="E30" s="386">
        <f>680645+1</f>
        <v>680646</v>
      </c>
      <c r="F30" s="566">
        <v>464486</v>
      </c>
      <c r="G30" s="363">
        <v>488146</v>
      </c>
      <c r="H30" s="448">
        <v>457346</v>
      </c>
      <c r="I30" s="482"/>
      <c r="J30" s="363"/>
      <c r="K30" s="386">
        <v>0</v>
      </c>
      <c r="L30" s="581">
        <f t="shared" si="2"/>
        <v>1032834</v>
      </c>
      <c r="M30" s="363">
        <f t="shared" si="2"/>
        <v>1135441</v>
      </c>
      <c r="N30" s="582">
        <f t="shared" si="2"/>
        <v>1137992</v>
      </c>
    </row>
    <row r="31" spans="1:14" ht="13.5" thickBot="1">
      <c r="A31" s="364" t="s">
        <v>715</v>
      </c>
      <c r="B31" s="368" t="s">
        <v>716</v>
      </c>
      <c r="C31" s="366">
        <v>560125</v>
      </c>
      <c r="D31" s="366">
        <v>647295</v>
      </c>
      <c r="E31" s="387">
        <f>680645+1</f>
        <v>680646</v>
      </c>
      <c r="F31" s="567">
        <v>398636</v>
      </c>
      <c r="G31" s="366">
        <v>421896</v>
      </c>
      <c r="H31" s="449">
        <v>395699</v>
      </c>
      <c r="I31" s="483"/>
      <c r="J31" s="366"/>
      <c r="K31" s="387">
        <v>0</v>
      </c>
      <c r="L31" s="583">
        <f t="shared" si="2"/>
        <v>958761</v>
      </c>
      <c r="M31" s="366">
        <f t="shared" si="2"/>
        <v>1069191</v>
      </c>
      <c r="N31" s="584">
        <f t="shared" si="2"/>
        <v>1076345</v>
      </c>
    </row>
    <row r="32" spans="1:14" ht="13.5" thickBot="1">
      <c r="A32" s="355" t="s">
        <v>717</v>
      </c>
      <c r="B32" s="356" t="s">
        <v>718</v>
      </c>
      <c r="C32" s="369">
        <f>SUM(C37+C36+C35+C34+C33)</f>
        <v>169000</v>
      </c>
      <c r="D32" s="369">
        <f aca="true" t="shared" si="5" ref="D32:N32">SUM(D37+D36+D35+D34+D33)</f>
        <v>172504</v>
      </c>
      <c r="E32" s="369">
        <f t="shared" si="5"/>
        <v>191361</v>
      </c>
      <c r="F32" s="369">
        <f t="shared" si="5"/>
        <v>0</v>
      </c>
      <c r="G32" s="369">
        <f t="shared" si="5"/>
        <v>0</v>
      </c>
      <c r="H32" s="369">
        <f t="shared" si="5"/>
        <v>0</v>
      </c>
      <c r="I32" s="369">
        <f t="shared" si="5"/>
        <v>0</v>
      </c>
      <c r="J32" s="369">
        <f t="shared" si="5"/>
        <v>0</v>
      </c>
      <c r="K32" s="637">
        <f t="shared" si="5"/>
        <v>0</v>
      </c>
      <c r="L32" s="486">
        <f t="shared" si="5"/>
        <v>169000</v>
      </c>
      <c r="M32" s="369">
        <f t="shared" si="5"/>
        <v>172504</v>
      </c>
      <c r="N32" s="604">
        <f t="shared" si="5"/>
        <v>191361</v>
      </c>
    </row>
    <row r="33" spans="1:14" ht="12.75">
      <c r="A33" s="412" t="s">
        <v>719</v>
      </c>
      <c r="B33" s="362" t="s">
        <v>1350</v>
      </c>
      <c r="C33" s="363">
        <v>26500</v>
      </c>
      <c r="D33" s="363">
        <v>26500</v>
      </c>
      <c r="E33" s="386">
        <v>25794</v>
      </c>
      <c r="F33" s="566"/>
      <c r="G33" s="363"/>
      <c r="H33" s="448"/>
      <c r="I33" s="482"/>
      <c r="J33" s="363"/>
      <c r="K33" s="386"/>
      <c r="L33" s="581">
        <f t="shared" si="2"/>
        <v>26500</v>
      </c>
      <c r="M33" s="363">
        <f t="shared" si="2"/>
        <v>26500</v>
      </c>
      <c r="N33" s="582">
        <f t="shared" si="2"/>
        <v>25794</v>
      </c>
    </row>
    <row r="34" spans="1:14" ht="12.75">
      <c r="A34" s="412" t="s">
        <v>725</v>
      </c>
      <c r="B34" s="362" t="s">
        <v>302</v>
      </c>
      <c r="C34" s="363">
        <v>120500</v>
      </c>
      <c r="D34" s="363">
        <v>124004</v>
      </c>
      <c r="E34" s="386">
        <v>144147</v>
      </c>
      <c r="F34" s="566"/>
      <c r="G34" s="363"/>
      <c r="H34" s="448"/>
      <c r="I34" s="482"/>
      <c r="J34" s="363"/>
      <c r="K34" s="386"/>
      <c r="L34" s="581">
        <f t="shared" si="2"/>
        <v>120500</v>
      </c>
      <c r="M34" s="363">
        <f t="shared" si="2"/>
        <v>124004</v>
      </c>
      <c r="N34" s="582">
        <f t="shared" si="2"/>
        <v>144147</v>
      </c>
    </row>
    <row r="35" spans="1:14" ht="12.75">
      <c r="A35" s="361" t="s">
        <v>727</v>
      </c>
      <c r="B35" s="362" t="s">
        <v>726</v>
      </c>
      <c r="C35" s="363">
        <v>20000</v>
      </c>
      <c r="D35" s="363">
        <v>20000</v>
      </c>
      <c r="E35" s="386">
        <v>20075</v>
      </c>
      <c r="F35" s="566"/>
      <c r="G35" s="363"/>
      <c r="H35" s="448"/>
      <c r="I35" s="482"/>
      <c r="J35" s="363"/>
      <c r="K35" s="386"/>
      <c r="L35" s="581">
        <f t="shared" si="2"/>
        <v>20000</v>
      </c>
      <c r="M35" s="363">
        <f t="shared" si="2"/>
        <v>20000</v>
      </c>
      <c r="N35" s="582">
        <f t="shared" si="2"/>
        <v>20075</v>
      </c>
    </row>
    <row r="36" spans="1:14" ht="12.75">
      <c r="A36" s="361" t="s">
        <v>728</v>
      </c>
      <c r="B36" s="362" t="s">
        <v>1351</v>
      </c>
      <c r="C36" s="363">
        <v>200</v>
      </c>
      <c r="D36" s="363">
        <v>200</v>
      </c>
      <c r="E36" s="386">
        <v>474</v>
      </c>
      <c r="F36" s="566"/>
      <c r="G36" s="363"/>
      <c r="H36" s="448"/>
      <c r="I36" s="482"/>
      <c r="J36" s="363"/>
      <c r="K36" s="386"/>
      <c r="L36" s="581">
        <f t="shared" si="2"/>
        <v>200</v>
      </c>
      <c r="M36" s="363">
        <f t="shared" si="2"/>
        <v>200</v>
      </c>
      <c r="N36" s="582">
        <f t="shared" si="2"/>
        <v>474</v>
      </c>
    </row>
    <row r="37" spans="1:14" ht="13.5" thickBot="1">
      <c r="A37" s="364" t="s">
        <v>826</v>
      </c>
      <c r="B37" s="368" t="s">
        <v>317</v>
      </c>
      <c r="C37" s="366">
        <f>1700+100</f>
        <v>1800</v>
      </c>
      <c r="D37" s="366">
        <f>1700+100</f>
        <v>1800</v>
      </c>
      <c r="E37" s="387">
        <f>861+10</f>
        <v>871</v>
      </c>
      <c r="F37" s="567">
        <v>0</v>
      </c>
      <c r="G37" s="366">
        <v>0</v>
      </c>
      <c r="H37" s="449">
        <v>0</v>
      </c>
      <c r="I37" s="483">
        <v>0</v>
      </c>
      <c r="J37" s="366">
        <v>0</v>
      </c>
      <c r="K37" s="387">
        <v>0</v>
      </c>
      <c r="L37" s="583">
        <f t="shared" si="2"/>
        <v>1800</v>
      </c>
      <c r="M37" s="366">
        <f t="shared" si="2"/>
        <v>1800</v>
      </c>
      <c r="N37" s="584">
        <f t="shared" si="2"/>
        <v>871</v>
      </c>
    </row>
    <row r="38" spans="1:14" ht="13.5" thickBot="1">
      <c r="A38" s="355" t="s">
        <v>729</v>
      </c>
      <c r="B38" s="356" t="s">
        <v>730</v>
      </c>
      <c r="C38" s="357">
        <f>SUM(C39:C49)</f>
        <v>416428</v>
      </c>
      <c r="D38" s="357">
        <f aca="true" t="shared" si="6" ref="D38:N38">SUM(D39:D49)</f>
        <v>133046</v>
      </c>
      <c r="E38" s="357">
        <f t="shared" si="6"/>
        <v>132434</v>
      </c>
      <c r="F38" s="357">
        <f t="shared" si="6"/>
        <v>7937</v>
      </c>
      <c r="G38" s="357">
        <f t="shared" si="6"/>
        <v>8687</v>
      </c>
      <c r="H38" s="357">
        <f t="shared" si="6"/>
        <v>10940</v>
      </c>
      <c r="I38" s="357">
        <f t="shared" si="6"/>
        <v>0</v>
      </c>
      <c r="J38" s="357">
        <f t="shared" si="6"/>
        <v>0</v>
      </c>
      <c r="K38" s="604">
        <f t="shared" si="6"/>
        <v>0</v>
      </c>
      <c r="L38" s="484">
        <f t="shared" si="6"/>
        <v>424365</v>
      </c>
      <c r="M38" s="357">
        <f t="shared" si="6"/>
        <v>141733</v>
      </c>
      <c r="N38" s="604">
        <f t="shared" si="6"/>
        <v>143374</v>
      </c>
    </row>
    <row r="39" spans="1:14" ht="12.75">
      <c r="A39" s="361" t="s">
        <v>731</v>
      </c>
      <c r="B39" s="362" t="s">
        <v>732</v>
      </c>
      <c r="C39" s="363">
        <v>100</v>
      </c>
      <c r="D39" s="363">
        <v>258</v>
      </c>
      <c r="E39" s="386">
        <f>917+2</f>
        <v>919</v>
      </c>
      <c r="F39" s="566">
        <v>7937</v>
      </c>
      <c r="G39" s="363">
        <v>8003</v>
      </c>
      <c r="H39" s="448">
        <v>9992</v>
      </c>
      <c r="I39" s="482"/>
      <c r="J39" s="363"/>
      <c r="K39" s="386"/>
      <c r="L39" s="581">
        <f>SUM(C39+F39+I39)</f>
        <v>8037</v>
      </c>
      <c r="M39" s="363">
        <f>SUM(D39+G39+J39)</f>
        <v>8261</v>
      </c>
      <c r="N39" s="582">
        <f>SUM(E39+H39+K39)</f>
        <v>10911</v>
      </c>
    </row>
    <row r="40" spans="1:14" ht="12.75">
      <c r="A40" s="361" t="s">
        <v>733</v>
      </c>
      <c r="B40" s="362" t="s">
        <v>331</v>
      </c>
      <c r="C40" s="363">
        <f>83692+1716+108</f>
        <v>85516</v>
      </c>
      <c r="D40" s="363">
        <f>83692+1716+108</f>
        <v>85516</v>
      </c>
      <c r="E40" s="386">
        <f>86074+2104+215</f>
        <v>88393</v>
      </c>
      <c r="F40" s="566"/>
      <c r="G40" s="363">
        <v>195</v>
      </c>
      <c r="H40" s="448">
        <v>195</v>
      </c>
      <c r="I40" s="482"/>
      <c r="J40" s="363"/>
      <c r="K40" s="386">
        <v>0</v>
      </c>
      <c r="L40" s="581">
        <f t="shared" si="2"/>
        <v>85516</v>
      </c>
      <c r="M40" s="363">
        <f t="shared" si="2"/>
        <v>85711</v>
      </c>
      <c r="N40" s="582">
        <f t="shared" si="2"/>
        <v>88588</v>
      </c>
    </row>
    <row r="41" spans="1:14" ht="12.75">
      <c r="A41" s="361" t="s">
        <v>734</v>
      </c>
      <c r="B41" s="362" t="s">
        <v>735</v>
      </c>
      <c r="C41" s="363">
        <f>3884+6951</f>
        <v>10835</v>
      </c>
      <c r="D41" s="363">
        <f>4062+6951</f>
        <v>11013</v>
      </c>
      <c r="E41" s="386">
        <f>3425+5467</f>
        <v>8892</v>
      </c>
      <c r="F41" s="566"/>
      <c r="G41" s="363"/>
      <c r="H41" s="448"/>
      <c r="I41" s="482"/>
      <c r="J41" s="363"/>
      <c r="K41" s="386">
        <v>0</v>
      </c>
      <c r="L41" s="581">
        <f t="shared" si="2"/>
        <v>10835</v>
      </c>
      <c r="M41" s="363">
        <f t="shared" si="2"/>
        <v>11013</v>
      </c>
      <c r="N41" s="582">
        <f t="shared" si="2"/>
        <v>8892</v>
      </c>
    </row>
    <row r="42" spans="1:14" ht="12.75">
      <c r="A42" s="361" t="s">
        <v>736</v>
      </c>
      <c r="B42" s="362" t="s">
        <v>337</v>
      </c>
      <c r="C42" s="363">
        <v>695</v>
      </c>
      <c r="D42" s="363">
        <v>829</v>
      </c>
      <c r="E42" s="386">
        <v>1006</v>
      </c>
      <c r="F42" s="566"/>
      <c r="G42" s="363"/>
      <c r="H42" s="448"/>
      <c r="I42" s="482"/>
      <c r="J42" s="363"/>
      <c r="K42" s="386">
        <v>0</v>
      </c>
      <c r="L42" s="581">
        <f t="shared" si="2"/>
        <v>695</v>
      </c>
      <c r="M42" s="363">
        <f t="shared" si="2"/>
        <v>829</v>
      </c>
      <c r="N42" s="582">
        <f t="shared" si="2"/>
        <v>1006</v>
      </c>
    </row>
    <row r="43" spans="1:14" ht="12.75">
      <c r="A43" s="361" t="s">
        <v>737</v>
      </c>
      <c r="B43" s="362" t="s">
        <v>738</v>
      </c>
      <c r="C43" s="363">
        <f>3876+6307</f>
        <v>10183</v>
      </c>
      <c r="D43" s="363">
        <f>3876+6307</f>
        <v>10183</v>
      </c>
      <c r="E43" s="386">
        <f>4035+2973</f>
        <v>7008</v>
      </c>
      <c r="F43" s="566"/>
      <c r="G43" s="363"/>
      <c r="H43" s="448"/>
      <c r="I43" s="482"/>
      <c r="J43" s="363"/>
      <c r="K43" s="386">
        <v>0</v>
      </c>
      <c r="L43" s="581">
        <f t="shared" si="2"/>
        <v>10183</v>
      </c>
      <c r="M43" s="363">
        <f t="shared" si="2"/>
        <v>10183</v>
      </c>
      <c r="N43" s="582">
        <f t="shared" si="2"/>
        <v>7008</v>
      </c>
    </row>
    <row r="44" spans="1:14" ht="12.75">
      <c r="A44" s="361" t="s">
        <v>739</v>
      </c>
      <c r="B44" s="362" t="s">
        <v>740</v>
      </c>
      <c r="C44" s="363">
        <f>21363+648+1703</f>
        <v>23714</v>
      </c>
      <c r="D44" s="363">
        <f>21490+648+1703</f>
        <v>23841</v>
      </c>
      <c r="E44" s="386">
        <f>21679+613+803</f>
        <v>23095</v>
      </c>
      <c r="F44" s="566"/>
      <c r="G44" s="363">
        <v>40</v>
      </c>
      <c r="H44" s="448">
        <v>40</v>
      </c>
      <c r="I44" s="482"/>
      <c r="J44" s="363"/>
      <c r="K44" s="386">
        <v>0</v>
      </c>
      <c r="L44" s="581">
        <f t="shared" si="2"/>
        <v>23714</v>
      </c>
      <c r="M44" s="363">
        <f t="shared" si="2"/>
        <v>23881</v>
      </c>
      <c r="N44" s="582">
        <f t="shared" si="2"/>
        <v>23135</v>
      </c>
    </row>
    <row r="45" spans="1:14" ht="12.75">
      <c r="A45" s="361" t="s">
        <v>741</v>
      </c>
      <c r="B45" s="362" t="s">
        <v>345</v>
      </c>
      <c r="C45" s="363">
        <v>284628</v>
      </c>
      <c r="D45" s="363">
        <v>77</v>
      </c>
      <c r="E45" s="386"/>
      <c r="F45" s="566"/>
      <c r="G45" s="363"/>
      <c r="H45" s="448"/>
      <c r="I45" s="482"/>
      <c r="J45" s="363"/>
      <c r="K45" s="386">
        <v>0</v>
      </c>
      <c r="L45" s="581">
        <f t="shared" si="2"/>
        <v>284628</v>
      </c>
      <c r="M45" s="363">
        <f t="shared" si="2"/>
        <v>77</v>
      </c>
      <c r="N45" s="582">
        <f t="shared" si="2"/>
        <v>0</v>
      </c>
    </row>
    <row r="46" spans="1:14" ht="12.75">
      <c r="A46" s="361" t="s">
        <v>742</v>
      </c>
      <c r="B46" s="362" t="s">
        <v>743</v>
      </c>
      <c r="C46" s="363">
        <f>447+15+25</f>
        <v>487</v>
      </c>
      <c r="D46" s="363">
        <f>447+15+25</f>
        <v>487</v>
      </c>
      <c r="E46" s="386">
        <f>290+4+6</f>
        <v>300</v>
      </c>
      <c r="F46" s="566"/>
      <c r="G46" s="363"/>
      <c r="H46" s="448">
        <v>4</v>
      </c>
      <c r="I46" s="482"/>
      <c r="J46" s="363"/>
      <c r="K46" s="386">
        <v>0</v>
      </c>
      <c r="L46" s="581">
        <f t="shared" si="2"/>
        <v>487</v>
      </c>
      <c r="M46" s="363">
        <f t="shared" si="2"/>
        <v>487</v>
      </c>
      <c r="N46" s="582">
        <f t="shared" si="2"/>
        <v>304</v>
      </c>
    </row>
    <row r="47" spans="1:14" ht="12.75">
      <c r="A47" s="361" t="s">
        <v>744</v>
      </c>
      <c r="B47" s="362" t="s">
        <v>745</v>
      </c>
      <c r="C47" s="370"/>
      <c r="D47" s="370"/>
      <c r="E47" s="388"/>
      <c r="F47" s="569"/>
      <c r="G47" s="370">
        <v>104</v>
      </c>
      <c r="H47" s="542">
        <v>104</v>
      </c>
      <c r="I47" s="559"/>
      <c r="J47" s="370"/>
      <c r="K47" s="388">
        <v>0</v>
      </c>
      <c r="L47" s="586">
        <f t="shared" si="2"/>
        <v>0</v>
      </c>
      <c r="M47" s="370">
        <f t="shared" si="2"/>
        <v>104</v>
      </c>
      <c r="N47" s="587">
        <f t="shared" si="2"/>
        <v>104</v>
      </c>
    </row>
    <row r="48" spans="1:14" ht="12.75">
      <c r="A48" s="364" t="s">
        <v>746</v>
      </c>
      <c r="B48" s="365" t="s">
        <v>1144</v>
      </c>
      <c r="C48" s="371"/>
      <c r="D48" s="371">
        <v>54</v>
      </c>
      <c r="E48" s="389">
        <v>104</v>
      </c>
      <c r="F48" s="570"/>
      <c r="G48" s="371"/>
      <c r="H48" s="543"/>
      <c r="I48" s="560"/>
      <c r="J48" s="371"/>
      <c r="K48" s="389"/>
      <c r="L48" s="586">
        <f>SUM(C48+F48+I48)</f>
        <v>0</v>
      </c>
      <c r="M48" s="370">
        <f>SUM(D48+G48+J48)</f>
        <v>54</v>
      </c>
      <c r="N48" s="587">
        <f>SUM(E48+H48+K48)</f>
        <v>104</v>
      </c>
    </row>
    <row r="49" spans="1:14" ht="13.5" thickBot="1">
      <c r="A49" s="361" t="s">
        <v>1352</v>
      </c>
      <c r="B49" s="362" t="s">
        <v>747</v>
      </c>
      <c r="C49" s="370">
        <v>270</v>
      </c>
      <c r="D49" s="370">
        <v>788</v>
      </c>
      <c r="E49" s="388">
        <f>2084+617+16</f>
        <v>2717</v>
      </c>
      <c r="F49" s="569"/>
      <c r="G49" s="370">
        <v>345</v>
      </c>
      <c r="H49" s="542">
        <v>605</v>
      </c>
      <c r="I49" s="559"/>
      <c r="J49" s="370"/>
      <c r="K49" s="388">
        <v>0</v>
      </c>
      <c r="L49" s="586">
        <f t="shared" si="2"/>
        <v>270</v>
      </c>
      <c r="M49" s="370">
        <f t="shared" si="2"/>
        <v>1133</v>
      </c>
      <c r="N49" s="587">
        <f t="shared" si="2"/>
        <v>3322</v>
      </c>
    </row>
    <row r="50" spans="1:14" ht="12.75" customHeight="1">
      <c r="A50" s="1195" t="s">
        <v>676</v>
      </c>
      <c r="B50" s="1198" t="s">
        <v>677</v>
      </c>
      <c r="C50" s="1194" t="s">
        <v>1185</v>
      </c>
      <c r="D50" s="1208"/>
      <c r="E50" s="1208"/>
      <c r="F50" s="1211" t="s">
        <v>1185</v>
      </c>
      <c r="G50" s="1208"/>
      <c r="H50" s="1212"/>
      <c r="I50" s="1208" t="s">
        <v>1185</v>
      </c>
      <c r="J50" s="1208"/>
      <c r="K50" s="1208"/>
      <c r="L50" s="1207" t="s">
        <v>1185</v>
      </c>
      <c r="M50" s="1208"/>
      <c r="N50" s="1209"/>
    </row>
    <row r="51" spans="1:14" ht="12.75">
      <c r="A51" s="1196"/>
      <c r="B51" s="1199"/>
      <c r="C51" s="1201" t="s">
        <v>931</v>
      </c>
      <c r="D51" s="1202"/>
      <c r="E51" s="1203"/>
      <c r="F51" s="1204" t="s">
        <v>932</v>
      </c>
      <c r="G51" s="1202"/>
      <c r="H51" s="1203"/>
      <c r="I51" s="1204" t="s">
        <v>933</v>
      </c>
      <c r="J51" s="1202"/>
      <c r="K51" s="1205"/>
      <c r="L51" s="1206" t="s">
        <v>934</v>
      </c>
      <c r="M51" s="1202"/>
      <c r="N51" s="1205"/>
    </row>
    <row r="52" spans="1:14" ht="24.75" thickBot="1">
      <c r="A52" s="1197"/>
      <c r="B52" s="1200"/>
      <c r="C52" s="352" t="s">
        <v>37</v>
      </c>
      <c r="D52" s="352" t="s">
        <v>38</v>
      </c>
      <c r="E52" s="382" t="s">
        <v>20</v>
      </c>
      <c r="F52" s="428" t="s">
        <v>37</v>
      </c>
      <c r="G52" s="352" t="s">
        <v>38</v>
      </c>
      <c r="H52" s="548" t="s">
        <v>20</v>
      </c>
      <c r="I52" s="557" t="s">
        <v>37</v>
      </c>
      <c r="J52" s="352" t="s">
        <v>38</v>
      </c>
      <c r="K52" s="382" t="s">
        <v>20</v>
      </c>
      <c r="L52" s="573" t="s">
        <v>37</v>
      </c>
      <c r="M52" s="352" t="s">
        <v>38</v>
      </c>
      <c r="N52" s="574" t="s">
        <v>20</v>
      </c>
    </row>
    <row r="53" spans="1:14" ht="13.5" thickBot="1">
      <c r="A53" s="353" t="s">
        <v>221</v>
      </c>
      <c r="B53" s="354" t="s">
        <v>222</v>
      </c>
      <c r="C53" s="354" t="s">
        <v>223</v>
      </c>
      <c r="D53" s="354" t="s">
        <v>224</v>
      </c>
      <c r="E53" s="383" t="s">
        <v>225</v>
      </c>
      <c r="F53" s="353" t="s">
        <v>226</v>
      </c>
      <c r="G53" s="354" t="s">
        <v>227</v>
      </c>
      <c r="H53" s="563" t="s">
        <v>228</v>
      </c>
      <c r="I53" s="558" t="s">
        <v>229</v>
      </c>
      <c r="J53" s="354" t="s">
        <v>118</v>
      </c>
      <c r="K53" s="383" t="s">
        <v>119</v>
      </c>
      <c r="L53" s="575" t="s">
        <v>120</v>
      </c>
      <c r="M53" s="354" t="s">
        <v>121</v>
      </c>
      <c r="N53" s="576" t="s">
        <v>1461</v>
      </c>
    </row>
    <row r="54" spans="1:14" ht="13.5" thickBot="1">
      <c r="A54" s="355" t="s">
        <v>748</v>
      </c>
      <c r="B54" s="356" t="s">
        <v>749</v>
      </c>
      <c r="C54" s="357">
        <f>SUM(C55:C59)</f>
        <v>43272</v>
      </c>
      <c r="D54" s="357">
        <f aca="true" t="shared" si="7" ref="D54:K54">SUM(D55:D59)</f>
        <v>36892</v>
      </c>
      <c r="E54" s="511">
        <f t="shared" si="7"/>
        <v>8036</v>
      </c>
      <c r="F54" s="564">
        <f t="shared" si="7"/>
        <v>0</v>
      </c>
      <c r="G54" s="357">
        <f t="shared" si="7"/>
        <v>0</v>
      </c>
      <c r="H54" s="394">
        <f t="shared" si="7"/>
        <v>0</v>
      </c>
      <c r="I54" s="484">
        <f t="shared" si="7"/>
        <v>0</v>
      </c>
      <c r="J54" s="357">
        <f t="shared" si="7"/>
        <v>0</v>
      </c>
      <c r="K54" s="511">
        <f t="shared" si="7"/>
        <v>0</v>
      </c>
      <c r="L54" s="577">
        <f t="shared" si="2"/>
        <v>43272</v>
      </c>
      <c r="M54" s="357">
        <f t="shared" si="2"/>
        <v>36892</v>
      </c>
      <c r="N54" s="604">
        <f t="shared" si="2"/>
        <v>8036</v>
      </c>
    </row>
    <row r="55" spans="1:14" ht="12.75">
      <c r="A55" s="358" t="s">
        <v>750</v>
      </c>
      <c r="B55" s="359" t="s">
        <v>30</v>
      </c>
      <c r="C55" s="372">
        <v>0</v>
      </c>
      <c r="D55" s="372">
        <v>0</v>
      </c>
      <c r="E55" s="390">
        <v>0</v>
      </c>
      <c r="F55" s="571">
        <v>0</v>
      </c>
      <c r="G55" s="372">
        <v>0</v>
      </c>
      <c r="H55" s="544">
        <v>0</v>
      </c>
      <c r="I55" s="561">
        <v>0</v>
      </c>
      <c r="J55" s="372">
        <v>0</v>
      </c>
      <c r="K55" s="390">
        <v>0</v>
      </c>
      <c r="L55" s="590">
        <f t="shared" si="2"/>
        <v>0</v>
      </c>
      <c r="M55" s="372">
        <f t="shared" si="2"/>
        <v>0</v>
      </c>
      <c r="N55" s="591">
        <f t="shared" si="2"/>
        <v>0</v>
      </c>
    </row>
    <row r="56" spans="1:14" ht="12.75">
      <c r="A56" s="361" t="s">
        <v>751</v>
      </c>
      <c r="B56" s="362" t="s">
        <v>354</v>
      </c>
      <c r="C56" s="370">
        <v>43272</v>
      </c>
      <c r="D56" s="370">
        <v>36882</v>
      </c>
      <c r="E56" s="388">
        <v>8026</v>
      </c>
      <c r="F56" s="569"/>
      <c r="G56" s="370"/>
      <c r="H56" s="542"/>
      <c r="I56" s="559"/>
      <c r="J56" s="370">
        <v>0</v>
      </c>
      <c r="K56" s="388">
        <v>0</v>
      </c>
      <c r="L56" s="586">
        <f t="shared" si="2"/>
        <v>43272</v>
      </c>
      <c r="M56" s="370">
        <f t="shared" si="2"/>
        <v>36882</v>
      </c>
      <c r="N56" s="587">
        <f t="shared" si="2"/>
        <v>8026</v>
      </c>
    </row>
    <row r="57" spans="1:14" ht="12.75">
      <c r="A57" s="361" t="s">
        <v>752</v>
      </c>
      <c r="B57" s="362" t="s">
        <v>357</v>
      </c>
      <c r="C57" s="370"/>
      <c r="D57" s="370"/>
      <c r="E57" s="388"/>
      <c r="F57" s="569"/>
      <c r="G57" s="370"/>
      <c r="H57" s="542"/>
      <c r="I57" s="559"/>
      <c r="J57" s="370">
        <v>0</v>
      </c>
      <c r="K57" s="388">
        <v>0</v>
      </c>
      <c r="L57" s="586">
        <f t="shared" si="2"/>
        <v>0</v>
      </c>
      <c r="M57" s="370">
        <f t="shared" si="2"/>
        <v>0</v>
      </c>
      <c r="N57" s="587">
        <f t="shared" si="2"/>
        <v>0</v>
      </c>
    </row>
    <row r="58" spans="1:14" ht="12.75">
      <c r="A58" s="361" t="s">
        <v>753</v>
      </c>
      <c r="B58" s="362" t="s">
        <v>359</v>
      </c>
      <c r="C58" s="370">
        <v>0</v>
      </c>
      <c r="D58" s="370">
        <v>10</v>
      </c>
      <c r="E58" s="388">
        <v>10</v>
      </c>
      <c r="F58" s="569">
        <v>0</v>
      </c>
      <c r="G58" s="370">
        <v>0</v>
      </c>
      <c r="H58" s="542">
        <v>0</v>
      </c>
      <c r="I58" s="559">
        <v>0</v>
      </c>
      <c r="J58" s="370">
        <v>0</v>
      </c>
      <c r="K58" s="388">
        <v>0</v>
      </c>
      <c r="L58" s="586">
        <f t="shared" si="2"/>
        <v>0</v>
      </c>
      <c r="M58" s="370">
        <f t="shared" si="2"/>
        <v>10</v>
      </c>
      <c r="N58" s="587">
        <f t="shared" si="2"/>
        <v>10</v>
      </c>
    </row>
    <row r="59" spans="1:14" ht="13.5" thickBot="1">
      <c r="A59" s="364" t="s">
        <v>754</v>
      </c>
      <c r="B59" s="365" t="s">
        <v>361</v>
      </c>
      <c r="C59" s="371">
        <v>0</v>
      </c>
      <c r="D59" s="371">
        <v>0</v>
      </c>
      <c r="E59" s="389">
        <v>0</v>
      </c>
      <c r="F59" s="570">
        <v>0</v>
      </c>
      <c r="G59" s="371">
        <v>0</v>
      </c>
      <c r="H59" s="543">
        <v>0</v>
      </c>
      <c r="I59" s="560">
        <v>0</v>
      </c>
      <c r="J59" s="371">
        <v>0</v>
      </c>
      <c r="K59" s="389">
        <v>0</v>
      </c>
      <c r="L59" s="588">
        <f t="shared" si="2"/>
        <v>0</v>
      </c>
      <c r="M59" s="371">
        <f t="shared" si="2"/>
        <v>0</v>
      </c>
      <c r="N59" s="589">
        <f t="shared" si="2"/>
        <v>0</v>
      </c>
    </row>
    <row r="60" spans="1:14" ht="13.5" thickBot="1">
      <c r="A60" s="355" t="s">
        <v>755</v>
      </c>
      <c r="B60" s="356" t="s">
        <v>756</v>
      </c>
      <c r="C60" s="357">
        <f>SUM(C61:C64)</f>
        <v>21668</v>
      </c>
      <c r="D60" s="357">
        <f aca="true" t="shared" si="8" ref="D60:K60">SUM(D61:D64)</f>
        <v>24547</v>
      </c>
      <c r="E60" s="511">
        <f t="shared" si="8"/>
        <v>2879</v>
      </c>
      <c r="F60" s="564">
        <f t="shared" si="8"/>
        <v>0</v>
      </c>
      <c r="G60" s="357">
        <f t="shared" si="8"/>
        <v>231</v>
      </c>
      <c r="H60" s="394">
        <f t="shared" si="8"/>
        <v>231</v>
      </c>
      <c r="I60" s="484">
        <f t="shared" si="8"/>
        <v>0</v>
      </c>
      <c r="J60" s="357">
        <f t="shared" si="8"/>
        <v>0</v>
      </c>
      <c r="K60" s="511">
        <f t="shared" si="8"/>
        <v>0</v>
      </c>
      <c r="L60" s="577">
        <f t="shared" si="2"/>
        <v>21668</v>
      </c>
      <c r="M60" s="357">
        <f t="shared" si="2"/>
        <v>24778</v>
      </c>
      <c r="N60" s="604">
        <f t="shared" si="2"/>
        <v>3110</v>
      </c>
    </row>
    <row r="61" spans="1:14" ht="22.5">
      <c r="A61" s="358" t="s">
        <v>757</v>
      </c>
      <c r="B61" s="359" t="s">
        <v>758</v>
      </c>
      <c r="C61" s="360"/>
      <c r="D61" s="360"/>
      <c r="E61" s="385"/>
      <c r="F61" s="565"/>
      <c r="G61" s="360"/>
      <c r="H61" s="461"/>
      <c r="I61" s="485"/>
      <c r="J61" s="360"/>
      <c r="K61" s="385"/>
      <c r="L61" s="579">
        <f t="shared" si="2"/>
        <v>0</v>
      </c>
      <c r="M61" s="360">
        <f t="shared" si="2"/>
        <v>0</v>
      </c>
      <c r="N61" s="580">
        <f t="shared" si="2"/>
        <v>0</v>
      </c>
    </row>
    <row r="62" spans="1:14" ht="22.5">
      <c r="A62" s="361" t="s">
        <v>759</v>
      </c>
      <c r="B62" s="362" t="s">
        <v>760</v>
      </c>
      <c r="C62" s="363">
        <v>21668</v>
      </c>
      <c r="D62" s="363">
        <v>24547</v>
      </c>
      <c r="E62" s="386">
        <v>2879</v>
      </c>
      <c r="F62" s="566"/>
      <c r="G62" s="363"/>
      <c r="H62" s="448"/>
      <c r="I62" s="482"/>
      <c r="J62" s="363"/>
      <c r="K62" s="386"/>
      <c r="L62" s="581">
        <f t="shared" si="2"/>
        <v>21668</v>
      </c>
      <c r="M62" s="363">
        <f t="shared" si="2"/>
        <v>24547</v>
      </c>
      <c r="N62" s="582">
        <f t="shared" si="2"/>
        <v>2879</v>
      </c>
    </row>
    <row r="63" spans="1:14" ht="12.75">
      <c r="A63" s="361" t="s">
        <v>761</v>
      </c>
      <c r="B63" s="362" t="s">
        <v>762</v>
      </c>
      <c r="C63" s="363"/>
      <c r="D63" s="363"/>
      <c r="E63" s="386"/>
      <c r="F63" s="566"/>
      <c r="G63" s="363">
        <v>231</v>
      </c>
      <c r="H63" s="448">
        <v>231</v>
      </c>
      <c r="I63" s="482"/>
      <c r="J63" s="363"/>
      <c r="K63" s="386"/>
      <c r="L63" s="581">
        <f t="shared" si="2"/>
        <v>0</v>
      </c>
      <c r="M63" s="363">
        <f t="shared" si="2"/>
        <v>231</v>
      </c>
      <c r="N63" s="582">
        <f t="shared" si="2"/>
        <v>231</v>
      </c>
    </row>
    <row r="64" spans="1:14" ht="13.5" thickBot="1">
      <c r="A64" s="364" t="s">
        <v>763</v>
      </c>
      <c r="B64" s="365" t="s">
        <v>764</v>
      </c>
      <c r="C64" s="366"/>
      <c r="D64" s="366"/>
      <c r="E64" s="387"/>
      <c r="F64" s="567"/>
      <c r="G64" s="366"/>
      <c r="H64" s="449"/>
      <c r="I64" s="483"/>
      <c r="J64" s="366"/>
      <c r="K64" s="387"/>
      <c r="L64" s="583">
        <f t="shared" si="2"/>
        <v>0</v>
      </c>
      <c r="M64" s="366">
        <f t="shared" si="2"/>
        <v>0</v>
      </c>
      <c r="N64" s="584">
        <f t="shared" si="2"/>
        <v>0</v>
      </c>
    </row>
    <row r="65" spans="1:14" ht="13.5" thickBot="1">
      <c r="A65" s="355" t="s">
        <v>765</v>
      </c>
      <c r="B65" s="367" t="s">
        <v>766</v>
      </c>
      <c r="C65" s="357">
        <f>SUM(C66:C68)</f>
        <v>212941</v>
      </c>
      <c r="D65" s="357">
        <f aca="true" t="shared" si="9" ref="D65:K65">SUM(D66:D68)</f>
        <v>216458</v>
      </c>
      <c r="E65" s="511">
        <f t="shared" si="9"/>
        <v>24706</v>
      </c>
      <c r="F65" s="564">
        <f t="shared" si="9"/>
        <v>0</v>
      </c>
      <c r="G65" s="357">
        <f t="shared" si="9"/>
        <v>0</v>
      </c>
      <c r="H65" s="394">
        <f t="shared" si="9"/>
        <v>0</v>
      </c>
      <c r="I65" s="484">
        <f t="shared" si="9"/>
        <v>0</v>
      </c>
      <c r="J65" s="357">
        <f t="shared" si="9"/>
        <v>0</v>
      </c>
      <c r="K65" s="511">
        <f t="shared" si="9"/>
        <v>0</v>
      </c>
      <c r="L65" s="577">
        <f t="shared" si="2"/>
        <v>212941</v>
      </c>
      <c r="M65" s="357">
        <f t="shared" si="2"/>
        <v>216458</v>
      </c>
      <c r="N65" s="604">
        <f t="shared" si="2"/>
        <v>24706</v>
      </c>
    </row>
    <row r="66" spans="1:14" ht="15.75" customHeight="1">
      <c r="A66" s="361" t="s">
        <v>767</v>
      </c>
      <c r="B66" s="362" t="s">
        <v>768</v>
      </c>
      <c r="C66" s="370">
        <v>0</v>
      </c>
      <c r="D66" s="370">
        <v>0</v>
      </c>
      <c r="E66" s="388">
        <v>0</v>
      </c>
      <c r="F66" s="569">
        <v>0</v>
      </c>
      <c r="G66" s="370">
        <v>0</v>
      </c>
      <c r="H66" s="542">
        <v>0</v>
      </c>
      <c r="I66" s="559">
        <v>0</v>
      </c>
      <c r="J66" s="370">
        <v>0</v>
      </c>
      <c r="K66" s="388">
        <v>0</v>
      </c>
      <c r="L66" s="586">
        <f t="shared" si="2"/>
        <v>0</v>
      </c>
      <c r="M66" s="370">
        <f t="shared" si="2"/>
        <v>0</v>
      </c>
      <c r="N66" s="587">
        <f t="shared" si="2"/>
        <v>0</v>
      </c>
    </row>
    <row r="67" spans="1:14" ht="22.5">
      <c r="A67" s="361" t="s">
        <v>769</v>
      </c>
      <c r="B67" s="362" t="s">
        <v>770</v>
      </c>
      <c r="C67" s="370">
        <v>40540</v>
      </c>
      <c r="D67" s="370">
        <v>40540</v>
      </c>
      <c r="E67" s="388">
        <v>0</v>
      </c>
      <c r="F67" s="569">
        <v>0</v>
      </c>
      <c r="G67" s="370">
        <v>0</v>
      </c>
      <c r="H67" s="542">
        <v>0</v>
      </c>
      <c r="I67" s="559">
        <v>0</v>
      </c>
      <c r="J67" s="370">
        <v>0</v>
      </c>
      <c r="K67" s="388">
        <v>0</v>
      </c>
      <c r="L67" s="586">
        <f t="shared" si="2"/>
        <v>40540</v>
      </c>
      <c r="M67" s="370">
        <f t="shared" si="2"/>
        <v>40540</v>
      </c>
      <c r="N67" s="587">
        <f t="shared" si="2"/>
        <v>0</v>
      </c>
    </row>
    <row r="68" spans="1:14" ht="12.75">
      <c r="A68" s="361" t="s">
        <v>771</v>
      </c>
      <c r="B68" s="362" t="s">
        <v>772</v>
      </c>
      <c r="C68" s="370">
        <v>172401</v>
      </c>
      <c r="D68" s="370">
        <v>175918</v>
      </c>
      <c r="E68" s="388">
        <v>24706</v>
      </c>
      <c r="F68" s="569">
        <v>0</v>
      </c>
      <c r="G68" s="370">
        <v>0</v>
      </c>
      <c r="H68" s="542">
        <v>0</v>
      </c>
      <c r="I68" s="559">
        <v>0</v>
      </c>
      <c r="J68" s="370">
        <v>0</v>
      </c>
      <c r="K68" s="388">
        <v>0</v>
      </c>
      <c r="L68" s="586">
        <f t="shared" si="2"/>
        <v>172401</v>
      </c>
      <c r="M68" s="370">
        <f t="shared" si="2"/>
        <v>175918</v>
      </c>
      <c r="N68" s="587">
        <f t="shared" si="2"/>
        <v>24706</v>
      </c>
    </row>
    <row r="69" spans="1:14" ht="13.5" thickBot="1">
      <c r="A69" s="364" t="s">
        <v>773</v>
      </c>
      <c r="B69" s="365" t="s">
        <v>774</v>
      </c>
      <c r="C69" s="370">
        <v>0</v>
      </c>
      <c r="D69" s="370">
        <v>0</v>
      </c>
      <c r="E69" s="388">
        <v>0</v>
      </c>
      <c r="F69" s="569">
        <v>0</v>
      </c>
      <c r="G69" s="370">
        <v>0</v>
      </c>
      <c r="H69" s="542">
        <v>0</v>
      </c>
      <c r="I69" s="559">
        <v>0</v>
      </c>
      <c r="J69" s="370">
        <v>0</v>
      </c>
      <c r="K69" s="388">
        <v>0</v>
      </c>
      <c r="L69" s="586">
        <f t="shared" si="2"/>
        <v>0</v>
      </c>
      <c r="M69" s="370">
        <f t="shared" si="2"/>
        <v>0</v>
      </c>
      <c r="N69" s="587">
        <f t="shared" si="2"/>
        <v>0</v>
      </c>
    </row>
    <row r="70" spans="1:14" ht="13.5" thickBot="1">
      <c r="A70" s="355" t="s">
        <v>775</v>
      </c>
      <c r="B70" s="356" t="s">
        <v>776</v>
      </c>
      <c r="C70" s="369">
        <f aca="true" t="shared" si="10" ref="C70:K70">SUM(C65+C60+C54+C38+C32+C25+C18+C11)</f>
        <v>2158988</v>
      </c>
      <c r="D70" s="369">
        <f t="shared" si="10"/>
        <v>1923930</v>
      </c>
      <c r="E70" s="531">
        <f t="shared" si="10"/>
        <v>1731055</v>
      </c>
      <c r="F70" s="568">
        <f t="shared" si="10"/>
        <v>495421</v>
      </c>
      <c r="G70" s="369">
        <f t="shared" si="10"/>
        <v>531514</v>
      </c>
      <c r="H70" s="636">
        <f t="shared" si="10"/>
        <v>502852</v>
      </c>
      <c r="I70" s="486">
        <f t="shared" si="10"/>
        <v>29532</v>
      </c>
      <c r="J70" s="369">
        <f t="shared" si="10"/>
        <v>29532</v>
      </c>
      <c r="K70" s="369">
        <f t="shared" si="10"/>
        <v>29534</v>
      </c>
      <c r="L70" s="585">
        <f t="shared" si="2"/>
        <v>2683941</v>
      </c>
      <c r="M70" s="369">
        <f t="shared" si="2"/>
        <v>2484976</v>
      </c>
      <c r="N70" s="637">
        <f t="shared" si="2"/>
        <v>2263441</v>
      </c>
    </row>
    <row r="71" spans="1:14" ht="13.5" thickBot="1">
      <c r="A71" s="373" t="s">
        <v>777</v>
      </c>
      <c r="B71" s="367" t="s">
        <v>778</v>
      </c>
      <c r="C71" s="357">
        <f>SUM(C72:C74)</f>
        <v>0</v>
      </c>
      <c r="D71" s="357">
        <f aca="true" t="shared" si="11" ref="D71:K71">SUM(D72:D74)</f>
        <v>0</v>
      </c>
      <c r="E71" s="511">
        <f t="shared" si="11"/>
        <v>0</v>
      </c>
      <c r="F71" s="564">
        <f t="shared" si="11"/>
        <v>0</v>
      </c>
      <c r="G71" s="357">
        <f t="shared" si="11"/>
        <v>123644</v>
      </c>
      <c r="H71" s="394">
        <f t="shared" si="11"/>
        <v>123644</v>
      </c>
      <c r="I71" s="484">
        <f t="shared" si="11"/>
        <v>0</v>
      </c>
      <c r="J71" s="357">
        <f t="shared" si="11"/>
        <v>0</v>
      </c>
      <c r="K71" s="511">
        <f t="shared" si="11"/>
        <v>0</v>
      </c>
      <c r="L71" s="577">
        <f t="shared" si="2"/>
        <v>0</v>
      </c>
      <c r="M71" s="357">
        <f t="shared" si="2"/>
        <v>123644</v>
      </c>
      <c r="N71" s="604">
        <f t="shared" si="2"/>
        <v>123644</v>
      </c>
    </row>
    <row r="72" spans="1:14" ht="12.75">
      <c r="A72" s="358" t="s">
        <v>779</v>
      </c>
      <c r="B72" s="359" t="s">
        <v>780</v>
      </c>
      <c r="C72" s="370"/>
      <c r="D72" s="370"/>
      <c r="E72" s="388"/>
      <c r="F72" s="569"/>
      <c r="G72" s="370"/>
      <c r="H72" s="542"/>
      <c r="I72" s="559"/>
      <c r="J72" s="370">
        <v>0</v>
      </c>
      <c r="K72" s="388">
        <v>0</v>
      </c>
      <c r="L72" s="586">
        <f t="shared" si="2"/>
        <v>0</v>
      </c>
      <c r="M72" s="370">
        <f t="shared" si="2"/>
        <v>0</v>
      </c>
      <c r="N72" s="587">
        <f t="shared" si="2"/>
        <v>0</v>
      </c>
    </row>
    <row r="73" spans="1:14" ht="12.75">
      <c r="A73" s="361" t="s">
        <v>781</v>
      </c>
      <c r="B73" s="362" t="s">
        <v>782</v>
      </c>
      <c r="C73" s="370">
        <v>0</v>
      </c>
      <c r="D73" s="370">
        <v>0</v>
      </c>
      <c r="E73" s="388">
        <v>0</v>
      </c>
      <c r="F73" s="569">
        <v>0</v>
      </c>
      <c r="G73" s="370">
        <v>123644</v>
      </c>
      <c r="H73" s="542">
        <v>123644</v>
      </c>
      <c r="I73" s="559">
        <v>0</v>
      </c>
      <c r="J73" s="370">
        <v>0</v>
      </c>
      <c r="K73" s="388">
        <v>0</v>
      </c>
      <c r="L73" s="586">
        <f t="shared" si="2"/>
        <v>0</v>
      </c>
      <c r="M73" s="370">
        <f t="shared" si="2"/>
        <v>123644</v>
      </c>
      <c r="N73" s="587">
        <f t="shared" si="2"/>
        <v>123644</v>
      </c>
    </row>
    <row r="74" spans="1:14" ht="13.5" thickBot="1">
      <c r="A74" s="364" t="s">
        <v>783</v>
      </c>
      <c r="B74" s="374" t="s">
        <v>784</v>
      </c>
      <c r="C74" s="370">
        <v>0</v>
      </c>
      <c r="D74" s="370">
        <v>0</v>
      </c>
      <c r="E74" s="388">
        <v>0</v>
      </c>
      <c r="F74" s="569">
        <v>0</v>
      </c>
      <c r="G74" s="370">
        <v>0</v>
      </c>
      <c r="H74" s="542">
        <v>0</v>
      </c>
      <c r="I74" s="559">
        <v>0</v>
      </c>
      <c r="J74" s="370">
        <v>0</v>
      </c>
      <c r="K74" s="388">
        <v>0</v>
      </c>
      <c r="L74" s="586">
        <f t="shared" si="2"/>
        <v>0</v>
      </c>
      <c r="M74" s="370">
        <f t="shared" si="2"/>
        <v>0</v>
      </c>
      <c r="N74" s="587">
        <f t="shared" si="2"/>
        <v>0</v>
      </c>
    </row>
    <row r="75" spans="1:14" ht="13.5" thickBot="1">
      <c r="A75" s="373" t="s">
        <v>785</v>
      </c>
      <c r="B75" s="367" t="s">
        <v>786</v>
      </c>
      <c r="C75" s="357">
        <f>SUM(C76:C79)</f>
        <v>0</v>
      </c>
      <c r="D75" s="357">
        <f aca="true" t="shared" si="12" ref="D75:K75">SUM(D76:D79)</f>
        <v>0</v>
      </c>
      <c r="E75" s="511">
        <f t="shared" si="12"/>
        <v>0</v>
      </c>
      <c r="F75" s="564">
        <f t="shared" si="12"/>
        <v>0</v>
      </c>
      <c r="G75" s="357">
        <f t="shared" si="12"/>
        <v>0</v>
      </c>
      <c r="H75" s="394">
        <f t="shared" si="12"/>
        <v>0</v>
      </c>
      <c r="I75" s="484">
        <f t="shared" si="12"/>
        <v>0</v>
      </c>
      <c r="J75" s="357">
        <f t="shared" si="12"/>
        <v>0</v>
      </c>
      <c r="K75" s="511">
        <f t="shared" si="12"/>
        <v>0</v>
      </c>
      <c r="L75" s="577">
        <f t="shared" si="2"/>
        <v>0</v>
      </c>
      <c r="M75" s="357">
        <f t="shared" si="2"/>
        <v>0</v>
      </c>
      <c r="N75" s="604">
        <f t="shared" si="2"/>
        <v>0</v>
      </c>
    </row>
    <row r="76" spans="1:14" ht="12.75">
      <c r="A76" s="358" t="s">
        <v>787</v>
      </c>
      <c r="B76" s="359" t="s">
        <v>788</v>
      </c>
      <c r="C76" s="370">
        <v>0</v>
      </c>
      <c r="D76" s="370">
        <v>0</v>
      </c>
      <c r="E76" s="388">
        <v>0</v>
      </c>
      <c r="F76" s="569">
        <v>0</v>
      </c>
      <c r="G76" s="370">
        <v>0</v>
      </c>
      <c r="H76" s="542">
        <v>0</v>
      </c>
      <c r="I76" s="559">
        <v>0</v>
      </c>
      <c r="J76" s="370">
        <v>0</v>
      </c>
      <c r="K76" s="388">
        <v>0</v>
      </c>
      <c r="L76" s="586">
        <f t="shared" si="2"/>
        <v>0</v>
      </c>
      <c r="M76" s="370">
        <f t="shared" si="2"/>
        <v>0</v>
      </c>
      <c r="N76" s="587">
        <f t="shared" si="2"/>
        <v>0</v>
      </c>
    </row>
    <row r="77" spans="1:14" ht="12.75">
      <c r="A77" s="361" t="s">
        <v>789</v>
      </c>
      <c r="B77" s="362" t="s">
        <v>790</v>
      </c>
      <c r="C77" s="370">
        <v>0</v>
      </c>
      <c r="D77" s="370">
        <v>0</v>
      </c>
      <c r="E77" s="388">
        <v>0</v>
      </c>
      <c r="F77" s="569">
        <v>0</v>
      </c>
      <c r="G77" s="370">
        <v>0</v>
      </c>
      <c r="H77" s="542">
        <v>0</v>
      </c>
      <c r="I77" s="559">
        <v>0</v>
      </c>
      <c r="J77" s="370">
        <v>0</v>
      </c>
      <c r="K77" s="388">
        <v>0</v>
      </c>
      <c r="L77" s="586">
        <f t="shared" si="2"/>
        <v>0</v>
      </c>
      <c r="M77" s="370">
        <f t="shared" si="2"/>
        <v>0</v>
      </c>
      <c r="N77" s="587">
        <f t="shared" si="2"/>
        <v>0</v>
      </c>
    </row>
    <row r="78" spans="1:14" ht="12.75">
      <c r="A78" s="361" t="s">
        <v>791</v>
      </c>
      <c r="B78" s="362" t="s">
        <v>792</v>
      </c>
      <c r="C78" s="370">
        <v>0</v>
      </c>
      <c r="D78" s="370">
        <v>0</v>
      </c>
      <c r="E78" s="388">
        <v>0</v>
      </c>
      <c r="F78" s="569">
        <v>0</v>
      </c>
      <c r="G78" s="370">
        <v>0</v>
      </c>
      <c r="H78" s="542">
        <v>0</v>
      </c>
      <c r="I78" s="559">
        <v>0</v>
      </c>
      <c r="J78" s="370">
        <v>0</v>
      </c>
      <c r="K78" s="388">
        <v>0</v>
      </c>
      <c r="L78" s="586">
        <f t="shared" si="2"/>
        <v>0</v>
      </c>
      <c r="M78" s="370">
        <f t="shared" si="2"/>
        <v>0</v>
      </c>
      <c r="N78" s="587">
        <f t="shared" si="2"/>
        <v>0</v>
      </c>
    </row>
    <row r="79" spans="1:14" ht="13.5" thickBot="1">
      <c r="A79" s="364" t="s">
        <v>793</v>
      </c>
      <c r="B79" s="365" t="s">
        <v>794</v>
      </c>
      <c r="C79" s="370">
        <v>0</v>
      </c>
      <c r="D79" s="370">
        <v>0</v>
      </c>
      <c r="E79" s="388">
        <v>0</v>
      </c>
      <c r="F79" s="569">
        <v>0</v>
      </c>
      <c r="G79" s="370">
        <v>0</v>
      </c>
      <c r="H79" s="542">
        <v>0</v>
      </c>
      <c r="I79" s="559">
        <v>0</v>
      </c>
      <c r="J79" s="370">
        <v>0</v>
      </c>
      <c r="K79" s="388">
        <v>0</v>
      </c>
      <c r="L79" s="586">
        <f t="shared" si="2"/>
        <v>0</v>
      </c>
      <c r="M79" s="370">
        <f t="shared" si="2"/>
        <v>0</v>
      </c>
      <c r="N79" s="587">
        <f t="shared" si="2"/>
        <v>0</v>
      </c>
    </row>
    <row r="80" spans="1:14" ht="13.5" thickBot="1">
      <c r="A80" s="373" t="s">
        <v>795</v>
      </c>
      <c r="B80" s="367" t="s">
        <v>796</v>
      </c>
      <c r="C80" s="357">
        <f>SUM(C81:C82)</f>
        <v>4850</v>
      </c>
      <c r="D80" s="357">
        <f aca="true" t="shared" si="13" ref="D80:K80">SUM(D81:D82)</f>
        <v>139779</v>
      </c>
      <c r="E80" s="511">
        <f t="shared" si="13"/>
        <v>131727</v>
      </c>
      <c r="F80" s="564">
        <f t="shared" si="13"/>
        <v>0</v>
      </c>
      <c r="G80" s="357">
        <f t="shared" si="13"/>
        <v>0</v>
      </c>
      <c r="H80" s="394">
        <f t="shared" si="13"/>
        <v>0</v>
      </c>
      <c r="I80" s="484">
        <f t="shared" si="13"/>
        <v>0</v>
      </c>
      <c r="J80" s="357">
        <f t="shared" si="13"/>
        <v>0</v>
      </c>
      <c r="K80" s="511">
        <f t="shared" si="13"/>
        <v>0</v>
      </c>
      <c r="L80" s="577">
        <f aca="true" t="shared" si="14" ref="L80:L94">SUM(C80+F80+I80)</f>
        <v>4850</v>
      </c>
      <c r="M80" s="357">
        <f aca="true" t="shared" si="15" ref="M80:N94">SUM(D80+G80+J80)</f>
        <v>139779</v>
      </c>
      <c r="N80" s="604">
        <f t="shared" si="15"/>
        <v>131727</v>
      </c>
    </row>
    <row r="81" spans="1:14" ht="12.75">
      <c r="A81" s="358" t="s">
        <v>797</v>
      </c>
      <c r="B81" s="359" t="s">
        <v>403</v>
      </c>
      <c r="C81" s="370">
        <f>3569+1281</f>
        <v>4850</v>
      </c>
      <c r="D81" s="370">
        <f>125715+3234+10830</f>
        <v>139779</v>
      </c>
      <c r="E81" s="388">
        <f>125715+3234+2778</f>
        <v>131727</v>
      </c>
      <c r="F81" s="569"/>
      <c r="G81" s="370"/>
      <c r="H81" s="542"/>
      <c r="I81" s="559"/>
      <c r="J81" s="370">
        <v>0</v>
      </c>
      <c r="K81" s="388">
        <v>0</v>
      </c>
      <c r="L81" s="586">
        <f t="shared" si="14"/>
        <v>4850</v>
      </c>
      <c r="M81" s="370">
        <f t="shared" si="15"/>
        <v>139779</v>
      </c>
      <c r="N81" s="587">
        <f t="shared" si="15"/>
        <v>131727</v>
      </c>
    </row>
    <row r="82" spans="1:14" ht="13.5" thickBot="1">
      <c r="A82" s="364" t="s">
        <v>798</v>
      </c>
      <c r="B82" s="365" t="s">
        <v>405</v>
      </c>
      <c r="C82" s="370">
        <v>0</v>
      </c>
      <c r="D82" s="370">
        <v>0</v>
      </c>
      <c r="E82" s="388">
        <v>0</v>
      </c>
      <c r="F82" s="569">
        <v>0</v>
      </c>
      <c r="G82" s="370">
        <v>0</v>
      </c>
      <c r="H82" s="542">
        <v>0</v>
      </c>
      <c r="I82" s="559">
        <v>0</v>
      </c>
      <c r="J82" s="370">
        <v>0</v>
      </c>
      <c r="K82" s="388">
        <v>0</v>
      </c>
      <c r="L82" s="586">
        <f t="shared" si="14"/>
        <v>0</v>
      </c>
      <c r="M82" s="370">
        <f t="shared" si="15"/>
        <v>0</v>
      </c>
      <c r="N82" s="587">
        <f t="shared" si="15"/>
        <v>0</v>
      </c>
    </row>
    <row r="83" spans="1:14" ht="13.5" thickBot="1">
      <c r="A83" s="373" t="s">
        <v>799</v>
      </c>
      <c r="B83" s="367" t="s">
        <v>800</v>
      </c>
      <c r="C83" s="357">
        <f>SUM(C84:C86)</f>
        <v>375327</v>
      </c>
      <c r="D83" s="357">
        <f aca="true" t="shared" si="16" ref="D83:K83">SUM(D84:D86)</f>
        <v>343754</v>
      </c>
      <c r="E83" s="511">
        <f t="shared" si="16"/>
        <v>361389</v>
      </c>
      <c r="F83" s="564">
        <f t="shared" si="16"/>
        <v>6245</v>
      </c>
      <c r="G83" s="357">
        <f t="shared" si="16"/>
        <v>6925</v>
      </c>
      <c r="H83" s="394">
        <f t="shared" si="16"/>
        <v>6925</v>
      </c>
      <c r="I83" s="484">
        <f t="shared" si="16"/>
        <v>15</v>
      </c>
      <c r="J83" s="357">
        <f t="shared" si="16"/>
        <v>4</v>
      </c>
      <c r="K83" s="511">
        <f t="shared" si="16"/>
        <v>4</v>
      </c>
      <c r="L83" s="577">
        <f t="shared" si="14"/>
        <v>381587</v>
      </c>
      <c r="M83" s="357">
        <f t="shared" si="15"/>
        <v>350683</v>
      </c>
      <c r="N83" s="604">
        <f t="shared" si="15"/>
        <v>368318</v>
      </c>
    </row>
    <row r="84" spans="1:14" ht="12.75">
      <c r="A84" s="358" t="s">
        <v>801</v>
      </c>
      <c r="B84" s="359" t="s">
        <v>802</v>
      </c>
      <c r="C84" s="370">
        <v>0</v>
      </c>
      <c r="D84" s="370">
        <v>0</v>
      </c>
      <c r="E84" s="388">
        <v>17636</v>
      </c>
      <c r="F84" s="569">
        <v>0</v>
      </c>
      <c r="G84" s="370">
        <v>0</v>
      </c>
      <c r="H84" s="542">
        <v>0</v>
      </c>
      <c r="I84" s="559">
        <v>0</v>
      </c>
      <c r="J84" s="370">
        <v>0</v>
      </c>
      <c r="K84" s="388">
        <v>0</v>
      </c>
      <c r="L84" s="586">
        <f t="shared" si="14"/>
        <v>0</v>
      </c>
      <c r="M84" s="370">
        <f t="shared" si="15"/>
        <v>0</v>
      </c>
      <c r="N84" s="587">
        <f t="shared" si="15"/>
        <v>17636</v>
      </c>
    </row>
    <row r="85" spans="1:14" ht="12.75">
      <c r="A85" s="361" t="s">
        <v>803</v>
      </c>
      <c r="B85" s="362" t="s">
        <v>804</v>
      </c>
      <c r="C85" s="370">
        <v>0</v>
      </c>
      <c r="D85" s="370">
        <v>0</v>
      </c>
      <c r="E85" s="388">
        <v>0</v>
      </c>
      <c r="F85" s="569">
        <v>0</v>
      </c>
      <c r="G85" s="370">
        <v>0</v>
      </c>
      <c r="H85" s="542">
        <v>0</v>
      </c>
      <c r="I85" s="559">
        <v>0</v>
      </c>
      <c r="J85" s="370">
        <v>0</v>
      </c>
      <c r="K85" s="388">
        <v>0</v>
      </c>
      <c r="L85" s="586">
        <f t="shared" si="14"/>
        <v>0</v>
      </c>
      <c r="M85" s="370">
        <f t="shared" si="15"/>
        <v>0</v>
      </c>
      <c r="N85" s="587">
        <f t="shared" si="15"/>
        <v>0</v>
      </c>
    </row>
    <row r="86" spans="1:14" ht="13.5" thickBot="1">
      <c r="A86" s="364" t="s">
        <v>805</v>
      </c>
      <c r="B86" s="368" t="s">
        <v>1095</v>
      </c>
      <c r="C86" s="370">
        <f>193557+181770</f>
        <v>375327</v>
      </c>
      <c r="D86" s="370">
        <f>159348+184406</f>
        <v>343754</v>
      </c>
      <c r="E86" s="388">
        <f>159348+184405</f>
        <v>343753</v>
      </c>
      <c r="F86" s="569">
        <v>6245</v>
      </c>
      <c r="G86" s="370">
        <v>6925</v>
      </c>
      <c r="H86" s="542">
        <v>6925</v>
      </c>
      <c r="I86" s="559">
        <v>15</v>
      </c>
      <c r="J86" s="370">
        <v>4</v>
      </c>
      <c r="K86" s="388">
        <v>4</v>
      </c>
      <c r="L86" s="586">
        <f t="shared" si="14"/>
        <v>381587</v>
      </c>
      <c r="M86" s="370">
        <f t="shared" si="15"/>
        <v>350683</v>
      </c>
      <c r="N86" s="587">
        <f t="shared" si="15"/>
        <v>350682</v>
      </c>
    </row>
    <row r="87" spans="1:14" ht="13.5" thickBot="1">
      <c r="A87" s="373" t="s">
        <v>806</v>
      </c>
      <c r="B87" s="367" t="s">
        <v>807</v>
      </c>
      <c r="C87" s="357">
        <f>SUM(C88:C91)</f>
        <v>0</v>
      </c>
      <c r="D87" s="357">
        <f aca="true" t="shared" si="17" ref="D87:K87">SUM(D88:D91)</f>
        <v>0</v>
      </c>
      <c r="E87" s="511">
        <f t="shared" si="17"/>
        <v>0</v>
      </c>
      <c r="F87" s="564">
        <f t="shared" si="17"/>
        <v>0</v>
      </c>
      <c r="G87" s="357">
        <f t="shared" si="17"/>
        <v>0</v>
      </c>
      <c r="H87" s="394">
        <f t="shared" si="17"/>
        <v>0</v>
      </c>
      <c r="I87" s="484">
        <f t="shared" si="17"/>
        <v>0</v>
      </c>
      <c r="J87" s="357">
        <f t="shared" si="17"/>
        <v>0</v>
      </c>
      <c r="K87" s="511">
        <f t="shared" si="17"/>
        <v>0</v>
      </c>
      <c r="L87" s="577">
        <f t="shared" si="14"/>
        <v>0</v>
      </c>
      <c r="M87" s="357">
        <f t="shared" si="15"/>
        <v>0</v>
      </c>
      <c r="N87" s="604">
        <f t="shared" si="15"/>
        <v>0</v>
      </c>
    </row>
    <row r="88" spans="1:14" ht="12.75">
      <c r="A88" s="375" t="s">
        <v>808</v>
      </c>
      <c r="B88" s="359" t="s">
        <v>809</v>
      </c>
      <c r="C88" s="370">
        <v>0</v>
      </c>
      <c r="D88" s="370">
        <v>0</v>
      </c>
      <c r="E88" s="388">
        <v>0</v>
      </c>
      <c r="F88" s="569">
        <v>0</v>
      </c>
      <c r="G88" s="370">
        <v>0</v>
      </c>
      <c r="H88" s="542">
        <v>0</v>
      </c>
      <c r="I88" s="559">
        <v>0</v>
      </c>
      <c r="J88" s="370">
        <v>0</v>
      </c>
      <c r="K88" s="388">
        <v>0</v>
      </c>
      <c r="L88" s="586">
        <f t="shared" si="14"/>
        <v>0</v>
      </c>
      <c r="M88" s="370">
        <f t="shared" si="15"/>
        <v>0</v>
      </c>
      <c r="N88" s="587">
        <f t="shared" si="15"/>
        <v>0</v>
      </c>
    </row>
    <row r="89" spans="1:14" ht="12.75">
      <c r="A89" s="376" t="s">
        <v>810</v>
      </c>
      <c r="B89" s="362" t="s">
        <v>811</v>
      </c>
      <c r="C89" s="370">
        <v>0</v>
      </c>
      <c r="D89" s="370">
        <v>0</v>
      </c>
      <c r="E89" s="388">
        <v>0</v>
      </c>
      <c r="F89" s="569">
        <v>0</v>
      </c>
      <c r="G89" s="370">
        <v>0</v>
      </c>
      <c r="H89" s="542">
        <v>0</v>
      </c>
      <c r="I89" s="559">
        <v>0</v>
      </c>
      <c r="J89" s="370">
        <v>0</v>
      </c>
      <c r="K89" s="388">
        <v>0</v>
      </c>
      <c r="L89" s="586">
        <f t="shared" si="14"/>
        <v>0</v>
      </c>
      <c r="M89" s="370">
        <f t="shared" si="15"/>
        <v>0</v>
      </c>
      <c r="N89" s="587">
        <f t="shared" si="15"/>
        <v>0</v>
      </c>
    </row>
    <row r="90" spans="1:14" ht="12.75">
      <c r="A90" s="376" t="s">
        <v>812</v>
      </c>
      <c r="B90" s="362" t="s">
        <v>813</v>
      </c>
      <c r="C90" s="370">
        <v>0</v>
      </c>
      <c r="D90" s="370">
        <v>0</v>
      </c>
      <c r="E90" s="388">
        <v>0</v>
      </c>
      <c r="F90" s="569">
        <v>0</v>
      </c>
      <c r="G90" s="370">
        <v>0</v>
      </c>
      <c r="H90" s="542">
        <v>0</v>
      </c>
      <c r="I90" s="559">
        <v>0</v>
      </c>
      <c r="J90" s="370">
        <v>0</v>
      </c>
      <c r="K90" s="388">
        <v>0</v>
      </c>
      <c r="L90" s="586">
        <f t="shared" si="14"/>
        <v>0</v>
      </c>
      <c r="M90" s="370">
        <f t="shared" si="15"/>
        <v>0</v>
      </c>
      <c r="N90" s="587">
        <f t="shared" si="15"/>
        <v>0</v>
      </c>
    </row>
    <row r="91" spans="1:14" ht="13.5" thickBot="1">
      <c r="A91" s="377" t="s">
        <v>814</v>
      </c>
      <c r="B91" s="368" t="s">
        <v>815</v>
      </c>
      <c r="C91" s="370">
        <v>0</v>
      </c>
      <c r="D91" s="370">
        <v>0</v>
      </c>
      <c r="E91" s="388">
        <v>0</v>
      </c>
      <c r="F91" s="569">
        <v>0</v>
      </c>
      <c r="G91" s="370">
        <v>0</v>
      </c>
      <c r="H91" s="542">
        <v>0</v>
      </c>
      <c r="I91" s="559">
        <v>0</v>
      </c>
      <c r="J91" s="370">
        <v>0</v>
      </c>
      <c r="K91" s="388">
        <v>0</v>
      </c>
      <c r="L91" s="586">
        <f t="shared" si="14"/>
        <v>0</v>
      </c>
      <c r="M91" s="370">
        <f t="shared" si="15"/>
        <v>0</v>
      </c>
      <c r="N91" s="587">
        <f t="shared" si="15"/>
        <v>0</v>
      </c>
    </row>
    <row r="92" spans="1:14" ht="13.5" thickBot="1">
      <c r="A92" s="373" t="s">
        <v>816</v>
      </c>
      <c r="B92" s="367" t="s">
        <v>419</v>
      </c>
      <c r="C92" s="378">
        <v>0</v>
      </c>
      <c r="D92" s="378">
        <v>0</v>
      </c>
      <c r="E92" s="391">
        <v>0</v>
      </c>
      <c r="F92" s="572">
        <v>0</v>
      </c>
      <c r="G92" s="378">
        <v>0</v>
      </c>
      <c r="H92" s="545">
        <v>0</v>
      </c>
      <c r="I92" s="562">
        <v>0</v>
      </c>
      <c r="J92" s="378">
        <v>0</v>
      </c>
      <c r="K92" s="391">
        <v>0</v>
      </c>
      <c r="L92" s="592">
        <f t="shared" si="14"/>
        <v>0</v>
      </c>
      <c r="M92" s="378">
        <f t="shared" si="15"/>
        <v>0</v>
      </c>
      <c r="N92" s="593">
        <f t="shared" si="15"/>
        <v>0</v>
      </c>
    </row>
    <row r="93" spans="1:14" ht="13.5" thickBot="1">
      <c r="A93" s="373" t="s">
        <v>817</v>
      </c>
      <c r="B93" s="379" t="s">
        <v>818</v>
      </c>
      <c r="C93" s="369">
        <f aca="true" t="shared" si="18" ref="C93:K93">SUM(C71+C75+C80+C83+C87+C92)</f>
        <v>380177</v>
      </c>
      <c r="D93" s="369">
        <f t="shared" si="18"/>
        <v>483533</v>
      </c>
      <c r="E93" s="531">
        <f t="shared" si="18"/>
        <v>493116</v>
      </c>
      <c r="F93" s="568">
        <f t="shared" si="18"/>
        <v>6245</v>
      </c>
      <c r="G93" s="369">
        <f t="shared" si="18"/>
        <v>130569</v>
      </c>
      <c r="H93" s="636">
        <f t="shared" si="18"/>
        <v>130569</v>
      </c>
      <c r="I93" s="486">
        <f t="shared" si="18"/>
        <v>15</v>
      </c>
      <c r="J93" s="369">
        <f t="shared" si="18"/>
        <v>4</v>
      </c>
      <c r="K93" s="531">
        <f t="shared" si="18"/>
        <v>4</v>
      </c>
      <c r="L93" s="585">
        <f t="shared" si="14"/>
        <v>386437</v>
      </c>
      <c r="M93" s="369">
        <f t="shared" si="15"/>
        <v>614106</v>
      </c>
      <c r="N93" s="637">
        <f t="shared" si="15"/>
        <v>623689</v>
      </c>
    </row>
    <row r="94" spans="1:14" ht="21.75" thickBot="1">
      <c r="A94" s="380" t="s">
        <v>819</v>
      </c>
      <c r="B94" s="381" t="s">
        <v>820</v>
      </c>
      <c r="C94" s="369">
        <f aca="true" t="shared" si="19" ref="C94:K94">SUM(C70+C93)</f>
        <v>2539165</v>
      </c>
      <c r="D94" s="369">
        <f t="shared" si="19"/>
        <v>2407463</v>
      </c>
      <c r="E94" s="531">
        <f t="shared" si="19"/>
        <v>2224171</v>
      </c>
      <c r="F94" s="568">
        <f t="shared" si="19"/>
        <v>501666</v>
      </c>
      <c r="G94" s="369">
        <f t="shared" si="19"/>
        <v>662083</v>
      </c>
      <c r="H94" s="636">
        <f t="shared" si="19"/>
        <v>633421</v>
      </c>
      <c r="I94" s="486">
        <f t="shared" si="19"/>
        <v>29547</v>
      </c>
      <c r="J94" s="369">
        <f t="shared" si="19"/>
        <v>29536</v>
      </c>
      <c r="K94" s="531">
        <f t="shared" si="19"/>
        <v>29538</v>
      </c>
      <c r="L94" s="585">
        <f t="shared" si="14"/>
        <v>3070378</v>
      </c>
      <c r="M94" s="369">
        <f t="shared" si="15"/>
        <v>3099082</v>
      </c>
      <c r="N94" s="637">
        <f t="shared" si="15"/>
        <v>2887130</v>
      </c>
    </row>
    <row r="95" spans="1:14" ht="13.5" thickBot="1">
      <c r="A95" s="355" t="s">
        <v>1101</v>
      </c>
      <c r="B95" s="464" t="s">
        <v>1098</v>
      </c>
      <c r="C95" s="468">
        <f>-193557-181770</f>
        <v>-375327</v>
      </c>
      <c r="D95" s="468">
        <f>-159337-184406-11</f>
        <v>-343754</v>
      </c>
      <c r="E95" s="518">
        <f>-159337-184405-11</f>
        <v>-343753</v>
      </c>
      <c r="F95" s="629">
        <v>-6245</v>
      </c>
      <c r="G95" s="468">
        <v>-6925</v>
      </c>
      <c r="H95" s="642">
        <v>-6925</v>
      </c>
      <c r="I95" s="624">
        <v>-15</v>
      </c>
      <c r="J95" s="468">
        <v>-4</v>
      </c>
      <c r="K95" s="518">
        <v>-4</v>
      </c>
      <c r="L95" s="601">
        <f>SUM(C95+F95+I95)</f>
        <v>-381587</v>
      </c>
      <c r="M95" s="468">
        <f>SUM(D95+G95+J95)</f>
        <v>-350683</v>
      </c>
      <c r="N95" s="644">
        <f>SUM(E95+H95+K95)</f>
        <v>-350682</v>
      </c>
    </row>
    <row r="96" spans="1:14" ht="24" customHeight="1" thickBot="1">
      <c r="A96" s="470" t="s">
        <v>1102</v>
      </c>
      <c r="B96" s="381" t="s">
        <v>1100</v>
      </c>
      <c r="C96" s="468">
        <f aca="true" t="shared" si="20" ref="C96:N96">SUM(C94:C95)</f>
        <v>2163838</v>
      </c>
      <c r="D96" s="468">
        <f t="shared" si="20"/>
        <v>2063709</v>
      </c>
      <c r="E96" s="518">
        <f t="shared" si="20"/>
        <v>1880418</v>
      </c>
      <c r="F96" s="629">
        <f t="shared" si="20"/>
        <v>495421</v>
      </c>
      <c r="G96" s="468">
        <f t="shared" si="20"/>
        <v>655158</v>
      </c>
      <c r="H96" s="642">
        <f t="shared" si="20"/>
        <v>626496</v>
      </c>
      <c r="I96" s="624">
        <f t="shared" si="20"/>
        <v>29532</v>
      </c>
      <c r="J96" s="468">
        <f t="shared" si="20"/>
        <v>29532</v>
      </c>
      <c r="K96" s="518">
        <f t="shared" si="20"/>
        <v>29534</v>
      </c>
      <c r="L96" s="601">
        <f t="shared" si="20"/>
        <v>2688791</v>
      </c>
      <c r="M96" s="468">
        <f t="shared" si="20"/>
        <v>2748399</v>
      </c>
      <c r="N96" s="644">
        <f t="shared" si="20"/>
        <v>2536448</v>
      </c>
    </row>
    <row r="97" spans="1:14" ht="12.75">
      <c r="A97" s="553"/>
      <c r="B97" s="553"/>
      <c r="C97" s="554"/>
      <c r="D97" s="554"/>
      <c r="E97" s="554"/>
      <c r="F97" s="554"/>
      <c r="G97" s="554"/>
      <c r="H97" s="554"/>
      <c r="I97" s="554"/>
      <c r="J97" s="554"/>
      <c r="K97" s="554"/>
      <c r="L97" s="554"/>
      <c r="M97" s="554"/>
      <c r="N97" s="554"/>
    </row>
    <row r="98" spans="1:14" ht="15.75">
      <c r="A98" s="1214" t="s">
        <v>927</v>
      </c>
      <c r="B98" s="1214"/>
      <c r="C98" s="1214"/>
      <c r="D98" s="1214"/>
      <c r="E98" s="1214"/>
      <c r="F98" s="1214"/>
      <c r="G98" s="1214"/>
      <c r="H98" s="1214"/>
      <c r="I98" s="1214"/>
      <c r="J98" s="1214"/>
      <c r="K98" s="1214"/>
      <c r="L98" s="1214"/>
      <c r="M98" s="1214"/>
      <c r="N98" s="1214"/>
    </row>
    <row r="99" spans="1:14" ht="14.25" thickBot="1">
      <c r="A99" s="546"/>
      <c r="B99" s="546"/>
      <c r="C99" s="547"/>
      <c r="D99" s="547"/>
      <c r="E99" s="547"/>
      <c r="F99" s="547"/>
      <c r="G99" s="547"/>
      <c r="H99" s="547"/>
      <c r="I99" s="547"/>
      <c r="J99" s="547"/>
      <c r="K99" s="547"/>
      <c r="L99" s="547"/>
      <c r="M99" s="547"/>
      <c r="N99" s="547" t="s">
        <v>926</v>
      </c>
    </row>
    <row r="100" spans="1:14" ht="12.75" customHeight="1">
      <c r="A100" s="1195" t="s">
        <v>676</v>
      </c>
      <c r="B100" s="1198" t="s">
        <v>861</v>
      </c>
      <c r="C100" s="1194" t="s">
        <v>1185</v>
      </c>
      <c r="D100" s="1208"/>
      <c r="E100" s="1208"/>
      <c r="F100" s="1211" t="s">
        <v>1185</v>
      </c>
      <c r="G100" s="1208"/>
      <c r="H100" s="1212"/>
      <c r="I100" s="1208" t="s">
        <v>1185</v>
      </c>
      <c r="J100" s="1208"/>
      <c r="K100" s="1208"/>
      <c r="L100" s="1207" t="s">
        <v>1185</v>
      </c>
      <c r="M100" s="1208"/>
      <c r="N100" s="1209"/>
    </row>
    <row r="101" spans="1:14" ht="12.75">
      <c r="A101" s="1196"/>
      <c r="B101" s="1199"/>
      <c r="C101" s="1201" t="s">
        <v>931</v>
      </c>
      <c r="D101" s="1202"/>
      <c r="E101" s="1203"/>
      <c r="F101" s="1204" t="s">
        <v>932</v>
      </c>
      <c r="G101" s="1202"/>
      <c r="H101" s="1203"/>
      <c r="I101" s="1204" t="s">
        <v>933</v>
      </c>
      <c r="J101" s="1202"/>
      <c r="K101" s="1205"/>
      <c r="L101" s="1206" t="s">
        <v>934</v>
      </c>
      <c r="M101" s="1202"/>
      <c r="N101" s="1205"/>
    </row>
    <row r="102" spans="1:14" ht="24.75" thickBot="1">
      <c r="A102" s="1197"/>
      <c r="B102" s="1200"/>
      <c r="C102" s="352" t="s">
        <v>37</v>
      </c>
      <c r="D102" s="352" t="s">
        <v>38</v>
      </c>
      <c r="E102" s="382" t="s">
        <v>20</v>
      </c>
      <c r="F102" s="428" t="s">
        <v>37</v>
      </c>
      <c r="G102" s="352" t="s">
        <v>38</v>
      </c>
      <c r="H102" s="548" t="s">
        <v>20</v>
      </c>
      <c r="I102" s="557" t="s">
        <v>37</v>
      </c>
      <c r="J102" s="352" t="s">
        <v>38</v>
      </c>
      <c r="K102" s="382" t="s">
        <v>20</v>
      </c>
      <c r="L102" s="573" t="s">
        <v>37</v>
      </c>
      <c r="M102" s="352" t="s">
        <v>38</v>
      </c>
      <c r="N102" s="574" t="s">
        <v>20</v>
      </c>
    </row>
    <row r="103" spans="1:14" ht="13.5" thickBot="1">
      <c r="A103" s="353" t="s">
        <v>221</v>
      </c>
      <c r="B103" s="354" t="s">
        <v>222</v>
      </c>
      <c r="C103" s="354" t="s">
        <v>223</v>
      </c>
      <c r="D103" s="354" t="s">
        <v>224</v>
      </c>
      <c r="E103" s="383" t="s">
        <v>225</v>
      </c>
      <c r="F103" s="353" t="s">
        <v>226</v>
      </c>
      <c r="G103" s="354" t="s">
        <v>227</v>
      </c>
      <c r="H103" s="563" t="s">
        <v>228</v>
      </c>
      <c r="I103" s="558" t="s">
        <v>229</v>
      </c>
      <c r="J103" s="354" t="s">
        <v>118</v>
      </c>
      <c r="K103" s="383" t="s">
        <v>119</v>
      </c>
      <c r="L103" s="575" t="s">
        <v>120</v>
      </c>
      <c r="M103" s="354" t="s">
        <v>121</v>
      </c>
      <c r="N103" s="576" t="s">
        <v>1461</v>
      </c>
    </row>
    <row r="104" spans="1:14" ht="13.5" thickBot="1">
      <c r="A104" s="442" t="s">
        <v>975</v>
      </c>
      <c r="B104" s="443" t="s">
        <v>976</v>
      </c>
      <c r="C104" s="444">
        <f>SUM(C105:C109)</f>
        <v>1326295</v>
      </c>
      <c r="D104" s="444">
        <f aca="true" t="shared" si="21" ref="D104:K104">SUM(D105:D109)</f>
        <v>1126153</v>
      </c>
      <c r="E104" s="509">
        <f t="shared" si="21"/>
        <v>1051664</v>
      </c>
      <c r="F104" s="625">
        <f t="shared" si="21"/>
        <v>60430</v>
      </c>
      <c r="G104" s="444">
        <f t="shared" si="21"/>
        <v>73208</v>
      </c>
      <c r="H104" s="626">
        <f t="shared" si="21"/>
        <v>58558</v>
      </c>
      <c r="I104" s="621">
        <f t="shared" si="21"/>
        <v>37386</v>
      </c>
      <c r="J104" s="444">
        <f t="shared" si="21"/>
        <v>37755</v>
      </c>
      <c r="K104" s="509">
        <f t="shared" si="21"/>
        <v>36521</v>
      </c>
      <c r="L104" s="594">
        <f>SUM(C104+F104+I104)</f>
        <v>1424111</v>
      </c>
      <c r="M104" s="444">
        <f aca="true" t="shared" si="22" ref="M104:N119">SUM(D104+G104+J104)</f>
        <v>1237116</v>
      </c>
      <c r="N104" s="620">
        <f t="shared" si="22"/>
        <v>1146743</v>
      </c>
    </row>
    <row r="105" spans="1:14" ht="12.75">
      <c r="A105" s="445" t="s">
        <v>977</v>
      </c>
      <c r="B105" s="418" t="s">
        <v>862</v>
      </c>
      <c r="C105" s="446">
        <f>186476+94582+111781</f>
        <v>392839</v>
      </c>
      <c r="D105" s="446">
        <f>134743+74717+112958</f>
        <v>322418</v>
      </c>
      <c r="E105" s="510">
        <f>129641+73898+110165</f>
        <v>313704</v>
      </c>
      <c r="F105" s="627">
        <f>5233+4502</f>
        <v>9735</v>
      </c>
      <c r="G105" s="446">
        <f>7186+4438</f>
        <v>11624</v>
      </c>
      <c r="H105" s="447">
        <f>7121+4484</f>
        <v>11605</v>
      </c>
      <c r="I105" s="622">
        <v>24713</v>
      </c>
      <c r="J105" s="446">
        <v>24629</v>
      </c>
      <c r="K105" s="510">
        <v>24067</v>
      </c>
      <c r="L105" s="596">
        <f aca="true" t="shared" si="23" ref="L105:N163">SUM(C105+F105+I105)</f>
        <v>427287</v>
      </c>
      <c r="M105" s="446">
        <f t="shared" si="22"/>
        <v>358671</v>
      </c>
      <c r="N105" s="597">
        <f t="shared" si="22"/>
        <v>349376</v>
      </c>
    </row>
    <row r="106" spans="1:14" ht="12.75">
      <c r="A106" s="361" t="s">
        <v>978</v>
      </c>
      <c r="B106" s="420" t="s">
        <v>863</v>
      </c>
      <c r="C106" s="363">
        <f>36642+25561+31263</f>
        <v>93466</v>
      </c>
      <c r="D106" s="363">
        <f>32799+20305+31500</f>
        <v>84604</v>
      </c>
      <c r="E106" s="386">
        <f>32002+20064+31282</f>
        <v>83348</v>
      </c>
      <c r="F106" s="566">
        <f>1309+1202</f>
        <v>2511</v>
      </c>
      <c r="G106" s="363">
        <f>2053+1246</f>
        <v>3299</v>
      </c>
      <c r="H106" s="448">
        <f>1744+1174</f>
        <v>2918</v>
      </c>
      <c r="I106" s="482">
        <v>6658</v>
      </c>
      <c r="J106" s="363">
        <v>6635</v>
      </c>
      <c r="K106" s="386">
        <v>6487</v>
      </c>
      <c r="L106" s="581">
        <f t="shared" si="23"/>
        <v>102635</v>
      </c>
      <c r="M106" s="363">
        <f t="shared" si="22"/>
        <v>94538</v>
      </c>
      <c r="N106" s="582">
        <f t="shared" si="22"/>
        <v>92753</v>
      </c>
    </row>
    <row r="107" spans="1:14" ht="12.75">
      <c r="A107" s="361" t="s">
        <v>979</v>
      </c>
      <c r="B107" s="420" t="s">
        <v>864</v>
      </c>
      <c r="C107" s="366">
        <f>507760+27625+47946</f>
        <v>583331</v>
      </c>
      <c r="D107" s="366">
        <f>321866+22539+48245</f>
        <v>392650</v>
      </c>
      <c r="E107" s="387">
        <f>267999+22114+39591</f>
        <v>329704</v>
      </c>
      <c r="F107" s="567">
        <f>25567+541</f>
        <v>26108</v>
      </c>
      <c r="G107" s="366">
        <f>35709+821</f>
        <v>36530</v>
      </c>
      <c r="H107" s="449">
        <f>21106+1173</f>
        <v>22279</v>
      </c>
      <c r="I107" s="483">
        <v>6000</v>
      </c>
      <c r="J107" s="366">
        <v>6487</v>
      </c>
      <c r="K107" s="387">
        <v>5963</v>
      </c>
      <c r="L107" s="583">
        <f t="shared" si="23"/>
        <v>615439</v>
      </c>
      <c r="M107" s="366">
        <f t="shared" si="22"/>
        <v>435667</v>
      </c>
      <c r="N107" s="584">
        <f t="shared" si="22"/>
        <v>357946</v>
      </c>
    </row>
    <row r="108" spans="1:14" ht="12.75">
      <c r="A108" s="361" t="s">
        <v>980</v>
      </c>
      <c r="B108" s="450" t="s">
        <v>67</v>
      </c>
      <c r="C108" s="366">
        <f>2800+54774</f>
        <v>57574</v>
      </c>
      <c r="D108" s="366">
        <f>4130+50602</f>
        <v>54732</v>
      </c>
      <c r="E108" s="387">
        <f>2751+50601</f>
        <v>53352</v>
      </c>
      <c r="F108" s="567"/>
      <c r="G108" s="366"/>
      <c r="H108" s="449"/>
      <c r="I108" s="483">
        <v>15</v>
      </c>
      <c r="J108" s="366">
        <v>4</v>
      </c>
      <c r="K108" s="387">
        <v>4</v>
      </c>
      <c r="L108" s="583">
        <f t="shared" si="23"/>
        <v>57589</v>
      </c>
      <c r="M108" s="366">
        <f t="shared" si="22"/>
        <v>54736</v>
      </c>
      <c r="N108" s="584">
        <f t="shared" si="22"/>
        <v>53356</v>
      </c>
    </row>
    <row r="109" spans="1:14" ht="12.75">
      <c r="A109" s="361" t="s">
        <v>981</v>
      </c>
      <c r="B109" s="451" t="s">
        <v>865</v>
      </c>
      <c r="C109" s="363">
        <f>SUM(C110:C119)</f>
        <v>199085</v>
      </c>
      <c r="D109" s="363">
        <f aca="true" t="shared" si="24" ref="D109:N109">SUM(D110:D119)</f>
        <v>271749</v>
      </c>
      <c r="E109" s="529">
        <f t="shared" si="24"/>
        <v>271556</v>
      </c>
      <c r="F109" s="566">
        <f t="shared" si="24"/>
        <v>22076</v>
      </c>
      <c r="G109" s="363">
        <f t="shared" si="24"/>
        <v>21755</v>
      </c>
      <c r="H109" s="645">
        <f t="shared" si="24"/>
        <v>21756</v>
      </c>
      <c r="I109" s="482">
        <f t="shared" si="24"/>
        <v>0</v>
      </c>
      <c r="J109" s="363">
        <f t="shared" si="24"/>
        <v>0</v>
      </c>
      <c r="K109" s="529">
        <f t="shared" si="24"/>
        <v>0</v>
      </c>
      <c r="L109" s="581">
        <f t="shared" si="24"/>
        <v>221161</v>
      </c>
      <c r="M109" s="363">
        <f t="shared" si="24"/>
        <v>293504</v>
      </c>
      <c r="N109" s="837">
        <f t="shared" si="24"/>
        <v>293312</v>
      </c>
    </row>
    <row r="110" spans="1:14" ht="12.75">
      <c r="A110" s="361" t="s">
        <v>984</v>
      </c>
      <c r="B110" s="420" t="s">
        <v>982</v>
      </c>
      <c r="C110" s="366"/>
      <c r="D110" s="366">
        <f>14427+3234+9549</f>
        <v>27210</v>
      </c>
      <c r="E110" s="387">
        <f>14426+3234+9549</f>
        <v>27209</v>
      </c>
      <c r="F110" s="567"/>
      <c r="G110" s="366"/>
      <c r="H110" s="449"/>
      <c r="I110" s="483"/>
      <c r="J110" s="366"/>
      <c r="K110" s="387"/>
      <c r="L110" s="583">
        <f t="shared" si="23"/>
        <v>0</v>
      </c>
      <c r="M110" s="366">
        <f t="shared" si="22"/>
        <v>27210</v>
      </c>
      <c r="N110" s="584">
        <f t="shared" si="22"/>
        <v>27209</v>
      </c>
    </row>
    <row r="111" spans="1:14" ht="12.75">
      <c r="A111" s="361" t="s">
        <v>983</v>
      </c>
      <c r="B111" s="452" t="s">
        <v>866</v>
      </c>
      <c r="C111" s="366"/>
      <c r="D111" s="366"/>
      <c r="E111" s="387"/>
      <c r="F111" s="567"/>
      <c r="G111" s="366"/>
      <c r="H111" s="449"/>
      <c r="I111" s="483"/>
      <c r="J111" s="366"/>
      <c r="K111" s="387"/>
      <c r="L111" s="583">
        <f t="shared" si="23"/>
        <v>0</v>
      </c>
      <c r="M111" s="366">
        <f t="shared" si="22"/>
        <v>0</v>
      </c>
      <c r="N111" s="584">
        <f t="shared" si="22"/>
        <v>0</v>
      </c>
    </row>
    <row r="112" spans="1:14" ht="22.5">
      <c r="A112" s="361" t="s">
        <v>985</v>
      </c>
      <c r="B112" s="453" t="s">
        <v>867</v>
      </c>
      <c r="C112" s="366"/>
      <c r="D112" s="366">
        <v>41355</v>
      </c>
      <c r="E112" s="387">
        <v>41355</v>
      </c>
      <c r="F112" s="567"/>
      <c r="G112" s="366"/>
      <c r="H112" s="449"/>
      <c r="I112" s="483"/>
      <c r="J112" s="366"/>
      <c r="K112" s="387"/>
      <c r="L112" s="583">
        <f aca="true" t="shared" si="25" ref="L112:N113">SUM(C112+F112+I112)</f>
        <v>0</v>
      </c>
      <c r="M112" s="366">
        <f t="shared" si="25"/>
        <v>41355</v>
      </c>
      <c r="N112" s="584">
        <f t="shared" si="25"/>
        <v>41355</v>
      </c>
    </row>
    <row r="113" spans="1:14" ht="22.5">
      <c r="A113" s="361" t="s">
        <v>986</v>
      </c>
      <c r="B113" s="453" t="s">
        <v>868</v>
      </c>
      <c r="C113" s="366"/>
      <c r="D113" s="847"/>
      <c r="E113" s="848"/>
      <c r="F113" s="566"/>
      <c r="G113" s="366"/>
      <c r="H113" s="449"/>
      <c r="I113" s="483"/>
      <c r="J113" s="366"/>
      <c r="K113" s="387"/>
      <c r="L113" s="583">
        <f t="shared" si="25"/>
        <v>0</v>
      </c>
      <c r="M113" s="366">
        <f t="shared" si="25"/>
        <v>0</v>
      </c>
      <c r="N113" s="584">
        <f t="shared" si="25"/>
        <v>0</v>
      </c>
    </row>
    <row r="114" spans="1:14" ht="12.75">
      <c r="A114" s="361" t="s">
        <v>987</v>
      </c>
      <c r="B114" s="452" t="s">
        <v>869</v>
      </c>
      <c r="C114" s="366">
        <v>186</v>
      </c>
      <c r="D114" s="366">
        <v>842</v>
      </c>
      <c r="E114" s="387">
        <v>749</v>
      </c>
      <c r="F114" s="567">
        <v>250</v>
      </c>
      <c r="G114" s="366">
        <v>250</v>
      </c>
      <c r="H114" s="449">
        <v>250</v>
      </c>
      <c r="I114" s="483"/>
      <c r="J114" s="366"/>
      <c r="K114" s="387"/>
      <c r="L114" s="583">
        <f t="shared" si="23"/>
        <v>436</v>
      </c>
      <c r="M114" s="366">
        <f t="shared" si="22"/>
        <v>1092</v>
      </c>
      <c r="N114" s="584">
        <f t="shared" si="22"/>
        <v>999</v>
      </c>
    </row>
    <row r="115" spans="1:14" ht="12.75">
      <c r="A115" s="361" t="s">
        <v>988</v>
      </c>
      <c r="B115" s="452" t="s">
        <v>870</v>
      </c>
      <c r="C115" s="366"/>
      <c r="D115" s="366"/>
      <c r="E115" s="387"/>
      <c r="F115" s="567"/>
      <c r="G115" s="366"/>
      <c r="H115" s="449"/>
      <c r="I115" s="483"/>
      <c r="J115" s="366"/>
      <c r="K115" s="387"/>
      <c r="L115" s="583">
        <f t="shared" si="23"/>
        <v>0</v>
      </c>
      <c r="M115" s="366">
        <f t="shared" si="22"/>
        <v>0</v>
      </c>
      <c r="N115" s="584">
        <f t="shared" si="22"/>
        <v>0</v>
      </c>
    </row>
    <row r="116" spans="1:14" ht="22.5">
      <c r="A116" s="361" t="s">
        <v>989</v>
      </c>
      <c r="B116" s="453" t="s">
        <v>871</v>
      </c>
      <c r="C116" s="366">
        <v>21668</v>
      </c>
      <c r="D116" s="366">
        <v>24547</v>
      </c>
      <c r="E116" s="387">
        <v>24547</v>
      </c>
      <c r="F116" s="567"/>
      <c r="G116" s="366"/>
      <c r="H116" s="449"/>
      <c r="I116" s="483"/>
      <c r="J116" s="366"/>
      <c r="K116" s="387"/>
      <c r="L116" s="583">
        <f t="shared" si="23"/>
        <v>21668</v>
      </c>
      <c r="M116" s="366">
        <f t="shared" si="22"/>
        <v>24547</v>
      </c>
      <c r="N116" s="584">
        <f t="shared" si="22"/>
        <v>24547</v>
      </c>
    </row>
    <row r="117" spans="1:14" ht="12.75">
      <c r="A117" s="454" t="s">
        <v>990</v>
      </c>
      <c r="B117" s="455" t="s">
        <v>872</v>
      </c>
      <c r="C117" s="366"/>
      <c r="D117" s="366"/>
      <c r="E117" s="387"/>
      <c r="F117" s="567"/>
      <c r="G117" s="366"/>
      <c r="H117" s="449"/>
      <c r="I117" s="483"/>
      <c r="J117" s="366"/>
      <c r="K117" s="387"/>
      <c r="L117" s="583">
        <f t="shared" si="23"/>
        <v>0</v>
      </c>
      <c r="M117" s="366">
        <f t="shared" si="22"/>
        <v>0</v>
      </c>
      <c r="N117" s="584">
        <f t="shared" si="22"/>
        <v>0</v>
      </c>
    </row>
    <row r="118" spans="1:14" ht="12.75">
      <c r="A118" s="361" t="s">
        <v>991</v>
      </c>
      <c r="B118" s="455" t="s">
        <v>873</v>
      </c>
      <c r="C118" s="366"/>
      <c r="D118" s="366"/>
      <c r="E118" s="387"/>
      <c r="F118" s="567"/>
      <c r="G118" s="366"/>
      <c r="H118" s="449"/>
      <c r="I118" s="483"/>
      <c r="J118" s="366"/>
      <c r="K118" s="387"/>
      <c r="L118" s="583">
        <f t="shared" si="23"/>
        <v>0</v>
      </c>
      <c r="M118" s="366">
        <f t="shared" si="22"/>
        <v>0</v>
      </c>
      <c r="N118" s="584">
        <f t="shared" si="22"/>
        <v>0</v>
      </c>
    </row>
    <row r="119" spans="1:14" ht="23.25" thickBot="1">
      <c r="A119" s="395" t="s">
        <v>992</v>
      </c>
      <c r="B119" s="456" t="s">
        <v>874</v>
      </c>
      <c r="C119" s="457">
        <v>177231</v>
      </c>
      <c r="D119" s="457">
        <v>177795</v>
      </c>
      <c r="E119" s="555">
        <v>177696</v>
      </c>
      <c r="F119" s="628">
        <v>21826</v>
      </c>
      <c r="G119" s="457">
        <v>21505</v>
      </c>
      <c r="H119" s="458">
        <v>21506</v>
      </c>
      <c r="I119" s="623"/>
      <c r="J119" s="457"/>
      <c r="K119" s="555"/>
      <c r="L119" s="598">
        <f t="shared" si="23"/>
        <v>199057</v>
      </c>
      <c r="M119" s="457">
        <f t="shared" si="22"/>
        <v>199300</v>
      </c>
      <c r="N119" s="599">
        <f t="shared" si="22"/>
        <v>199202</v>
      </c>
    </row>
    <row r="120" spans="1:14" ht="13.5" thickBot="1">
      <c r="A120" s="355" t="s">
        <v>993</v>
      </c>
      <c r="B120" s="459" t="s">
        <v>994</v>
      </c>
      <c r="C120" s="357">
        <f>SUM(C121+C123+C125)</f>
        <v>795137</v>
      </c>
      <c r="D120" s="357">
        <f aca="true" t="shared" si="26" ref="D120:K120">SUM(D121+D123+D125)</f>
        <v>941816</v>
      </c>
      <c r="E120" s="511">
        <f t="shared" si="26"/>
        <v>801853</v>
      </c>
      <c r="F120" s="564">
        <f t="shared" si="26"/>
        <v>422251</v>
      </c>
      <c r="G120" s="357">
        <f t="shared" si="26"/>
        <v>377188</v>
      </c>
      <c r="H120" s="394">
        <f t="shared" si="26"/>
        <v>337648</v>
      </c>
      <c r="I120" s="484">
        <f t="shared" si="26"/>
        <v>161</v>
      </c>
      <c r="J120" s="357">
        <f t="shared" si="26"/>
        <v>204</v>
      </c>
      <c r="K120" s="511">
        <f t="shared" si="26"/>
        <v>204</v>
      </c>
      <c r="L120" s="577">
        <f t="shared" si="23"/>
        <v>1217549</v>
      </c>
      <c r="M120" s="357">
        <f t="shared" si="23"/>
        <v>1319208</v>
      </c>
      <c r="N120" s="604">
        <f t="shared" si="23"/>
        <v>1139705</v>
      </c>
    </row>
    <row r="121" spans="1:14" ht="12.75">
      <c r="A121" s="358" t="s">
        <v>998</v>
      </c>
      <c r="B121" s="420" t="s">
        <v>51</v>
      </c>
      <c r="C121" s="360">
        <f>792359+445+204</f>
        <v>793008</v>
      </c>
      <c r="D121" s="360">
        <f>827037+615+537</f>
        <v>828189</v>
      </c>
      <c r="E121" s="385">
        <f>688922+505+244+1</f>
        <v>689672</v>
      </c>
      <c r="F121" s="565">
        <v>420421</v>
      </c>
      <c r="G121" s="360">
        <f>360815+420</f>
        <v>361235</v>
      </c>
      <c r="H121" s="461">
        <f>321280+420</f>
        <v>321700</v>
      </c>
      <c r="I121" s="485">
        <v>161</v>
      </c>
      <c r="J121" s="360">
        <v>204</v>
      </c>
      <c r="K121" s="385">
        <v>204</v>
      </c>
      <c r="L121" s="579">
        <f t="shared" si="23"/>
        <v>1213590</v>
      </c>
      <c r="M121" s="360">
        <f t="shared" si="23"/>
        <v>1189628</v>
      </c>
      <c r="N121" s="580">
        <f t="shared" si="23"/>
        <v>1011576</v>
      </c>
    </row>
    <row r="122" spans="1:14" ht="12.75">
      <c r="A122" s="358" t="s">
        <v>999</v>
      </c>
      <c r="B122" s="462" t="s">
        <v>995</v>
      </c>
      <c r="C122" s="360">
        <v>768006</v>
      </c>
      <c r="D122" s="360">
        <v>803894</v>
      </c>
      <c r="E122" s="385">
        <f>679472+1</f>
        <v>679473</v>
      </c>
      <c r="F122" s="565">
        <v>420421</v>
      </c>
      <c r="G122" s="360">
        <v>360618</v>
      </c>
      <c r="H122" s="461">
        <v>321086</v>
      </c>
      <c r="I122" s="485"/>
      <c r="J122" s="360"/>
      <c r="K122" s="385"/>
      <c r="L122" s="579">
        <f t="shared" si="23"/>
        <v>1188427</v>
      </c>
      <c r="M122" s="360">
        <f t="shared" si="23"/>
        <v>1164512</v>
      </c>
      <c r="N122" s="580">
        <f t="shared" si="23"/>
        <v>1000559</v>
      </c>
    </row>
    <row r="123" spans="1:14" ht="12.75">
      <c r="A123" s="358" t="s">
        <v>1000</v>
      </c>
      <c r="B123" s="462" t="s">
        <v>875</v>
      </c>
      <c r="C123" s="363">
        <v>1230</v>
      </c>
      <c r="D123" s="363">
        <f>110362+667</f>
        <v>111029</v>
      </c>
      <c r="E123" s="386">
        <v>109584</v>
      </c>
      <c r="F123" s="566"/>
      <c r="G123" s="363"/>
      <c r="H123" s="448"/>
      <c r="I123" s="482"/>
      <c r="J123" s="363"/>
      <c r="K123" s="386"/>
      <c r="L123" s="581">
        <f t="shared" si="23"/>
        <v>1230</v>
      </c>
      <c r="M123" s="363">
        <f t="shared" si="23"/>
        <v>111029</v>
      </c>
      <c r="N123" s="582">
        <f t="shared" si="23"/>
        <v>109584</v>
      </c>
    </row>
    <row r="124" spans="1:14" ht="12.75">
      <c r="A124" s="358" t="s">
        <v>1001</v>
      </c>
      <c r="B124" s="462" t="s">
        <v>996</v>
      </c>
      <c r="C124" s="363"/>
      <c r="D124" s="363">
        <v>94076</v>
      </c>
      <c r="E124" s="386">
        <v>93648</v>
      </c>
      <c r="F124" s="566"/>
      <c r="G124" s="363"/>
      <c r="H124" s="448"/>
      <c r="I124" s="482"/>
      <c r="J124" s="363"/>
      <c r="K124" s="386"/>
      <c r="L124" s="581">
        <f t="shared" si="23"/>
        <v>0</v>
      </c>
      <c r="M124" s="363">
        <f t="shared" si="23"/>
        <v>94076</v>
      </c>
      <c r="N124" s="582">
        <f t="shared" si="23"/>
        <v>93648</v>
      </c>
    </row>
    <row r="125" spans="1:14" ht="12.75">
      <c r="A125" s="358" t="s">
        <v>1002</v>
      </c>
      <c r="B125" s="647" t="s">
        <v>876</v>
      </c>
      <c r="C125" s="363">
        <f aca="true" t="shared" si="27" ref="C125:H125">SUM(C126:C133)</f>
        <v>899</v>
      </c>
      <c r="D125" s="363">
        <f t="shared" si="27"/>
        <v>2598</v>
      </c>
      <c r="E125" s="645">
        <f t="shared" si="27"/>
        <v>2597</v>
      </c>
      <c r="F125" s="566">
        <f t="shared" si="27"/>
        <v>1830</v>
      </c>
      <c r="G125" s="363">
        <f t="shared" si="27"/>
        <v>15953</v>
      </c>
      <c r="H125" s="645">
        <f t="shared" si="27"/>
        <v>15948</v>
      </c>
      <c r="I125" s="482"/>
      <c r="J125" s="363"/>
      <c r="K125" s="386"/>
      <c r="L125" s="581">
        <f t="shared" si="23"/>
        <v>2729</v>
      </c>
      <c r="M125" s="363">
        <f t="shared" si="23"/>
        <v>18551</v>
      </c>
      <c r="N125" s="582">
        <f t="shared" si="23"/>
        <v>18545</v>
      </c>
    </row>
    <row r="126" spans="1:14" ht="12.75">
      <c r="A126" s="358" t="s">
        <v>1003</v>
      </c>
      <c r="B126" s="404" t="s">
        <v>997</v>
      </c>
      <c r="C126" s="363"/>
      <c r="D126" s="363"/>
      <c r="E126" s="386"/>
      <c r="F126" s="566"/>
      <c r="G126" s="363"/>
      <c r="H126" s="448"/>
      <c r="I126" s="482"/>
      <c r="J126" s="363"/>
      <c r="K126" s="386"/>
      <c r="L126" s="581">
        <f t="shared" si="23"/>
        <v>0</v>
      </c>
      <c r="M126" s="363">
        <f t="shared" si="23"/>
        <v>0</v>
      </c>
      <c r="N126" s="582">
        <f t="shared" si="23"/>
        <v>0</v>
      </c>
    </row>
    <row r="127" spans="1:14" ht="22.5">
      <c r="A127" s="358" t="s">
        <v>1004</v>
      </c>
      <c r="B127" s="463" t="s">
        <v>877</v>
      </c>
      <c r="C127" s="363"/>
      <c r="D127" s="363">
        <v>2199</v>
      </c>
      <c r="E127" s="386">
        <v>2199</v>
      </c>
      <c r="F127" s="566"/>
      <c r="G127" s="363"/>
      <c r="H127" s="448"/>
      <c r="I127" s="482"/>
      <c r="J127" s="363"/>
      <c r="K127" s="386"/>
      <c r="L127" s="581">
        <f t="shared" si="23"/>
        <v>0</v>
      </c>
      <c r="M127" s="363">
        <f t="shared" si="23"/>
        <v>2199</v>
      </c>
      <c r="N127" s="582">
        <f t="shared" si="23"/>
        <v>2199</v>
      </c>
    </row>
    <row r="128" spans="1:14" ht="22.5">
      <c r="A128" s="358" t="s">
        <v>1005</v>
      </c>
      <c r="B128" s="453" t="s">
        <v>868</v>
      </c>
      <c r="C128" s="363"/>
      <c r="D128" s="363"/>
      <c r="E128" s="386"/>
      <c r="F128" s="566"/>
      <c r="G128" s="363"/>
      <c r="H128" s="448"/>
      <c r="I128" s="482"/>
      <c r="J128" s="363"/>
      <c r="K128" s="386"/>
      <c r="L128" s="581">
        <f t="shared" si="23"/>
        <v>0</v>
      </c>
      <c r="M128" s="363">
        <f t="shared" si="23"/>
        <v>0</v>
      </c>
      <c r="N128" s="582">
        <f t="shared" si="23"/>
        <v>0</v>
      </c>
    </row>
    <row r="129" spans="1:14" ht="12.75">
      <c r="A129" s="358" t="s">
        <v>1006</v>
      </c>
      <c r="B129" s="453" t="s">
        <v>878</v>
      </c>
      <c r="C129" s="363"/>
      <c r="D129" s="363"/>
      <c r="E129" s="386"/>
      <c r="F129" s="566"/>
      <c r="G129" s="363">
        <v>260</v>
      </c>
      <c r="H129" s="448">
        <v>255</v>
      </c>
      <c r="I129" s="482"/>
      <c r="J129" s="363"/>
      <c r="K129" s="386"/>
      <c r="L129" s="581">
        <f t="shared" si="23"/>
        <v>0</v>
      </c>
      <c r="M129" s="363">
        <f t="shared" si="23"/>
        <v>260</v>
      </c>
      <c r="N129" s="582">
        <f t="shared" si="23"/>
        <v>255</v>
      </c>
    </row>
    <row r="130" spans="1:14" ht="12.75">
      <c r="A130" s="358" t="s">
        <v>1007</v>
      </c>
      <c r="B130" s="453" t="s">
        <v>879</v>
      </c>
      <c r="C130" s="363"/>
      <c r="D130" s="363"/>
      <c r="E130" s="386"/>
      <c r="F130" s="566"/>
      <c r="G130" s="363"/>
      <c r="H130" s="448"/>
      <c r="I130" s="482"/>
      <c r="J130" s="363"/>
      <c r="K130" s="386"/>
      <c r="L130" s="581">
        <f t="shared" si="23"/>
        <v>0</v>
      </c>
      <c r="M130" s="363">
        <f t="shared" si="23"/>
        <v>0</v>
      </c>
      <c r="N130" s="582">
        <f t="shared" si="23"/>
        <v>0</v>
      </c>
    </row>
    <row r="131" spans="1:14" ht="22.5">
      <c r="A131" s="358" t="s">
        <v>1008</v>
      </c>
      <c r="B131" s="453" t="s">
        <v>871</v>
      </c>
      <c r="C131" s="363"/>
      <c r="D131" s="363"/>
      <c r="E131" s="386"/>
      <c r="F131" s="566"/>
      <c r="G131" s="363"/>
      <c r="H131" s="448"/>
      <c r="I131" s="482"/>
      <c r="J131" s="363"/>
      <c r="K131" s="386"/>
      <c r="L131" s="581">
        <f t="shared" si="23"/>
        <v>0</v>
      </c>
      <c r="M131" s="363">
        <f t="shared" si="23"/>
        <v>0</v>
      </c>
      <c r="N131" s="582">
        <f t="shared" si="23"/>
        <v>0</v>
      </c>
    </row>
    <row r="132" spans="1:14" ht="12.75">
      <c r="A132" s="358" t="s">
        <v>1009</v>
      </c>
      <c r="B132" s="453" t="s">
        <v>880</v>
      </c>
      <c r="C132" s="363"/>
      <c r="D132" s="363"/>
      <c r="E132" s="386"/>
      <c r="F132" s="566"/>
      <c r="G132" s="363"/>
      <c r="H132" s="448"/>
      <c r="I132" s="482"/>
      <c r="J132" s="363"/>
      <c r="K132" s="386"/>
      <c r="L132" s="581">
        <f t="shared" si="23"/>
        <v>0</v>
      </c>
      <c r="M132" s="363">
        <f t="shared" si="23"/>
        <v>0</v>
      </c>
      <c r="N132" s="582">
        <f t="shared" si="23"/>
        <v>0</v>
      </c>
    </row>
    <row r="133" spans="1:14" ht="23.25" thickBot="1">
      <c r="A133" s="454" t="s">
        <v>1010</v>
      </c>
      <c r="B133" s="453" t="s">
        <v>881</v>
      </c>
      <c r="C133" s="366">
        <v>899</v>
      </c>
      <c r="D133" s="366">
        <v>399</v>
      </c>
      <c r="E133" s="387">
        <v>398</v>
      </c>
      <c r="F133" s="567">
        <v>1830</v>
      </c>
      <c r="G133" s="366">
        <v>15693</v>
      </c>
      <c r="H133" s="449">
        <v>15693</v>
      </c>
      <c r="I133" s="483"/>
      <c r="J133" s="366"/>
      <c r="K133" s="387"/>
      <c r="L133" s="583">
        <f t="shared" si="23"/>
        <v>2729</v>
      </c>
      <c r="M133" s="366">
        <f t="shared" si="23"/>
        <v>16092</v>
      </c>
      <c r="N133" s="584">
        <f t="shared" si="23"/>
        <v>16091</v>
      </c>
    </row>
    <row r="134" spans="1:14" ht="13.5" thickBot="1">
      <c r="A134" s="355">
        <v>20</v>
      </c>
      <c r="B134" s="464" t="s">
        <v>1011</v>
      </c>
      <c r="C134" s="357">
        <f>SUM(C135:C136)</f>
        <v>47131</v>
      </c>
      <c r="D134" s="357">
        <f aca="true" t="shared" si="28" ref="D134:K134">SUM(D135:D136)</f>
        <v>52193</v>
      </c>
      <c r="E134" s="511">
        <f t="shared" si="28"/>
        <v>0</v>
      </c>
      <c r="F134" s="564">
        <f t="shared" si="28"/>
        <v>0</v>
      </c>
      <c r="G134" s="357">
        <f t="shared" si="28"/>
        <v>0</v>
      </c>
      <c r="H134" s="394">
        <f t="shared" si="28"/>
        <v>0</v>
      </c>
      <c r="I134" s="484">
        <f t="shared" si="28"/>
        <v>0</v>
      </c>
      <c r="J134" s="357">
        <f t="shared" si="28"/>
        <v>0</v>
      </c>
      <c r="K134" s="511">
        <f t="shared" si="28"/>
        <v>0</v>
      </c>
      <c r="L134" s="577">
        <f t="shared" si="23"/>
        <v>47131</v>
      </c>
      <c r="M134" s="357">
        <f t="shared" si="23"/>
        <v>52193</v>
      </c>
      <c r="N134" s="604">
        <f t="shared" si="23"/>
        <v>0</v>
      </c>
    </row>
    <row r="135" spans="1:14" ht="12.75">
      <c r="A135" s="358" t="s">
        <v>1012</v>
      </c>
      <c r="B135" s="465" t="s">
        <v>16</v>
      </c>
      <c r="C135" s="360">
        <v>2000</v>
      </c>
      <c r="D135" s="360"/>
      <c r="E135" s="385"/>
      <c r="F135" s="565"/>
      <c r="G135" s="360"/>
      <c r="H135" s="461"/>
      <c r="I135" s="485"/>
      <c r="J135" s="360">
        <v>0</v>
      </c>
      <c r="K135" s="385">
        <v>0</v>
      </c>
      <c r="L135" s="579">
        <f t="shared" si="23"/>
        <v>2000</v>
      </c>
      <c r="M135" s="360">
        <f t="shared" si="23"/>
        <v>0</v>
      </c>
      <c r="N135" s="580">
        <f t="shared" si="23"/>
        <v>0</v>
      </c>
    </row>
    <row r="136" spans="1:14" ht="13.5" thickBot="1">
      <c r="A136" s="364" t="s">
        <v>1013</v>
      </c>
      <c r="B136" s="462" t="s">
        <v>882</v>
      </c>
      <c r="C136" s="366">
        <v>45131</v>
      </c>
      <c r="D136" s="366">
        <v>52193</v>
      </c>
      <c r="E136" s="387"/>
      <c r="F136" s="567"/>
      <c r="G136" s="366"/>
      <c r="H136" s="449"/>
      <c r="I136" s="483"/>
      <c r="J136" s="366">
        <v>0</v>
      </c>
      <c r="K136" s="387">
        <v>0</v>
      </c>
      <c r="L136" s="583">
        <f t="shared" si="23"/>
        <v>45131</v>
      </c>
      <c r="M136" s="366">
        <f t="shared" si="23"/>
        <v>52193</v>
      </c>
      <c r="N136" s="584">
        <f t="shared" si="23"/>
        <v>0</v>
      </c>
    </row>
    <row r="137" spans="1:14" ht="13.5" thickBot="1">
      <c r="A137" s="355" t="s">
        <v>1014</v>
      </c>
      <c r="B137" s="464" t="s">
        <v>1021</v>
      </c>
      <c r="C137" s="357">
        <f>SUM(C134+C120+C104)</f>
        <v>2168563</v>
      </c>
      <c r="D137" s="357">
        <f aca="true" t="shared" si="29" ref="D137:K137">SUM(D134+D120+D104)</f>
        <v>2120162</v>
      </c>
      <c r="E137" s="511">
        <f t="shared" si="29"/>
        <v>1853517</v>
      </c>
      <c r="F137" s="564">
        <f t="shared" si="29"/>
        <v>482681</v>
      </c>
      <c r="G137" s="357">
        <f t="shared" si="29"/>
        <v>450396</v>
      </c>
      <c r="H137" s="394">
        <f t="shared" si="29"/>
        <v>396206</v>
      </c>
      <c r="I137" s="484">
        <f t="shared" si="29"/>
        <v>37547</v>
      </c>
      <c r="J137" s="357">
        <f t="shared" si="29"/>
        <v>37959</v>
      </c>
      <c r="K137" s="511">
        <f t="shared" si="29"/>
        <v>36725</v>
      </c>
      <c r="L137" s="577">
        <f t="shared" si="23"/>
        <v>2688791</v>
      </c>
      <c r="M137" s="357">
        <f t="shared" si="23"/>
        <v>2608517</v>
      </c>
      <c r="N137" s="604">
        <f t="shared" si="23"/>
        <v>2286448</v>
      </c>
    </row>
    <row r="138" spans="1:14" ht="12.75" customHeight="1">
      <c r="A138" s="1195" t="s">
        <v>676</v>
      </c>
      <c r="B138" s="1198" t="s">
        <v>861</v>
      </c>
      <c r="C138" s="1194" t="s">
        <v>1185</v>
      </c>
      <c r="D138" s="1208"/>
      <c r="E138" s="1208"/>
      <c r="F138" s="1211" t="s">
        <v>1185</v>
      </c>
      <c r="G138" s="1208"/>
      <c r="H138" s="1212"/>
      <c r="I138" s="1208" t="s">
        <v>1185</v>
      </c>
      <c r="J138" s="1208"/>
      <c r="K138" s="1208"/>
      <c r="L138" s="1207" t="s">
        <v>1185</v>
      </c>
      <c r="M138" s="1208"/>
      <c r="N138" s="1209"/>
    </row>
    <row r="139" spans="1:14" ht="12.75">
      <c r="A139" s="1196"/>
      <c r="B139" s="1199"/>
      <c r="C139" s="1201" t="s">
        <v>931</v>
      </c>
      <c r="D139" s="1202"/>
      <c r="E139" s="1203"/>
      <c r="F139" s="1204" t="s">
        <v>932</v>
      </c>
      <c r="G139" s="1202"/>
      <c r="H139" s="1203"/>
      <c r="I139" s="1204" t="s">
        <v>933</v>
      </c>
      <c r="J139" s="1202"/>
      <c r="K139" s="1205"/>
      <c r="L139" s="1206" t="s">
        <v>934</v>
      </c>
      <c r="M139" s="1202"/>
      <c r="N139" s="1205"/>
    </row>
    <row r="140" spans="1:14" ht="24.75" thickBot="1">
      <c r="A140" s="1197"/>
      <c r="B140" s="1200"/>
      <c r="C140" s="352" t="s">
        <v>37</v>
      </c>
      <c r="D140" s="352" t="s">
        <v>38</v>
      </c>
      <c r="E140" s="382" t="s">
        <v>20</v>
      </c>
      <c r="F140" s="428" t="s">
        <v>37</v>
      </c>
      <c r="G140" s="352" t="s">
        <v>38</v>
      </c>
      <c r="H140" s="548" t="s">
        <v>20</v>
      </c>
      <c r="I140" s="557" t="s">
        <v>37</v>
      </c>
      <c r="J140" s="352" t="s">
        <v>38</v>
      </c>
      <c r="K140" s="382" t="s">
        <v>20</v>
      </c>
      <c r="L140" s="573" t="s">
        <v>37</v>
      </c>
      <c r="M140" s="352" t="s">
        <v>38</v>
      </c>
      <c r="N140" s="574" t="s">
        <v>20</v>
      </c>
    </row>
    <row r="141" spans="1:14" ht="13.5" thickBot="1">
      <c r="A141" s="353" t="s">
        <v>221</v>
      </c>
      <c r="B141" s="354" t="s">
        <v>222</v>
      </c>
      <c r="C141" s="354" t="s">
        <v>223</v>
      </c>
      <c r="D141" s="354" t="s">
        <v>224</v>
      </c>
      <c r="E141" s="383" t="s">
        <v>225</v>
      </c>
      <c r="F141" s="353" t="s">
        <v>226</v>
      </c>
      <c r="G141" s="354" t="s">
        <v>227</v>
      </c>
      <c r="H141" s="563" t="s">
        <v>228</v>
      </c>
      <c r="I141" s="558" t="s">
        <v>229</v>
      </c>
      <c r="J141" s="354" t="s">
        <v>118</v>
      </c>
      <c r="K141" s="383" t="s">
        <v>119</v>
      </c>
      <c r="L141" s="575" t="s">
        <v>120</v>
      </c>
      <c r="M141" s="354" t="s">
        <v>121</v>
      </c>
      <c r="N141" s="576" t="s">
        <v>1461</v>
      </c>
    </row>
    <row r="142" spans="1:14" ht="21.75" thickBot="1">
      <c r="A142" s="355" t="s">
        <v>1015</v>
      </c>
      <c r="B142" s="464" t="s">
        <v>1016</v>
      </c>
      <c r="C142" s="357">
        <f>SUM(C143:C145)</f>
        <v>0</v>
      </c>
      <c r="D142" s="357">
        <f aca="true" t="shared" si="30" ref="D142:K142">SUM(D143:D145)</f>
        <v>0</v>
      </c>
      <c r="E142" s="511">
        <f t="shared" si="30"/>
        <v>0</v>
      </c>
      <c r="F142" s="564">
        <f t="shared" si="30"/>
        <v>0</v>
      </c>
      <c r="G142" s="357">
        <f t="shared" si="30"/>
        <v>123644</v>
      </c>
      <c r="H142" s="357">
        <f t="shared" si="30"/>
        <v>123644</v>
      </c>
      <c r="I142" s="357">
        <f t="shared" si="30"/>
        <v>0</v>
      </c>
      <c r="J142" s="357">
        <f t="shared" si="30"/>
        <v>0</v>
      </c>
      <c r="K142" s="511">
        <f t="shared" si="30"/>
        <v>0</v>
      </c>
      <c r="L142" s="577">
        <f t="shared" si="23"/>
        <v>0</v>
      </c>
      <c r="M142" s="357">
        <f t="shared" si="23"/>
        <v>123644</v>
      </c>
      <c r="N142" s="604">
        <f t="shared" si="23"/>
        <v>123644</v>
      </c>
    </row>
    <row r="143" spans="1:14" ht="12.75">
      <c r="A143" s="358" t="s">
        <v>1017</v>
      </c>
      <c r="B143" s="465" t="s">
        <v>883</v>
      </c>
      <c r="C143" s="363">
        <v>0</v>
      </c>
      <c r="D143" s="363">
        <v>0</v>
      </c>
      <c r="E143" s="386">
        <v>0</v>
      </c>
      <c r="F143" s="566">
        <v>0</v>
      </c>
      <c r="G143" s="363">
        <v>0</v>
      </c>
      <c r="H143" s="448"/>
      <c r="I143" s="482">
        <v>0</v>
      </c>
      <c r="J143" s="363">
        <v>0</v>
      </c>
      <c r="K143" s="386">
        <v>0</v>
      </c>
      <c r="L143" s="581">
        <f t="shared" si="23"/>
        <v>0</v>
      </c>
      <c r="M143" s="363">
        <f t="shared" si="23"/>
        <v>0</v>
      </c>
      <c r="N143" s="582">
        <f t="shared" si="23"/>
        <v>0</v>
      </c>
    </row>
    <row r="144" spans="1:14" ht="22.5">
      <c r="A144" s="358" t="s">
        <v>1018</v>
      </c>
      <c r="B144" s="465" t="s">
        <v>884</v>
      </c>
      <c r="C144" s="363">
        <v>0</v>
      </c>
      <c r="D144" s="363">
        <v>0</v>
      </c>
      <c r="E144" s="386">
        <v>0</v>
      </c>
      <c r="F144" s="566">
        <v>0</v>
      </c>
      <c r="G144" s="363">
        <v>123644</v>
      </c>
      <c r="H144" s="448">
        <v>123644</v>
      </c>
      <c r="I144" s="482">
        <v>0</v>
      </c>
      <c r="J144" s="363">
        <v>0</v>
      </c>
      <c r="K144" s="386">
        <v>0</v>
      </c>
      <c r="L144" s="581">
        <f t="shared" si="23"/>
        <v>0</v>
      </c>
      <c r="M144" s="363">
        <f t="shared" si="23"/>
        <v>123644</v>
      </c>
      <c r="N144" s="582">
        <f t="shared" si="23"/>
        <v>123644</v>
      </c>
    </row>
    <row r="145" spans="1:14" ht="13.5" thickBot="1">
      <c r="A145" s="454" t="s">
        <v>1019</v>
      </c>
      <c r="B145" s="466" t="s">
        <v>885</v>
      </c>
      <c r="C145" s="363"/>
      <c r="D145" s="363"/>
      <c r="E145" s="386"/>
      <c r="F145" s="566"/>
      <c r="G145" s="363"/>
      <c r="H145" s="448"/>
      <c r="I145" s="482"/>
      <c r="J145" s="363">
        <v>0</v>
      </c>
      <c r="K145" s="386">
        <v>0</v>
      </c>
      <c r="L145" s="581">
        <f t="shared" si="23"/>
        <v>0</v>
      </c>
      <c r="M145" s="363">
        <f t="shared" si="23"/>
        <v>0</v>
      </c>
      <c r="N145" s="582">
        <f t="shared" si="23"/>
        <v>0</v>
      </c>
    </row>
    <row r="146" spans="1:14" ht="13.5" thickBot="1">
      <c r="A146" s="355" t="s">
        <v>1020</v>
      </c>
      <c r="B146" s="464" t="s">
        <v>1022</v>
      </c>
      <c r="C146" s="357">
        <f>SUM(C147:C150)</f>
        <v>0</v>
      </c>
      <c r="D146" s="357">
        <f aca="true" t="shared" si="31" ref="D146:K146">SUM(D147:D150)</f>
        <v>0</v>
      </c>
      <c r="E146" s="511">
        <f t="shared" si="31"/>
        <v>0</v>
      </c>
      <c r="F146" s="564">
        <f t="shared" si="31"/>
        <v>0</v>
      </c>
      <c r="G146" s="357">
        <f t="shared" si="31"/>
        <v>0</v>
      </c>
      <c r="H146" s="394">
        <f t="shared" si="31"/>
        <v>0</v>
      </c>
      <c r="I146" s="484">
        <f t="shared" si="31"/>
        <v>0</v>
      </c>
      <c r="J146" s="357">
        <f t="shared" si="31"/>
        <v>0</v>
      </c>
      <c r="K146" s="511">
        <f t="shared" si="31"/>
        <v>0</v>
      </c>
      <c r="L146" s="577">
        <f t="shared" si="23"/>
        <v>0</v>
      </c>
      <c r="M146" s="357">
        <f t="shared" si="23"/>
        <v>0</v>
      </c>
      <c r="N146" s="604">
        <f t="shared" si="23"/>
        <v>0</v>
      </c>
    </row>
    <row r="147" spans="1:14" ht="12.75">
      <c r="A147" s="358" t="s">
        <v>1023</v>
      </c>
      <c r="B147" s="465" t="s">
        <v>886</v>
      </c>
      <c r="C147" s="363">
        <v>0</v>
      </c>
      <c r="D147" s="363">
        <v>0</v>
      </c>
      <c r="E147" s="386">
        <v>0</v>
      </c>
      <c r="F147" s="566">
        <v>0</v>
      </c>
      <c r="G147" s="363">
        <v>0</v>
      </c>
      <c r="H147" s="448">
        <v>0</v>
      </c>
      <c r="I147" s="482">
        <v>0</v>
      </c>
      <c r="J147" s="363">
        <v>0</v>
      </c>
      <c r="K147" s="386">
        <v>0</v>
      </c>
      <c r="L147" s="581">
        <f t="shared" si="23"/>
        <v>0</v>
      </c>
      <c r="M147" s="363">
        <f t="shared" si="23"/>
        <v>0</v>
      </c>
      <c r="N147" s="582">
        <f t="shared" si="23"/>
        <v>0</v>
      </c>
    </row>
    <row r="148" spans="1:14" ht="12.75">
      <c r="A148" s="358" t="s">
        <v>1024</v>
      </c>
      <c r="B148" s="465" t="s">
        <v>887</v>
      </c>
      <c r="C148" s="363">
        <v>0</v>
      </c>
      <c r="D148" s="363">
        <v>0</v>
      </c>
      <c r="E148" s="386">
        <v>0</v>
      </c>
      <c r="F148" s="566">
        <v>0</v>
      </c>
      <c r="G148" s="363">
        <v>0</v>
      </c>
      <c r="H148" s="448">
        <v>0</v>
      </c>
      <c r="I148" s="482">
        <v>0</v>
      </c>
      <c r="J148" s="363">
        <v>0</v>
      </c>
      <c r="K148" s="386">
        <v>0</v>
      </c>
      <c r="L148" s="581">
        <f t="shared" si="23"/>
        <v>0</v>
      </c>
      <c r="M148" s="363">
        <f t="shared" si="23"/>
        <v>0</v>
      </c>
      <c r="N148" s="582">
        <f t="shared" si="23"/>
        <v>0</v>
      </c>
    </row>
    <row r="149" spans="1:14" ht="12.75">
      <c r="A149" s="358" t="s">
        <v>1025</v>
      </c>
      <c r="B149" s="465" t="s">
        <v>888</v>
      </c>
      <c r="C149" s="363"/>
      <c r="D149" s="363"/>
      <c r="E149" s="386"/>
      <c r="F149" s="566"/>
      <c r="G149" s="363"/>
      <c r="H149" s="448"/>
      <c r="I149" s="482"/>
      <c r="J149" s="363">
        <v>0</v>
      </c>
      <c r="K149" s="386">
        <v>0</v>
      </c>
      <c r="L149" s="581">
        <f t="shared" si="23"/>
        <v>0</v>
      </c>
      <c r="M149" s="363">
        <f t="shared" si="23"/>
        <v>0</v>
      </c>
      <c r="N149" s="582">
        <f t="shared" si="23"/>
        <v>0</v>
      </c>
    </row>
    <row r="150" spans="1:14" ht="13.5" thickBot="1">
      <c r="A150" s="454" t="s">
        <v>1026</v>
      </c>
      <c r="B150" s="466" t="s">
        <v>889</v>
      </c>
      <c r="C150" s="363"/>
      <c r="D150" s="363"/>
      <c r="E150" s="386"/>
      <c r="F150" s="566"/>
      <c r="G150" s="363"/>
      <c r="H150" s="448"/>
      <c r="I150" s="482"/>
      <c r="J150" s="363">
        <v>0</v>
      </c>
      <c r="K150" s="386">
        <v>0</v>
      </c>
      <c r="L150" s="581">
        <f t="shared" si="23"/>
        <v>0</v>
      </c>
      <c r="M150" s="363">
        <f t="shared" si="23"/>
        <v>0</v>
      </c>
      <c r="N150" s="582">
        <f t="shared" si="23"/>
        <v>0</v>
      </c>
    </row>
    <row r="151" spans="1:14" ht="13.5" thickBot="1">
      <c r="A151" s="355" t="s">
        <v>1027</v>
      </c>
      <c r="B151" s="464" t="s">
        <v>1042</v>
      </c>
      <c r="C151" s="369">
        <f>SUM(C152:C156)</f>
        <v>375327</v>
      </c>
      <c r="D151" s="369">
        <f aca="true" t="shared" si="32" ref="D151:K151">SUM(D152:D156)</f>
        <v>359992</v>
      </c>
      <c r="E151" s="531">
        <f t="shared" si="32"/>
        <v>359991</v>
      </c>
      <c r="F151" s="568">
        <f t="shared" si="32"/>
        <v>6245</v>
      </c>
      <c r="G151" s="369">
        <f t="shared" si="32"/>
        <v>6925</v>
      </c>
      <c r="H151" s="636">
        <f t="shared" si="32"/>
        <v>6925</v>
      </c>
      <c r="I151" s="486">
        <f t="shared" si="32"/>
        <v>15</v>
      </c>
      <c r="J151" s="369">
        <f t="shared" si="32"/>
        <v>4</v>
      </c>
      <c r="K151" s="531">
        <f t="shared" si="32"/>
        <v>4</v>
      </c>
      <c r="L151" s="585">
        <f t="shared" si="23"/>
        <v>381587</v>
      </c>
      <c r="M151" s="369">
        <f t="shared" si="23"/>
        <v>366921</v>
      </c>
      <c r="N151" s="637">
        <f t="shared" si="23"/>
        <v>366920</v>
      </c>
    </row>
    <row r="152" spans="1:14" ht="12.75">
      <c r="A152" s="358" t="s">
        <v>1028</v>
      </c>
      <c r="B152" s="465" t="s">
        <v>890</v>
      </c>
      <c r="C152" s="363">
        <v>0</v>
      </c>
      <c r="D152" s="363">
        <v>0</v>
      </c>
      <c r="E152" s="386">
        <v>0</v>
      </c>
      <c r="F152" s="566">
        <v>0</v>
      </c>
      <c r="G152" s="363">
        <v>0</v>
      </c>
      <c r="H152" s="448">
        <v>0</v>
      </c>
      <c r="I152" s="482">
        <v>0</v>
      </c>
      <c r="J152" s="363">
        <v>0</v>
      </c>
      <c r="K152" s="386">
        <v>0</v>
      </c>
      <c r="L152" s="581">
        <f t="shared" si="23"/>
        <v>0</v>
      </c>
      <c r="M152" s="363">
        <f t="shared" si="23"/>
        <v>0</v>
      </c>
      <c r="N152" s="582">
        <f t="shared" si="23"/>
        <v>0</v>
      </c>
    </row>
    <row r="153" spans="1:14" ht="12.75">
      <c r="A153" s="358" t="s">
        <v>1029</v>
      </c>
      <c r="B153" s="465" t="s">
        <v>891</v>
      </c>
      <c r="C153" s="363">
        <v>0</v>
      </c>
      <c r="D153" s="363">
        <v>16238</v>
      </c>
      <c r="E153" s="386">
        <v>16238</v>
      </c>
      <c r="F153" s="566">
        <v>0</v>
      </c>
      <c r="G153" s="363">
        <v>0</v>
      </c>
      <c r="H153" s="448">
        <v>0</v>
      </c>
      <c r="I153" s="482">
        <v>0</v>
      </c>
      <c r="J153" s="363">
        <v>0</v>
      </c>
      <c r="K153" s="386">
        <v>0</v>
      </c>
      <c r="L153" s="581">
        <f t="shared" si="23"/>
        <v>0</v>
      </c>
      <c r="M153" s="363">
        <f t="shared" si="23"/>
        <v>16238</v>
      </c>
      <c r="N153" s="582">
        <f t="shared" si="23"/>
        <v>16238</v>
      </c>
    </row>
    <row r="154" spans="1:14" ht="12.75">
      <c r="A154" s="358" t="s">
        <v>1030</v>
      </c>
      <c r="B154" s="465" t="s">
        <v>1043</v>
      </c>
      <c r="C154" s="363">
        <v>375327</v>
      </c>
      <c r="D154" s="363">
        <v>343754</v>
      </c>
      <c r="E154" s="386">
        <v>343753</v>
      </c>
      <c r="F154" s="566">
        <v>6245</v>
      </c>
      <c r="G154" s="363">
        <v>6925</v>
      </c>
      <c r="H154" s="448">
        <v>6925</v>
      </c>
      <c r="I154" s="482">
        <v>15</v>
      </c>
      <c r="J154" s="363">
        <v>4</v>
      </c>
      <c r="K154" s="386">
        <v>4</v>
      </c>
      <c r="L154" s="581">
        <f t="shared" si="23"/>
        <v>381587</v>
      </c>
      <c r="M154" s="363">
        <f t="shared" si="23"/>
        <v>350683</v>
      </c>
      <c r="N154" s="582">
        <f t="shared" si="23"/>
        <v>350682</v>
      </c>
    </row>
    <row r="155" spans="1:14" ht="12.75">
      <c r="A155" s="358" t="s">
        <v>1031</v>
      </c>
      <c r="B155" s="465" t="s">
        <v>892</v>
      </c>
      <c r="C155" s="363"/>
      <c r="D155" s="363"/>
      <c r="E155" s="386"/>
      <c r="F155" s="566"/>
      <c r="G155" s="363"/>
      <c r="H155" s="448"/>
      <c r="I155" s="482">
        <v>0</v>
      </c>
      <c r="J155" s="363">
        <v>0</v>
      </c>
      <c r="K155" s="386">
        <v>0</v>
      </c>
      <c r="L155" s="581">
        <f t="shared" si="23"/>
        <v>0</v>
      </c>
      <c r="M155" s="363">
        <f t="shared" si="23"/>
        <v>0</v>
      </c>
      <c r="N155" s="582">
        <f t="shared" si="23"/>
        <v>0</v>
      </c>
    </row>
    <row r="156" spans="1:14" ht="13.5" thickBot="1">
      <c r="A156" s="454" t="s">
        <v>1044</v>
      </c>
      <c r="B156" s="466" t="s">
        <v>893</v>
      </c>
      <c r="C156" s="363">
        <v>0</v>
      </c>
      <c r="D156" s="363">
        <v>0</v>
      </c>
      <c r="E156" s="386">
        <v>0</v>
      </c>
      <c r="F156" s="566">
        <v>0</v>
      </c>
      <c r="G156" s="363">
        <v>0</v>
      </c>
      <c r="H156" s="448">
        <v>0</v>
      </c>
      <c r="I156" s="482">
        <v>0</v>
      </c>
      <c r="J156" s="363">
        <v>0</v>
      </c>
      <c r="K156" s="386">
        <v>0</v>
      </c>
      <c r="L156" s="581">
        <f t="shared" si="23"/>
        <v>0</v>
      </c>
      <c r="M156" s="363">
        <f t="shared" si="23"/>
        <v>0</v>
      </c>
      <c r="N156" s="582">
        <f t="shared" si="23"/>
        <v>0</v>
      </c>
    </row>
    <row r="157" spans="1:14" ht="13.5" thickBot="1">
      <c r="A157" s="355" t="s">
        <v>1032</v>
      </c>
      <c r="B157" s="464" t="s">
        <v>1033</v>
      </c>
      <c r="C157" s="467">
        <f>SUM(C158:C161)</f>
        <v>0</v>
      </c>
      <c r="D157" s="467">
        <f aca="true" t="shared" si="33" ref="D157:K157">SUM(D158:D161)</f>
        <v>0</v>
      </c>
      <c r="E157" s="638">
        <f t="shared" si="33"/>
        <v>0</v>
      </c>
      <c r="F157" s="640">
        <f t="shared" si="33"/>
        <v>0</v>
      </c>
      <c r="G157" s="467">
        <f t="shared" si="33"/>
        <v>0</v>
      </c>
      <c r="H157" s="641">
        <f t="shared" si="33"/>
        <v>0</v>
      </c>
      <c r="I157" s="639">
        <f t="shared" si="33"/>
        <v>0</v>
      </c>
      <c r="J157" s="467">
        <f t="shared" si="33"/>
        <v>0</v>
      </c>
      <c r="K157" s="638">
        <f t="shared" si="33"/>
        <v>0</v>
      </c>
      <c r="L157" s="600">
        <f t="shared" si="23"/>
        <v>0</v>
      </c>
      <c r="M157" s="467">
        <f t="shared" si="23"/>
        <v>0</v>
      </c>
      <c r="N157" s="643">
        <f t="shared" si="23"/>
        <v>0</v>
      </c>
    </row>
    <row r="158" spans="1:14" ht="12.75">
      <c r="A158" s="358" t="s">
        <v>1034</v>
      </c>
      <c r="B158" s="465" t="s">
        <v>894</v>
      </c>
      <c r="C158" s="363">
        <v>0</v>
      </c>
      <c r="D158" s="363">
        <v>0</v>
      </c>
      <c r="E158" s="386">
        <v>0</v>
      </c>
      <c r="F158" s="566">
        <v>0</v>
      </c>
      <c r="G158" s="363">
        <v>0</v>
      </c>
      <c r="H158" s="448">
        <v>0</v>
      </c>
      <c r="I158" s="482">
        <v>0</v>
      </c>
      <c r="J158" s="363">
        <v>0</v>
      </c>
      <c r="K158" s="386">
        <v>0</v>
      </c>
      <c r="L158" s="581">
        <f t="shared" si="23"/>
        <v>0</v>
      </c>
      <c r="M158" s="363">
        <f t="shared" si="23"/>
        <v>0</v>
      </c>
      <c r="N158" s="582">
        <f t="shared" si="23"/>
        <v>0</v>
      </c>
    </row>
    <row r="159" spans="1:14" ht="12.75">
      <c r="A159" s="358" t="s">
        <v>1035</v>
      </c>
      <c r="B159" s="465" t="s">
        <v>895</v>
      </c>
      <c r="C159" s="363">
        <v>0</v>
      </c>
      <c r="D159" s="363">
        <v>0</v>
      </c>
      <c r="E159" s="386">
        <v>0</v>
      </c>
      <c r="F159" s="566">
        <v>0</v>
      </c>
      <c r="G159" s="363">
        <v>0</v>
      </c>
      <c r="H159" s="448">
        <v>0</v>
      </c>
      <c r="I159" s="482">
        <v>0</v>
      </c>
      <c r="J159" s="363">
        <v>0</v>
      </c>
      <c r="K159" s="386">
        <v>0</v>
      </c>
      <c r="L159" s="581">
        <f t="shared" si="23"/>
        <v>0</v>
      </c>
      <c r="M159" s="363">
        <f t="shared" si="23"/>
        <v>0</v>
      </c>
      <c r="N159" s="582">
        <f t="shared" si="23"/>
        <v>0</v>
      </c>
    </row>
    <row r="160" spans="1:14" ht="12.75">
      <c r="A160" s="358" t="s">
        <v>1036</v>
      </c>
      <c r="B160" s="465" t="s">
        <v>896</v>
      </c>
      <c r="C160" s="363">
        <v>0</v>
      </c>
      <c r="D160" s="363">
        <v>0</v>
      </c>
      <c r="E160" s="386">
        <v>0</v>
      </c>
      <c r="F160" s="566">
        <v>0</v>
      </c>
      <c r="G160" s="363">
        <v>0</v>
      </c>
      <c r="H160" s="448">
        <v>0</v>
      </c>
      <c r="I160" s="482">
        <v>0</v>
      </c>
      <c r="J160" s="363">
        <v>0</v>
      </c>
      <c r="K160" s="386">
        <v>0</v>
      </c>
      <c r="L160" s="581">
        <f t="shared" si="23"/>
        <v>0</v>
      </c>
      <c r="M160" s="363">
        <f t="shared" si="23"/>
        <v>0</v>
      </c>
      <c r="N160" s="582">
        <f t="shared" si="23"/>
        <v>0</v>
      </c>
    </row>
    <row r="161" spans="1:14" ht="13.5" thickBot="1">
      <c r="A161" s="358" t="s">
        <v>1037</v>
      </c>
      <c r="B161" s="465" t="s">
        <v>897</v>
      </c>
      <c r="C161" s="363">
        <v>0</v>
      </c>
      <c r="D161" s="363">
        <v>0</v>
      </c>
      <c r="E161" s="386">
        <v>0</v>
      </c>
      <c r="F161" s="566">
        <v>0</v>
      </c>
      <c r="G161" s="363">
        <v>0</v>
      </c>
      <c r="H161" s="448">
        <v>0</v>
      </c>
      <c r="I161" s="482">
        <v>0</v>
      </c>
      <c r="J161" s="363">
        <v>0</v>
      </c>
      <c r="K161" s="386">
        <v>0</v>
      </c>
      <c r="L161" s="581">
        <f t="shared" si="23"/>
        <v>0</v>
      </c>
      <c r="M161" s="363">
        <f t="shared" si="23"/>
        <v>0</v>
      </c>
      <c r="N161" s="582">
        <f t="shared" si="23"/>
        <v>0</v>
      </c>
    </row>
    <row r="162" spans="1:14" ht="13.5" thickBot="1">
      <c r="A162" s="355" t="s">
        <v>1038</v>
      </c>
      <c r="B162" s="464" t="s">
        <v>1041</v>
      </c>
      <c r="C162" s="468">
        <f>SUM(C142+C146+C151+C157)</f>
        <v>375327</v>
      </c>
      <c r="D162" s="468">
        <f aca="true" t="shared" si="34" ref="D162:K162">SUM(D142+D146+D151+D157)</f>
        <v>359992</v>
      </c>
      <c r="E162" s="518">
        <f t="shared" si="34"/>
        <v>359991</v>
      </c>
      <c r="F162" s="629">
        <f t="shared" si="34"/>
        <v>6245</v>
      </c>
      <c r="G162" s="468">
        <f t="shared" si="34"/>
        <v>130569</v>
      </c>
      <c r="H162" s="642">
        <f t="shared" si="34"/>
        <v>130569</v>
      </c>
      <c r="I162" s="624">
        <f t="shared" si="34"/>
        <v>15</v>
      </c>
      <c r="J162" s="468">
        <f t="shared" si="34"/>
        <v>4</v>
      </c>
      <c r="K162" s="518">
        <f t="shared" si="34"/>
        <v>4</v>
      </c>
      <c r="L162" s="601">
        <f t="shared" si="23"/>
        <v>381587</v>
      </c>
      <c r="M162" s="468">
        <f t="shared" si="23"/>
        <v>490565</v>
      </c>
      <c r="N162" s="644">
        <f t="shared" si="23"/>
        <v>490564</v>
      </c>
    </row>
    <row r="163" spans="1:14" ht="21.75" thickBot="1">
      <c r="A163" s="470" t="s">
        <v>1039</v>
      </c>
      <c r="B163" s="381" t="s">
        <v>1040</v>
      </c>
      <c r="C163" s="468">
        <f>SUM(C137+C162)</f>
        <v>2543890</v>
      </c>
      <c r="D163" s="468">
        <f aca="true" t="shared" si="35" ref="D163:K163">SUM(D137+D162)</f>
        <v>2480154</v>
      </c>
      <c r="E163" s="518">
        <f t="shared" si="35"/>
        <v>2213508</v>
      </c>
      <c r="F163" s="629">
        <f t="shared" si="35"/>
        <v>488926</v>
      </c>
      <c r="G163" s="468">
        <f t="shared" si="35"/>
        <v>580965</v>
      </c>
      <c r="H163" s="642">
        <f t="shared" si="35"/>
        <v>526775</v>
      </c>
      <c r="I163" s="624">
        <f t="shared" si="35"/>
        <v>37562</v>
      </c>
      <c r="J163" s="468">
        <f t="shared" si="35"/>
        <v>37963</v>
      </c>
      <c r="K163" s="518">
        <f t="shared" si="35"/>
        <v>36729</v>
      </c>
      <c r="L163" s="601">
        <f t="shared" si="23"/>
        <v>3070378</v>
      </c>
      <c r="M163" s="468">
        <f t="shared" si="23"/>
        <v>3099082</v>
      </c>
      <c r="N163" s="644">
        <f t="shared" si="23"/>
        <v>2777012</v>
      </c>
    </row>
    <row r="164" spans="1:14" ht="13.5" thickBot="1">
      <c r="A164" s="355" t="s">
        <v>1103</v>
      </c>
      <c r="B164" s="464" t="s">
        <v>1098</v>
      </c>
      <c r="C164" s="468">
        <f>-193557-181770</f>
        <v>-375327</v>
      </c>
      <c r="D164" s="468">
        <f>-159337-184406-11</f>
        <v>-343754</v>
      </c>
      <c r="E164" s="518">
        <f>-159337-184405-11</f>
        <v>-343753</v>
      </c>
      <c r="F164" s="629">
        <v>-6245</v>
      </c>
      <c r="G164" s="468">
        <v>-6925</v>
      </c>
      <c r="H164" s="642">
        <v>-6925</v>
      </c>
      <c r="I164" s="624">
        <v>-15</v>
      </c>
      <c r="J164" s="468">
        <v>-4</v>
      </c>
      <c r="K164" s="518">
        <v>-4</v>
      </c>
      <c r="L164" s="601">
        <f>SUM(C164+F164+I164)</f>
        <v>-381587</v>
      </c>
      <c r="M164" s="468">
        <f>SUM(D164+G164+J164)</f>
        <v>-350683</v>
      </c>
      <c r="N164" s="644">
        <f>SUM(E164+H164+K164)</f>
        <v>-350682</v>
      </c>
    </row>
    <row r="165" spans="1:14" ht="21.75" thickBot="1">
      <c r="A165" s="470" t="s">
        <v>1104</v>
      </c>
      <c r="B165" s="381" t="s">
        <v>1099</v>
      </c>
      <c r="C165" s="468">
        <f>SUM(C163:C164)</f>
        <v>2168563</v>
      </c>
      <c r="D165" s="468">
        <f aca="true" t="shared" si="36" ref="D165:N165">SUM(D163:D164)</f>
        <v>2136400</v>
      </c>
      <c r="E165" s="518">
        <f t="shared" si="36"/>
        <v>1869755</v>
      </c>
      <c r="F165" s="629">
        <f t="shared" si="36"/>
        <v>482681</v>
      </c>
      <c r="G165" s="468">
        <f t="shared" si="36"/>
        <v>574040</v>
      </c>
      <c r="H165" s="642">
        <f t="shared" si="36"/>
        <v>519850</v>
      </c>
      <c r="I165" s="624">
        <f t="shared" si="36"/>
        <v>37547</v>
      </c>
      <c r="J165" s="468">
        <f t="shared" si="36"/>
        <v>37959</v>
      </c>
      <c r="K165" s="518">
        <f t="shared" si="36"/>
        <v>36725</v>
      </c>
      <c r="L165" s="601">
        <f t="shared" si="36"/>
        <v>2688791</v>
      </c>
      <c r="M165" s="468">
        <f t="shared" si="36"/>
        <v>2748399</v>
      </c>
      <c r="N165" s="644">
        <f t="shared" si="36"/>
        <v>2426330</v>
      </c>
    </row>
    <row r="166" spans="1:14" ht="15.75">
      <c r="A166" s="549"/>
      <c r="B166" s="549"/>
      <c r="C166" s="550"/>
      <c r="D166" s="550"/>
      <c r="E166" s="550"/>
      <c r="F166" s="550"/>
      <c r="G166" s="550"/>
      <c r="H166" s="550"/>
      <c r="I166" s="550"/>
      <c r="J166" s="550"/>
      <c r="K166" s="550"/>
      <c r="L166" s="550"/>
      <c r="M166" s="550"/>
      <c r="N166" s="550"/>
    </row>
    <row r="167" spans="1:14" ht="15.75">
      <c r="A167" s="1213" t="s">
        <v>928</v>
      </c>
      <c r="B167" s="1213"/>
      <c r="C167" s="1213"/>
      <c r="D167" s="1213"/>
      <c r="E167" s="1213"/>
      <c r="F167" s="1213"/>
      <c r="G167" s="1213"/>
      <c r="H167" s="1213"/>
      <c r="I167" s="1213"/>
      <c r="J167" s="1213"/>
      <c r="K167" s="1213"/>
      <c r="L167" s="1213"/>
      <c r="M167" s="1213"/>
      <c r="N167" s="1213"/>
    </row>
    <row r="168" spans="1:14" ht="16.5" thickBot="1">
      <c r="A168" s="551"/>
      <c r="B168" s="551"/>
      <c r="C168" s="552"/>
      <c r="D168" s="550"/>
      <c r="E168" s="541"/>
      <c r="F168" s="552"/>
      <c r="G168" s="550"/>
      <c r="H168" s="541"/>
      <c r="I168" s="552"/>
      <c r="J168" s="550"/>
      <c r="K168" s="541"/>
      <c r="L168" s="552"/>
      <c r="M168" s="550"/>
      <c r="N168" s="541" t="s">
        <v>926</v>
      </c>
    </row>
    <row r="169" spans="1:14" ht="27" customHeight="1" thickBot="1">
      <c r="A169" s="355">
        <v>28</v>
      </c>
      <c r="B169" s="459" t="s">
        <v>929</v>
      </c>
      <c r="C169" s="394">
        <f aca="true" t="shared" si="37" ref="C169:N169">C70-C137</f>
        <v>-9575</v>
      </c>
      <c r="D169" s="394">
        <f t="shared" si="37"/>
        <v>-196232</v>
      </c>
      <c r="E169" s="394">
        <f t="shared" si="37"/>
        <v>-122462</v>
      </c>
      <c r="F169" s="394">
        <f t="shared" si="37"/>
        <v>12740</v>
      </c>
      <c r="G169" s="394">
        <f t="shared" si="37"/>
        <v>81118</v>
      </c>
      <c r="H169" s="394">
        <f t="shared" si="37"/>
        <v>106646</v>
      </c>
      <c r="I169" s="394">
        <f t="shared" si="37"/>
        <v>-8015</v>
      </c>
      <c r="J169" s="394">
        <f t="shared" si="37"/>
        <v>-8427</v>
      </c>
      <c r="K169" s="394">
        <f t="shared" si="37"/>
        <v>-7191</v>
      </c>
      <c r="L169" s="394">
        <f t="shared" si="37"/>
        <v>-4850</v>
      </c>
      <c r="M169" s="394">
        <f t="shared" si="37"/>
        <v>-123541</v>
      </c>
      <c r="N169" s="394">
        <f t="shared" si="37"/>
        <v>-23007</v>
      </c>
    </row>
    <row r="170" spans="1:14" ht="25.5" customHeight="1" thickBot="1">
      <c r="A170" s="355">
        <v>29</v>
      </c>
      <c r="B170" s="459" t="s">
        <v>930</v>
      </c>
      <c r="C170" s="394">
        <f>C93-C162</f>
        <v>4850</v>
      </c>
      <c r="D170" s="394">
        <f aca="true" t="shared" si="38" ref="D170:N170">D93-D162</f>
        <v>123541</v>
      </c>
      <c r="E170" s="394">
        <f t="shared" si="38"/>
        <v>133125</v>
      </c>
      <c r="F170" s="394">
        <f t="shared" si="38"/>
        <v>0</v>
      </c>
      <c r="G170" s="394">
        <f t="shared" si="38"/>
        <v>0</v>
      </c>
      <c r="H170" s="394">
        <f t="shared" si="38"/>
        <v>0</v>
      </c>
      <c r="I170" s="394">
        <f t="shared" si="38"/>
        <v>0</v>
      </c>
      <c r="J170" s="394">
        <f t="shared" si="38"/>
        <v>0</v>
      </c>
      <c r="K170" s="394">
        <f t="shared" si="38"/>
        <v>0</v>
      </c>
      <c r="L170" s="394">
        <f t="shared" si="38"/>
        <v>4850</v>
      </c>
      <c r="M170" s="394">
        <f t="shared" si="38"/>
        <v>123541</v>
      </c>
      <c r="N170" s="394">
        <f t="shared" si="38"/>
        <v>133125</v>
      </c>
    </row>
  </sheetData>
  <sheetProtection/>
  <mergeCells count="45">
    <mergeCell ref="F100:H100"/>
    <mergeCell ref="I100:K100"/>
    <mergeCell ref="L100:N100"/>
    <mergeCell ref="L139:N139"/>
    <mergeCell ref="A98:N98"/>
    <mergeCell ref="A100:A102"/>
    <mergeCell ref="B100:B102"/>
    <mergeCell ref="C139:E139"/>
    <mergeCell ref="F139:H139"/>
    <mergeCell ref="A167:N167"/>
    <mergeCell ref="A138:A140"/>
    <mergeCell ref="B138:B140"/>
    <mergeCell ref="C138:E138"/>
    <mergeCell ref="F138:H138"/>
    <mergeCell ref="I138:K138"/>
    <mergeCell ref="I139:K139"/>
    <mergeCell ref="L138:N138"/>
    <mergeCell ref="F8:H8"/>
    <mergeCell ref="I8:K8"/>
    <mergeCell ref="L8:N8"/>
    <mergeCell ref="C101:E101"/>
    <mergeCell ref="F101:H101"/>
    <mergeCell ref="I101:K101"/>
    <mergeCell ref="L101:N101"/>
    <mergeCell ref="C100:E100"/>
    <mergeCell ref="F50:H50"/>
    <mergeCell ref="I50:K50"/>
    <mergeCell ref="B3:N3"/>
    <mergeCell ref="B4:E4"/>
    <mergeCell ref="B5:N5"/>
    <mergeCell ref="A7:A9"/>
    <mergeCell ref="B7:B9"/>
    <mergeCell ref="C7:E7"/>
    <mergeCell ref="F7:H7"/>
    <mergeCell ref="I7:K7"/>
    <mergeCell ref="L7:N7"/>
    <mergeCell ref="C8:E8"/>
    <mergeCell ref="A50:A52"/>
    <mergeCell ref="B50:B52"/>
    <mergeCell ref="C51:E51"/>
    <mergeCell ref="F51:H51"/>
    <mergeCell ref="I51:K51"/>
    <mergeCell ref="L51:N51"/>
    <mergeCell ref="L50:N50"/>
    <mergeCell ref="C50:E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3" manualBreakCount="3">
    <brk id="49" max="255" man="1"/>
    <brk id="96" max="13" man="1"/>
    <brk id="137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N177"/>
  <sheetViews>
    <sheetView zoomScalePageLayoutView="0" workbookViewId="0" topLeftCell="A1">
      <selection activeCell="N2" sqref="N2"/>
    </sheetView>
  </sheetViews>
  <sheetFormatPr defaultColWidth="8.875" defaultRowHeight="12.75"/>
  <cols>
    <col min="1" max="1" width="7.625" style="150" customWidth="1"/>
    <col min="2" max="2" width="51.00390625" style="3" customWidth="1"/>
    <col min="3" max="3" width="11.375" style="3" customWidth="1"/>
    <col min="4" max="4" width="11.25390625" style="3" customWidth="1"/>
    <col min="5" max="5" width="9.875" style="3" customWidth="1"/>
    <col min="6" max="7" width="11.125" style="3" customWidth="1"/>
    <col min="8" max="8" width="9.375" style="3" customWidth="1"/>
    <col min="9" max="9" width="11.00390625" style="3" customWidth="1"/>
    <col min="10" max="10" width="11.25390625" style="3" customWidth="1"/>
    <col min="11" max="11" width="9.75390625" style="3" customWidth="1"/>
    <col min="12" max="12" width="10.75390625" style="3" customWidth="1"/>
    <col min="13" max="13" width="11.00390625" style="3" customWidth="1"/>
    <col min="14" max="14" width="10.375" style="3" customWidth="1"/>
    <col min="15" max="16384" width="8.875" style="3" customWidth="1"/>
  </cols>
  <sheetData>
    <row r="1" spans="5:14" ht="12.75">
      <c r="E1" s="155"/>
      <c r="H1" s="155"/>
      <c r="K1" s="155"/>
      <c r="N1" s="64" t="s">
        <v>1470</v>
      </c>
    </row>
    <row r="2" ht="15" customHeight="1"/>
    <row r="3" spans="1:14" s="4" customFormat="1" ht="14.25" customHeight="1">
      <c r="A3" s="158"/>
      <c r="B3" s="1186" t="s">
        <v>1426</v>
      </c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</row>
    <row r="4" spans="1:5" s="4" customFormat="1" ht="14.25">
      <c r="A4" s="158"/>
      <c r="B4" s="1186"/>
      <c r="C4" s="1186"/>
      <c r="D4" s="1186"/>
      <c r="E4" s="1186"/>
    </row>
    <row r="5" spans="1:14" s="4" customFormat="1" ht="15.75">
      <c r="A5" s="158"/>
      <c r="B5" s="1210" t="s">
        <v>925</v>
      </c>
      <c r="C5" s="1210"/>
      <c r="D5" s="1210"/>
      <c r="E5" s="1210"/>
      <c r="F5" s="1210"/>
      <c r="G5" s="1210"/>
      <c r="H5" s="1210"/>
      <c r="I5" s="1210"/>
      <c r="J5" s="1210"/>
      <c r="K5" s="1210"/>
      <c r="L5" s="1210"/>
      <c r="M5" s="1210"/>
      <c r="N5" s="1210"/>
    </row>
    <row r="6" spans="5:14" ht="14.25" thickBot="1">
      <c r="E6" s="547"/>
      <c r="H6" s="547"/>
      <c r="K6" s="547"/>
      <c r="N6" s="547" t="s">
        <v>926</v>
      </c>
    </row>
    <row r="7" spans="1:14" ht="12.75" customHeight="1">
      <c r="A7" s="1195" t="s">
        <v>676</v>
      </c>
      <c r="B7" s="1198" t="s">
        <v>677</v>
      </c>
      <c r="C7" s="1194" t="s">
        <v>1185</v>
      </c>
      <c r="D7" s="1208"/>
      <c r="E7" s="1208"/>
      <c r="F7" s="1211" t="s">
        <v>1185</v>
      </c>
      <c r="G7" s="1208"/>
      <c r="H7" s="1212"/>
      <c r="I7" s="1208" t="s">
        <v>1185</v>
      </c>
      <c r="J7" s="1208"/>
      <c r="K7" s="1208"/>
      <c r="L7" s="1207" t="s">
        <v>1185</v>
      </c>
      <c r="M7" s="1208"/>
      <c r="N7" s="1209"/>
    </row>
    <row r="8" spans="1:14" ht="12.75">
      <c r="A8" s="1196"/>
      <c r="B8" s="1199"/>
      <c r="C8" s="1201" t="s">
        <v>931</v>
      </c>
      <c r="D8" s="1202"/>
      <c r="E8" s="1203"/>
      <c r="F8" s="1204" t="s">
        <v>932</v>
      </c>
      <c r="G8" s="1202"/>
      <c r="H8" s="1203"/>
      <c r="I8" s="1204" t="s">
        <v>933</v>
      </c>
      <c r="J8" s="1202"/>
      <c r="K8" s="1205"/>
      <c r="L8" s="1206" t="s">
        <v>934</v>
      </c>
      <c r="M8" s="1202"/>
      <c r="N8" s="1205"/>
    </row>
    <row r="9" spans="1:14" ht="24.75" thickBot="1">
      <c r="A9" s="1197"/>
      <c r="B9" s="1200"/>
      <c r="C9" s="352" t="s">
        <v>37</v>
      </c>
      <c r="D9" s="352" t="s">
        <v>38</v>
      </c>
      <c r="E9" s="382" t="s">
        <v>20</v>
      </c>
      <c r="F9" s="428" t="s">
        <v>37</v>
      </c>
      <c r="G9" s="352" t="s">
        <v>38</v>
      </c>
      <c r="H9" s="548" t="s">
        <v>20</v>
      </c>
      <c r="I9" s="557" t="s">
        <v>37</v>
      </c>
      <c r="J9" s="352" t="s">
        <v>38</v>
      </c>
      <c r="K9" s="382" t="s">
        <v>20</v>
      </c>
      <c r="L9" s="573" t="s">
        <v>37</v>
      </c>
      <c r="M9" s="352" t="s">
        <v>38</v>
      </c>
      <c r="N9" s="574" t="s">
        <v>20</v>
      </c>
    </row>
    <row r="10" spans="1:14" ht="13.5" thickBot="1">
      <c r="A10" s="353" t="s">
        <v>221</v>
      </c>
      <c r="B10" s="354" t="s">
        <v>222</v>
      </c>
      <c r="C10" s="354" t="s">
        <v>223</v>
      </c>
      <c r="D10" s="354" t="s">
        <v>224</v>
      </c>
      <c r="E10" s="383" t="s">
        <v>225</v>
      </c>
      <c r="F10" s="353" t="s">
        <v>226</v>
      </c>
      <c r="G10" s="354" t="s">
        <v>227</v>
      </c>
      <c r="H10" s="563" t="s">
        <v>228</v>
      </c>
      <c r="I10" s="558" t="s">
        <v>229</v>
      </c>
      <c r="J10" s="354" t="s">
        <v>118</v>
      </c>
      <c r="K10" s="383" t="s">
        <v>119</v>
      </c>
      <c r="L10" s="575" t="s">
        <v>120</v>
      </c>
      <c r="M10" s="354" t="s">
        <v>121</v>
      </c>
      <c r="N10" s="576" t="s">
        <v>1461</v>
      </c>
    </row>
    <row r="11" spans="1:14" ht="13.5" thickBot="1">
      <c r="A11" s="355" t="s">
        <v>678</v>
      </c>
      <c r="B11" s="356" t="s">
        <v>679</v>
      </c>
      <c r="C11" s="357">
        <f>SUM(C12:C17)</f>
        <v>525185</v>
      </c>
      <c r="D11" s="357">
        <f aca="true" t="shared" si="0" ref="D11:K11">SUM(D12:D17)</f>
        <v>537190</v>
      </c>
      <c r="E11" s="511">
        <f t="shared" si="0"/>
        <v>537190</v>
      </c>
      <c r="F11" s="564">
        <f t="shared" si="0"/>
        <v>0</v>
      </c>
      <c r="G11" s="357">
        <f t="shared" si="0"/>
        <v>0</v>
      </c>
      <c r="H11" s="394">
        <f t="shared" si="0"/>
        <v>0</v>
      </c>
      <c r="I11" s="484">
        <f t="shared" si="0"/>
        <v>0</v>
      </c>
      <c r="J11" s="357">
        <f t="shared" si="0"/>
        <v>0</v>
      </c>
      <c r="K11" s="511">
        <f t="shared" si="0"/>
        <v>0</v>
      </c>
      <c r="L11" s="577">
        <f>SUM(C11+F11+I11)</f>
        <v>525185</v>
      </c>
      <c r="M11" s="357">
        <f>SUM(D11+G11+J11)</f>
        <v>537190</v>
      </c>
      <c r="N11" s="604">
        <f>SUM(E11+H11+K11)</f>
        <v>537190</v>
      </c>
    </row>
    <row r="12" spans="1:14" ht="14.25" customHeight="1">
      <c r="A12" s="358" t="s">
        <v>680</v>
      </c>
      <c r="B12" s="359" t="s">
        <v>681</v>
      </c>
      <c r="C12" s="360">
        <v>203895</v>
      </c>
      <c r="D12" s="360">
        <v>204415</v>
      </c>
      <c r="E12" s="385">
        <v>204415</v>
      </c>
      <c r="F12" s="565">
        <v>0</v>
      </c>
      <c r="G12" s="360">
        <v>0</v>
      </c>
      <c r="H12" s="461">
        <v>0</v>
      </c>
      <c r="I12" s="485">
        <v>0</v>
      </c>
      <c r="J12" s="360">
        <v>0</v>
      </c>
      <c r="K12" s="385">
        <v>0</v>
      </c>
      <c r="L12" s="579">
        <f aca="true" t="shared" si="1" ref="L12:L79">SUM(C12+F12+I12)</f>
        <v>203895</v>
      </c>
      <c r="M12" s="360">
        <f aca="true" t="shared" si="2" ref="M12:M79">SUM(D12+G12+J12)</f>
        <v>204415</v>
      </c>
      <c r="N12" s="580">
        <f aca="true" t="shared" si="3" ref="N12:N79">SUM(E12+H12+K12)</f>
        <v>204415</v>
      </c>
    </row>
    <row r="13" spans="1:14" ht="12.75">
      <c r="A13" s="361" t="s">
        <v>682</v>
      </c>
      <c r="B13" s="362" t="s">
        <v>683</v>
      </c>
      <c r="C13" s="363">
        <v>130224</v>
      </c>
      <c r="D13" s="363">
        <v>135985</v>
      </c>
      <c r="E13" s="386">
        <v>135985</v>
      </c>
      <c r="F13" s="566"/>
      <c r="G13" s="363"/>
      <c r="H13" s="448"/>
      <c r="I13" s="482"/>
      <c r="J13" s="363">
        <v>0</v>
      </c>
      <c r="K13" s="386">
        <v>0</v>
      </c>
      <c r="L13" s="581">
        <f t="shared" si="1"/>
        <v>130224</v>
      </c>
      <c r="M13" s="363">
        <f t="shared" si="2"/>
        <v>135985</v>
      </c>
      <c r="N13" s="582">
        <f t="shared" si="3"/>
        <v>135985</v>
      </c>
    </row>
    <row r="14" spans="1:14" ht="22.5">
      <c r="A14" s="361" t="s">
        <v>684</v>
      </c>
      <c r="B14" s="362" t="s">
        <v>1345</v>
      </c>
      <c r="C14" s="363">
        <v>180567</v>
      </c>
      <c r="D14" s="363">
        <v>178321</v>
      </c>
      <c r="E14" s="386">
        <v>178321</v>
      </c>
      <c r="F14" s="566"/>
      <c r="G14" s="363"/>
      <c r="H14" s="448"/>
      <c r="I14" s="482"/>
      <c r="J14" s="363">
        <v>0</v>
      </c>
      <c r="K14" s="386">
        <v>0</v>
      </c>
      <c r="L14" s="581">
        <f t="shared" si="1"/>
        <v>180567</v>
      </c>
      <c r="M14" s="363">
        <f t="shared" si="2"/>
        <v>178321</v>
      </c>
      <c r="N14" s="582">
        <f t="shared" si="3"/>
        <v>178321</v>
      </c>
    </row>
    <row r="15" spans="1:14" s="151" customFormat="1" ht="12.75">
      <c r="A15" s="361" t="s">
        <v>686</v>
      </c>
      <c r="B15" s="362" t="s">
        <v>687</v>
      </c>
      <c r="C15" s="363">
        <v>10499</v>
      </c>
      <c r="D15" s="363">
        <v>10916</v>
      </c>
      <c r="E15" s="386">
        <v>10916</v>
      </c>
      <c r="F15" s="566"/>
      <c r="G15" s="363"/>
      <c r="H15" s="448"/>
      <c r="I15" s="482"/>
      <c r="J15" s="363">
        <v>0</v>
      </c>
      <c r="K15" s="386">
        <v>0</v>
      </c>
      <c r="L15" s="581">
        <f t="shared" si="1"/>
        <v>10499</v>
      </c>
      <c r="M15" s="363">
        <f t="shared" si="2"/>
        <v>10916</v>
      </c>
      <c r="N15" s="582">
        <f t="shared" si="3"/>
        <v>10916</v>
      </c>
    </row>
    <row r="16" spans="1:14" ht="12.75">
      <c r="A16" s="361" t="s">
        <v>688</v>
      </c>
      <c r="B16" s="362" t="s">
        <v>1346</v>
      </c>
      <c r="C16" s="363">
        <v>0</v>
      </c>
      <c r="D16" s="363">
        <v>7553</v>
      </c>
      <c r="E16" s="386">
        <v>7553</v>
      </c>
      <c r="F16" s="566"/>
      <c r="G16" s="363"/>
      <c r="H16" s="448"/>
      <c r="I16" s="482"/>
      <c r="J16" s="363">
        <v>0</v>
      </c>
      <c r="K16" s="386">
        <v>0</v>
      </c>
      <c r="L16" s="581">
        <f t="shared" si="1"/>
        <v>0</v>
      </c>
      <c r="M16" s="363">
        <f t="shared" si="2"/>
        <v>7553</v>
      </c>
      <c r="N16" s="582">
        <f t="shared" si="3"/>
        <v>7553</v>
      </c>
    </row>
    <row r="17" spans="1:14" ht="13.5" thickBot="1">
      <c r="A17" s="364" t="s">
        <v>689</v>
      </c>
      <c r="B17" s="365" t="s">
        <v>1141</v>
      </c>
      <c r="C17" s="366"/>
      <c r="D17" s="366"/>
      <c r="E17" s="387"/>
      <c r="F17" s="567"/>
      <c r="G17" s="366"/>
      <c r="H17" s="449"/>
      <c r="I17" s="483"/>
      <c r="J17" s="366">
        <v>0</v>
      </c>
      <c r="K17" s="387">
        <v>0</v>
      </c>
      <c r="L17" s="583">
        <f t="shared" si="1"/>
        <v>0</v>
      </c>
      <c r="M17" s="366">
        <f t="shared" si="2"/>
        <v>0</v>
      </c>
      <c r="N17" s="584">
        <f t="shared" si="3"/>
        <v>0</v>
      </c>
    </row>
    <row r="18" spans="1:14" ht="21.75" thickBot="1">
      <c r="A18" s="355" t="s">
        <v>690</v>
      </c>
      <c r="B18" s="367" t="s">
        <v>691</v>
      </c>
      <c r="C18" s="357">
        <f>SUM(C19:C23)</f>
        <v>202146</v>
      </c>
      <c r="D18" s="357">
        <f aca="true" t="shared" si="4" ref="D18:K18">SUM(D19:D23)</f>
        <v>138629</v>
      </c>
      <c r="E18" s="511">
        <f t="shared" si="4"/>
        <v>138633</v>
      </c>
      <c r="F18" s="564">
        <f t="shared" si="4"/>
        <v>22998</v>
      </c>
      <c r="G18" s="357">
        <f t="shared" si="4"/>
        <v>33472</v>
      </c>
      <c r="H18" s="394">
        <f t="shared" si="4"/>
        <v>33357</v>
      </c>
      <c r="I18" s="484">
        <f t="shared" si="4"/>
        <v>29532</v>
      </c>
      <c r="J18" s="357">
        <f t="shared" si="4"/>
        <v>29532</v>
      </c>
      <c r="K18" s="511">
        <f t="shared" si="4"/>
        <v>29534</v>
      </c>
      <c r="L18" s="577">
        <f t="shared" si="1"/>
        <v>254676</v>
      </c>
      <c r="M18" s="357">
        <f t="shared" si="2"/>
        <v>201633</v>
      </c>
      <c r="N18" s="604">
        <f t="shared" si="3"/>
        <v>201524</v>
      </c>
    </row>
    <row r="19" spans="1:14" s="151" customFormat="1" ht="12.75">
      <c r="A19" s="358" t="s">
        <v>692</v>
      </c>
      <c r="B19" s="359" t="s">
        <v>246</v>
      </c>
      <c r="C19" s="360">
        <v>0</v>
      </c>
      <c r="D19" s="360">
        <v>12783</v>
      </c>
      <c r="E19" s="385">
        <v>12783</v>
      </c>
      <c r="F19" s="565"/>
      <c r="G19" s="360"/>
      <c r="H19" s="461"/>
      <c r="I19" s="485"/>
      <c r="J19" s="360">
        <v>0</v>
      </c>
      <c r="K19" s="385">
        <v>0</v>
      </c>
      <c r="L19" s="579">
        <f t="shared" si="1"/>
        <v>0</v>
      </c>
      <c r="M19" s="360">
        <f t="shared" si="2"/>
        <v>12783</v>
      </c>
      <c r="N19" s="580">
        <f t="shared" si="3"/>
        <v>12783</v>
      </c>
    </row>
    <row r="20" spans="1:14" s="151" customFormat="1" ht="12.75">
      <c r="A20" s="361" t="s">
        <v>693</v>
      </c>
      <c r="B20" s="362" t="s">
        <v>694</v>
      </c>
      <c r="C20" s="363"/>
      <c r="D20" s="363"/>
      <c r="E20" s="386"/>
      <c r="F20" s="566"/>
      <c r="G20" s="363"/>
      <c r="H20" s="448"/>
      <c r="I20" s="482"/>
      <c r="J20" s="363">
        <v>0</v>
      </c>
      <c r="K20" s="386">
        <v>0</v>
      </c>
      <c r="L20" s="581">
        <f t="shared" si="1"/>
        <v>0</v>
      </c>
      <c r="M20" s="363">
        <f t="shared" si="2"/>
        <v>0</v>
      </c>
      <c r="N20" s="582">
        <f t="shared" si="3"/>
        <v>0</v>
      </c>
    </row>
    <row r="21" spans="1:14" s="151" customFormat="1" ht="12.75">
      <c r="A21" s="361" t="s">
        <v>695</v>
      </c>
      <c r="B21" s="362" t="s">
        <v>696</v>
      </c>
      <c r="C21" s="363">
        <v>842</v>
      </c>
      <c r="D21" s="363">
        <v>42197</v>
      </c>
      <c r="E21" s="386">
        <v>42041</v>
      </c>
      <c r="F21" s="566"/>
      <c r="G21" s="363"/>
      <c r="H21" s="448"/>
      <c r="I21" s="482"/>
      <c r="J21" s="363">
        <v>0</v>
      </c>
      <c r="K21" s="386">
        <v>0</v>
      </c>
      <c r="L21" s="581">
        <f t="shared" si="1"/>
        <v>842</v>
      </c>
      <c r="M21" s="363">
        <f t="shared" si="2"/>
        <v>42197</v>
      </c>
      <c r="N21" s="582">
        <f t="shared" si="3"/>
        <v>42041</v>
      </c>
    </row>
    <row r="22" spans="1:14" s="151" customFormat="1" ht="22.5">
      <c r="A22" s="361" t="s">
        <v>697</v>
      </c>
      <c r="B22" s="362" t="s">
        <v>1347</v>
      </c>
      <c r="C22" s="363"/>
      <c r="D22" s="363"/>
      <c r="E22" s="386"/>
      <c r="F22" s="566"/>
      <c r="G22" s="363"/>
      <c r="H22" s="448"/>
      <c r="I22" s="482"/>
      <c r="J22" s="363">
        <v>0</v>
      </c>
      <c r="K22" s="386">
        <v>0</v>
      </c>
      <c r="L22" s="581">
        <f t="shared" si="1"/>
        <v>0</v>
      </c>
      <c r="M22" s="363">
        <f t="shared" si="2"/>
        <v>0</v>
      </c>
      <c r="N22" s="582">
        <f t="shared" si="3"/>
        <v>0</v>
      </c>
    </row>
    <row r="23" spans="1:14" s="5" customFormat="1" ht="12.75">
      <c r="A23" s="361" t="s">
        <v>699</v>
      </c>
      <c r="B23" s="362" t="s">
        <v>1348</v>
      </c>
      <c r="C23" s="363">
        <f>226+50+12000+12792+9130+18000+303+24353+96734+24756+2221+739</f>
        <v>201304</v>
      </c>
      <c r="D23" s="363">
        <f>226+50+8613+12792+3721+18000+303+18690+18294+2221+739</f>
        <v>83649</v>
      </c>
      <c r="E23" s="386">
        <f>226+50+8613+12621+3720+18153+354+19245+17779+2305+743</f>
        <v>83809</v>
      </c>
      <c r="F23" s="566">
        <f>1365+12456+2932+6245</f>
        <v>22998</v>
      </c>
      <c r="G23" s="363">
        <f>1365+12456+9426+6245+280+3000+700</f>
        <v>33472</v>
      </c>
      <c r="H23" s="448">
        <f>1297+12409+9426+6245+280+3000+700</f>
        <v>33357</v>
      </c>
      <c r="I23" s="482">
        <v>29532</v>
      </c>
      <c r="J23" s="363">
        <v>29532</v>
      </c>
      <c r="K23" s="386">
        <v>29534</v>
      </c>
      <c r="L23" s="581">
        <f t="shared" si="1"/>
        <v>253834</v>
      </c>
      <c r="M23" s="363">
        <f t="shared" si="2"/>
        <v>146653</v>
      </c>
      <c r="N23" s="582">
        <f t="shared" si="3"/>
        <v>146700</v>
      </c>
    </row>
    <row r="24" spans="1:14" ht="13.5" thickBot="1">
      <c r="A24" s="364" t="s">
        <v>701</v>
      </c>
      <c r="B24" s="365" t="s">
        <v>702</v>
      </c>
      <c r="C24" s="366"/>
      <c r="D24" s="366"/>
      <c r="E24" s="387"/>
      <c r="F24" s="567">
        <v>15388</v>
      </c>
      <c r="G24" s="366">
        <v>21882</v>
      </c>
      <c r="H24" s="449">
        <v>21835</v>
      </c>
      <c r="I24" s="483"/>
      <c r="J24" s="366">
        <v>0</v>
      </c>
      <c r="K24" s="387">
        <v>0</v>
      </c>
      <c r="L24" s="583">
        <f t="shared" si="1"/>
        <v>15388</v>
      </c>
      <c r="M24" s="366">
        <f t="shared" si="2"/>
        <v>21882</v>
      </c>
      <c r="N24" s="584">
        <f t="shared" si="3"/>
        <v>21835</v>
      </c>
    </row>
    <row r="25" spans="1:14" s="5" customFormat="1" ht="21.75" thickBot="1">
      <c r="A25" s="355" t="s">
        <v>703</v>
      </c>
      <c r="B25" s="356" t="s">
        <v>704</v>
      </c>
      <c r="C25" s="357">
        <f>SUM(C26:C30)</f>
        <v>568348</v>
      </c>
      <c r="D25" s="357">
        <f aca="true" t="shared" si="5" ref="D25:K25">SUM(D26:D30)</f>
        <v>664664</v>
      </c>
      <c r="E25" s="511">
        <f t="shared" si="5"/>
        <v>695816</v>
      </c>
      <c r="F25" s="564">
        <f t="shared" si="5"/>
        <v>464486</v>
      </c>
      <c r="G25" s="357">
        <f t="shared" si="5"/>
        <v>489124</v>
      </c>
      <c r="H25" s="394">
        <f t="shared" si="5"/>
        <v>458324</v>
      </c>
      <c r="I25" s="484">
        <f t="shared" si="5"/>
        <v>0</v>
      </c>
      <c r="J25" s="357">
        <f t="shared" si="5"/>
        <v>0</v>
      </c>
      <c r="K25" s="511">
        <f t="shared" si="5"/>
        <v>0</v>
      </c>
      <c r="L25" s="577">
        <f t="shared" si="1"/>
        <v>1032834</v>
      </c>
      <c r="M25" s="357">
        <f t="shared" si="2"/>
        <v>1153788</v>
      </c>
      <c r="N25" s="604">
        <f t="shared" si="3"/>
        <v>1154140</v>
      </c>
    </row>
    <row r="26" spans="1:14" s="5" customFormat="1" ht="15.75" customHeight="1">
      <c r="A26" s="358" t="s">
        <v>705</v>
      </c>
      <c r="B26" s="359" t="s">
        <v>706</v>
      </c>
      <c r="C26" s="360"/>
      <c r="D26" s="360">
        <v>15170</v>
      </c>
      <c r="E26" s="385">
        <v>15170</v>
      </c>
      <c r="F26" s="565"/>
      <c r="G26" s="360">
        <v>978</v>
      </c>
      <c r="H26" s="461">
        <v>978</v>
      </c>
      <c r="I26" s="485"/>
      <c r="J26" s="360"/>
      <c r="K26" s="385">
        <v>0</v>
      </c>
      <c r="L26" s="579">
        <f t="shared" si="1"/>
        <v>0</v>
      </c>
      <c r="M26" s="360">
        <f t="shared" si="2"/>
        <v>16148</v>
      </c>
      <c r="N26" s="580">
        <f t="shared" si="3"/>
        <v>16148</v>
      </c>
    </row>
    <row r="27" spans="1:14" ht="12.75">
      <c r="A27" s="361" t="s">
        <v>707</v>
      </c>
      <c r="B27" s="362" t="s">
        <v>708</v>
      </c>
      <c r="C27" s="363"/>
      <c r="D27" s="363"/>
      <c r="E27" s="386"/>
      <c r="F27" s="566"/>
      <c r="G27" s="363"/>
      <c r="H27" s="448"/>
      <c r="I27" s="482"/>
      <c r="J27" s="363"/>
      <c r="K27" s="386">
        <v>0</v>
      </c>
      <c r="L27" s="581">
        <f t="shared" si="1"/>
        <v>0</v>
      </c>
      <c r="M27" s="363">
        <f t="shared" si="2"/>
        <v>0</v>
      </c>
      <c r="N27" s="582">
        <f t="shared" si="3"/>
        <v>0</v>
      </c>
    </row>
    <row r="28" spans="1:14" ht="12" customHeight="1">
      <c r="A28" s="361" t="s">
        <v>709</v>
      </c>
      <c r="B28" s="362" t="s">
        <v>710</v>
      </c>
      <c r="C28" s="363"/>
      <c r="D28" s="363">
        <v>2199</v>
      </c>
      <c r="E28" s="386"/>
      <c r="F28" s="566"/>
      <c r="G28" s="363"/>
      <c r="H28" s="448"/>
      <c r="I28" s="482"/>
      <c r="J28" s="363"/>
      <c r="K28" s="386">
        <v>0</v>
      </c>
      <c r="L28" s="581">
        <f t="shared" si="1"/>
        <v>0</v>
      </c>
      <c r="M28" s="363">
        <f t="shared" si="2"/>
        <v>2199</v>
      </c>
      <c r="N28" s="582">
        <f t="shared" si="3"/>
        <v>0</v>
      </c>
    </row>
    <row r="29" spans="1:14" s="151" customFormat="1" ht="11.25" customHeight="1">
      <c r="A29" s="361" t="s">
        <v>711</v>
      </c>
      <c r="B29" s="362" t="s">
        <v>712</v>
      </c>
      <c r="C29" s="363"/>
      <c r="D29" s="363"/>
      <c r="E29" s="386"/>
      <c r="F29" s="566"/>
      <c r="G29" s="363"/>
      <c r="H29" s="448"/>
      <c r="I29" s="482"/>
      <c r="J29" s="363"/>
      <c r="K29" s="386">
        <v>0</v>
      </c>
      <c r="L29" s="581">
        <f t="shared" si="1"/>
        <v>0</v>
      </c>
      <c r="M29" s="363">
        <f t="shared" si="2"/>
        <v>0</v>
      </c>
      <c r="N29" s="582">
        <f t="shared" si="3"/>
        <v>0</v>
      </c>
    </row>
    <row r="30" spans="1:14" ht="11.25" customHeight="1">
      <c r="A30" s="361" t="s">
        <v>713</v>
      </c>
      <c r="B30" s="362" t="s">
        <v>1349</v>
      </c>
      <c r="C30" s="363">
        <f>560125+8223</f>
        <v>568348</v>
      </c>
      <c r="D30" s="363">
        <f>647295</f>
        <v>647295</v>
      </c>
      <c r="E30" s="386">
        <f>680645+1</f>
        <v>680646</v>
      </c>
      <c r="F30" s="566">
        <f>398636+65850</f>
        <v>464486</v>
      </c>
      <c r="G30" s="363">
        <f>421896+65850+400</f>
        <v>488146</v>
      </c>
      <c r="H30" s="448">
        <f>395699+61247+400</f>
        <v>457346</v>
      </c>
      <c r="I30" s="482"/>
      <c r="J30" s="363"/>
      <c r="K30" s="386">
        <v>0</v>
      </c>
      <c r="L30" s="581">
        <f t="shared" si="1"/>
        <v>1032834</v>
      </c>
      <c r="M30" s="363">
        <f t="shared" si="2"/>
        <v>1135441</v>
      </c>
      <c r="N30" s="582">
        <f t="shared" si="3"/>
        <v>1137992</v>
      </c>
    </row>
    <row r="31" spans="1:14" ht="13.5" thickBot="1">
      <c r="A31" s="364" t="s">
        <v>715</v>
      </c>
      <c r="B31" s="368" t="s">
        <v>716</v>
      </c>
      <c r="C31" s="366">
        <v>560125</v>
      </c>
      <c r="D31" s="366">
        <v>647295</v>
      </c>
      <c r="E31" s="387">
        <f>680645+1</f>
        <v>680646</v>
      </c>
      <c r="F31" s="567">
        <v>398636</v>
      </c>
      <c r="G31" s="366">
        <v>421896</v>
      </c>
      <c r="H31" s="449">
        <v>395699</v>
      </c>
      <c r="I31" s="483"/>
      <c r="J31" s="366"/>
      <c r="K31" s="387">
        <v>0</v>
      </c>
      <c r="L31" s="583">
        <f t="shared" si="1"/>
        <v>958761</v>
      </c>
      <c r="M31" s="366">
        <f t="shared" si="2"/>
        <v>1069191</v>
      </c>
      <c r="N31" s="584">
        <f t="shared" si="3"/>
        <v>1076345</v>
      </c>
    </row>
    <row r="32" spans="1:14" ht="13.5" thickBot="1">
      <c r="A32" s="355" t="s">
        <v>717</v>
      </c>
      <c r="B32" s="356" t="s">
        <v>718</v>
      </c>
      <c r="C32" s="357">
        <f>SUM(C37+C36+C35+C34+C33)</f>
        <v>168900</v>
      </c>
      <c r="D32" s="357">
        <f aca="true" t="shared" si="6" ref="D32:N32">SUM(D37+D36+D35+D34+D33)</f>
        <v>172404</v>
      </c>
      <c r="E32" s="511">
        <f t="shared" si="6"/>
        <v>191351</v>
      </c>
      <c r="F32" s="564">
        <f t="shared" si="6"/>
        <v>0</v>
      </c>
      <c r="G32" s="357">
        <f t="shared" si="6"/>
        <v>0</v>
      </c>
      <c r="H32" s="394">
        <f t="shared" si="6"/>
        <v>0</v>
      </c>
      <c r="I32" s="484">
        <f t="shared" si="6"/>
        <v>0</v>
      </c>
      <c r="J32" s="357">
        <f t="shared" si="6"/>
        <v>0</v>
      </c>
      <c r="K32" s="511">
        <f t="shared" si="6"/>
        <v>0</v>
      </c>
      <c r="L32" s="577">
        <f t="shared" si="6"/>
        <v>168900</v>
      </c>
      <c r="M32" s="357">
        <f t="shared" si="6"/>
        <v>172404</v>
      </c>
      <c r="N32" s="604">
        <f t="shared" si="6"/>
        <v>191351</v>
      </c>
    </row>
    <row r="33" spans="1:14" s="5" customFormat="1" ht="14.25" customHeight="1">
      <c r="A33" s="412" t="s">
        <v>719</v>
      </c>
      <c r="B33" s="362" t="s">
        <v>1350</v>
      </c>
      <c r="C33" s="363">
        <v>26500</v>
      </c>
      <c r="D33" s="363">
        <v>26500</v>
      </c>
      <c r="E33" s="386">
        <v>25794</v>
      </c>
      <c r="F33" s="566"/>
      <c r="G33" s="363"/>
      <c r="H33" s="448"/>
      <c r="I33" s="482"/>
      <c r="J33" s="363"/>
      <c r="K33" s="386"/>
      <c r="L33" s="581">
        <f t="shared" si="1"/>
        <v>26500</v>
      </c>
      <c r="M33" s="363">
        <f t="shared" si="2"/>
        <v>26500</v>
      </c>
      <c r="N33" s="582">
        <f t="shared" si="3"/>
        <v>25794</v>
      </c>
    </row>
    <row r="34" spans="1:14" ht="14.25" customHeight="1">
      <c r="A34" s="361" t="s">
        <v>725</v>
      </c>
      <c r="B34" s="362" t="s">
        <v>302</v>
      </c>
      <c r="C34" s="363">
        <v>120500</v>
      </c>
      <c r="D34" s="363">
        <v>124004</v>
      </c>
      <c r="E34" s="386">
        <v>144147</v>
      </c>
      <c r="F34" s="566"/>
      <c r="G34" s="363"/>
      <c r="H34" s="448"/>
      <c r="I34" s="482"/>
      <c r="J34" s="363"/>
      <c r="K34" s="386"/>
      <c r="L34" s="581">
        <f t="shared" si="1"/>
        <v>120500</v>
      </c>
      <c r="M34" s="363">
        <f t="shared" si="2"/>
        <v>124004</v>
      </c>
      <c r="N34" s="582">
        <f t="shared" si="3"/>
        <v>144147</v>
      </c>
    </row>
    <row r="35" spans="1:14" s="5" customFormat="1" ht="12.75">
      <c r="A35" s="361" t="s">
        <v>727</v>
      </c>
      <c r="B35" s="362" t="s">
        <v>726</v>
      </c>
      <c r="C35" s="363">
        <v>20000</v>
      </c>
      <c r="D35" s="363">
        <v>20000</v>
      </c>
      <c r="E35" s="386">
        <v>20075</v>
      </c>
      <c r="F35" s="566"/>
      <c r="G35" s="363"/>
      <c r="H35" s="448"/>
      <c r="I35" s="482"/>
      <c r="J35" s="363"/>
      <c r="K35" s="386"/>
      <c r="L35" s="581">
        <f t="shared" si="1"/>
        <v>20000</v>
      </c>
      <c r="M35" s="363">
        <f t="shared" si="2"/>
        <v>20000</v>
      </c>
      <c r="N35" s="582">
        <f t="shared" si="3"/>
        <v>20075</v>
      </c>
    </row>
    <row r="36" spans="1:14" s="5" customFormat="1" ht="12.75" customHeight="1">
      <c r="A36" s="364" t="s">
        <v>728</v>
      </c>
      <c r="B36" s="362" t="s">
        <v>1351</v>
      </c>
      <c r="C36" s="363">
        <v>200</v>
      </c>
      <c r="D36" s="363">
        <v>200</v>
      </c>
      <c r="E36" s="386">
        <v>474</v>
      </c>
      <c r="F36" s="566"/>
      <c r="G36" s="363"/>
      <c r="H36" s="448"/>
      <c r="I36" s="482"/>
      <c r="J36" s="363"/>
      <c r="K36" s="386"/>
      <c r="L36" s="581">
        <f t="shared" si="1"/>
        <v>200</v>
      </c>
      <c r="M36" s="363">
        <f t="shared" si="2"/>
        <v>200</v>
      </c>
      <c r="N36" s="582">
        <f t="shared" si="3"/>
        <v>474</v>
      </c>
    </row>
    <row r="37" spans="1:14" ht="13.5" thickBot="1">
      <c r="A37" s="364" t="s">
        <v>826</v>
      </c>
      <c r="B37" s="368" t="s">
        <v>317</v>
      </c>
      <c r="C37" s="366">
        <v>1700</v>
      </c>
      <c r="D37" s="366">
        <v>1700</v>
      </c>
      <c r="E37" s="387">
        <v>861</v>
      </c>
      <c r="F37" s="567">
        <v>0</v>
      </c>
      <c r="G37" s="366">
        <v>0</v>
      </c>
      <c r="H37" s="449">
        <v>0</v>
      </c>
      <c r="I37" s="483">
        <v>0</v>
      </c>
      <c r="J37" s="366">
        <v>0</v>
      </c>
      <c r="K37" s="387">
        <v>0</v>
      </c>
      <c r="L37" s="583">
        <f t="shared" si="1"/>
        <v>1700</v>
      </c>
      <c r="M37" s="366">
        <f t="shared" si="2"/>
        <v>1700</v>
      </c>
      <c r="N37" s="584">
        <f t="shared" si="3"/>
        <v>861</v>
      </c>
    </row>
    <row r="38" spans="1:14" ht="13.5" thickBot="1">
      <c r="A38" s="355" t="s">
        <v>729</v>
      </c>
      <c r="B38" s="356" t="s">
        <v>730</v>
      </c>
      <c r="C38" s="357">
        <f>SUM(C39:C49)</f>
        <v>398955</v>
      </c>
      <c r="D38" s="357">
        <f aca="true" t="shared" si="7" ref="D38:K38">SUM(D39:D49)</f>
        <v>115496</v>
      </c>
      <c r="E38" s="511">
        <f t="shared" si="7"/>
        <v>119614</v>
      </c>
      <c r="F38" s="564">
        <f t="shared" si="7"/>
        <v>7937</v>
      </c>
      <c r="G38" s="357">
        <f t="shared" si="7"/>
        <v>8687</v>
      </c>
      <c r="H38" s="394">
        <f t="shared" si="7"/>
        <v>10940</v>
      </c>
      <c r="I38" s="484">
        <f t="shared" si="7"/>
        <v>0</v>
      </c>
      <c r="J38" s="357">
        <f t="shared" si="7"/>
        <v>0</v>
      </c>
      <c r="K38" s="511">
        <f t="shared" si="7"/>
        <v>0</v>
      </c>
      <c r="L38" s="577">
        <f t="shared" si="1"/>
        <v>406892</v>
      </c>
      <c r="M38" s="357">
        <f t="shared" si="2"/>
        <v>124183</v>
      </c>
      <c r="N38" s="604">
        <f t="shared" si="3"/>
        <v>130554</v>
      </c>
    </row>
    <row r="39" spans="1:14" ht="12.75">
      <c r="A39" s="358" t="s">
        <v>731</v>
      </c>
      <c r="B39" s="359" t="s">
        <v>732</v>
      </c>
      <c r="C39" s="360">
        <f>8037-7937</f>
        <v>100</v>
      </c>
      <c r="D39" s="360">
        <f>8261-8003</f>
        <v>258</v>
      </c>
      <c r="E39" s="385">
        <f>10909-9992</f>
        <v>917</v>
      </c>
      <c r="F39" s="565">
        <v>7937</v>
      </c>
      <c r="G39" s="360">
        <v>8003</v>
      </c>
      <c r="H39" s="461">
        <v>9992</v>
      </c>
      <c r="I39" s="485"/>
      <c r="J39" s="360"/>
      <c r="K39" s="385">
        <v>0</v>
      </c>
      <c r="L39" s="579">
        <f t="shared" si="1"/>
        <v>8037</v>
      </c>
      <c r="M39" s="360">
        <f t="shared" si="2"/>
        <v>8261</v>
      </c>
      <c r="N39" s="580">
        <f t="shared" si="3"/>
        <v>10909</v>
      </c>
    </row>
    <row r="40" spans="1:14" s="151" customFormat="1" ht="12.75">
      <c r="A40" s="361" t="s">
        <v>733</v>
      </c>
      <c r="B40" s="362" t="s">
        <v>331</v>
      </c>
      <c r="C40" s="363">
        <v>83692</v>
      </c>
      <c r="D40" s="363">
        <f>83887-195</f>
        <v>83692</v>
      </c>
      <c r="E40" s="386">
        <f>86269-195</f>
        <v>86074</v>
      </c>
      <c r="F40" s="566"/>
      <c r="G40" s="363">
        <f>80+115</f>
        <v>195</v>
      </c>
      <c r="H40" s="448">
        <v>195</v>
      </c>
      <c r="I40" s="482"/>
      <c r="J40" s="363"/>
      <c r="K40" s="386">
        <v>0</v>
      </c>
      <c r="L40" s="581">
        <f t="shared" si="1"/>
        <v>83692</v>
      </c>
      <c r="M40" s="363">
        <f t="shared" si="2"/>
        <v>83887</v>
      </c>
      <c r="N40" s="582">
        <f t="shared" si="3"/>
        <v>86269</v>
      </c>
    </row>
    <row r="41" spans="1:14" ht="12.75">
      <c r="A41" s="361" t="s">
        <v>734</v>
      </c>
      <c r="B41" s="362" t="s">
        <v>735</v>
      </c>
      <c r="C41" s="363">
        <v>3884</v>
      </c>
      <c r="D41" s="363">
        <v>4062</v>
      </c>
      <c r="E41" s="386">
        <v>3425</v>
      </c>
      <c r="F41" s="566"/>
      <c r="G41" s="363"/>
      <c r="H41" s="448"/>
      <c r="I41" s="482"/>
      <c r="J41" s="363"/>
      <c r="K41" s="386">
        <v>0</v>
      </c>
      <c r="L41" s="581">
        <f t="shared" si="1"/>
        <v>3884</v>
      </c>
      <c r="M41" s="363">
        <f t="shared" si="2"/>
        <v>4062</v>
      </c>
      <c r="N41" s="582">
        <f t="shared" si="3"/>
        <v>3425</v>
      </c>
    </row>
    <row r="42" spans="1:14" ht="12.75">
      <c r="A42" s="361" t="s">
        <v>736</v>
      </c>
      <c r="B42" s="362" t="s">
        <v>337</v>
      </c>
      <c r="C42" s="363">
        <v>695</v>
      </c>
      <c r="D42" s="363">
        <v>829</v>
      </c>
      <c r="E42" s="386">
        <v>1006</v>
      </c>
      <c r="F42" s="566"/>
      <c r="G42" s="363"/>
      <c r="H42" s="448"/>
      <c r="I42" s="482"/>
      <c r="J42" s="363"/>
      <c r="K42" s="386">
        <v>0</v>
      </c>
      <c r="L42" s="581">
        <f t="shared" si="1"/>
        <v>695</v>
      </c>
      <c r="M42" s="363">
        <f t="shared" si="2"/>
        <v>829</v>
      </c>
      <c r="N42" s="582">
        <f t="shared" si="3"/>
        <v>1006</v>
      </c>
    </row>
    <row r="43" spans="1:14" s="151" customFormat="1" ht="12.75">
      <c r="A43" s="361" t="s">
        <v>737</v>
      </c>
      <c r="B43" s="362" t="s">
        <v>738</v>
      </c>
      <c r="C43" s="363">
        <v>3876</v>
      </c>
      <c r="D43" s="363">
        <v>3876</v>
      </c>
      <c r="E43" s="386">
        <v>4035</v>
      </c>
      <c r="F43" s="566"/>
      <c r="G43" s="363"/>
      <c r="H43" s="448"/>
      <c r="I43" s="482"/>
      <c r="J43" s="363"/>
      <c r="K43" s="386">
        <v>0</v>
      </c>
      <c r="L43" s="581">
        <f t="shared" si="1"/>
        <v>3876</v>
      </c>
      <c r="M43" s="363">
        <f t="shared" si="2"/>
        <v>3876</v>
      </c>
      <c r="N43" s="582">
        <f t="shared" si="3"/>
        <v>4035</v>
      </c>
    </row>
    <row r="44" spans="1:14" s="151" customFormat="1" ht="12.75">
      <c r="A44" s="361" t="s">
        <v>739</v>
      </c>
      <c r="B44" s="362" t="s">
        <v>740</v>
      </c>
      <c r="C44" s="363">
        <v>21363</v>
      </c>
      <c r="D44" s="363">
        <f>21530-18-22</f>
        <v>21490</v>
      </c>
      <c r="E44" s="386">
        <f>21719-18-22</f>
        <v>21679</v>
      </c>
      <c r="F44" s="566"/>
      <c r="G44" s="363">
        <f>18+22</f>
        <v>40</v>
      </c>
      <c r="H44" s="448">
        <f>18+22</f>
        <v>40</v>
      </c>
      <c r="I44" s="482"/>
      <c r="J44" s="363"/>
      <c r="K44" s="386">
        <v>0</v>
      </c>
      <c r="L44" s="581">
        <f t="shared" si="1"/>
        <v>21363</v>
      </c>
      <c r="M44" s="363">
        <f t="shared" si="2"/>
        <v>21530</v>
      </c>
      <c r="N44" s="582">
        <f t="shared" si="3"/>
        <v>21719</v>
      </c>
    </row>
    <row r="45" spans="1:14" s="5" customFormat="1" ht="12.75">
      <c r="A45" s="361" t="s">
        <v>741</v>
      </c>
      <c r="B45" s="362" t="s">
        <v>345</v>
      </c>
      <c r="C45" s="363">
        <v>284628</v>
      </c>
      <c r="D45" s="363"/>
      <c r="E45" s="386"/>
      <c r="F45" s="566"/>
      <c r="G45" s="363"/>
      <c r="H45" s="448"/>
      <c r="I45" s="482"/>
      <c r="J45" s="363"/>
      <c r="K45" s="386">
        <v>0</v>
      </c>
      <c r="L45" s="581">
        <f t="shared" si="1"/>
        <v>284628</v>
      </c>
      <c r="M45" s="363">
        <f t="shared" si="2"/>
        <v>0</v>
      </c>
      <c r="N45" s="582">
        <f t="shared" si="3"/>
        <v>0</v>
      </c>
    </row>
    <row r="46" spans="1:14" ht="12.75">
      <c r="A46" s="361" t="s">
        <v>742</v>
      </c>
      <c r="B46" s="362" t="s">
        <v>743</v>
      </c>
      <c r="C46" s="363">
        <v>447</v>
      </c>
      <c r="D46" s="363">
        <v>447</v>
      </c>
      <c r="E46" s="386">
        <f>294-4</f>
        <v>290</v>
      </c>
      <c r="F46" s="566"/>
      <c r="G46" s="430"/>
      <c r="H46" s="448">
        <v>4</v>
      </c>
      <c r="I46" s="482"/>
      <c r="J46" s="430" t="s">
        <v>1354</v>
      </c>
      <c r="K46" s="386">
        <v>0</v>
      </c>
      <c r="L46" s="581">
        <f t="shared" si="1"/>
        <v>447</v>
      </c>
      <c r="M46" s="363">
        <v>447</v>
      </c>
      <c r="N46" s="582">
        <f t="shared" si="3"/>
        <v>294</v>
      </c>
    </row>
    <row r="47" spans="1:14" s="5" customFormat="1" ht="12.75">
      <c r="A47" s="361" t="s">
        <v>744</v>
      </c>
      <c r="B47" s="362" t="s">
        <v>745</v>
      </c>
      <c r="C47" s="370"/>
      <c r="D47" s="370"/>
      <c r="E47" s="388"/>
      <c r="F47" s="569"/>
      <c r="G47" s="370">
        <v>104</v>
      </c>
      <c r="H47" s="542">
        <v>104</v>
      </c>
      <c r="I47" s="559"/>
      <c r="J47" s="370"/>
      <c r="K47" s="388">
        <v>0</v>
      </c>
      <c r="L47" s="586">
        <f t="shared" si="1"/>
        <v>0</v>
      </c>
      <c r="M47" s="370">
        <f t="shared" si="2"/>
        <v>104</v>
      </c>
      <c r="N47" s="587">
        <f t="shared" si="3"/>
        <v>104</v>
      </c>
    </row>
    <row r="48" spans="1:14" s="5" customFormat="1" ht="12.75">
      <c r="A48" s="364" t="s">
        <v>746</v>
      </c>
      <c r="B48" s="365" t="s">
        <v>1144</v>
      </c>
      <c r="C48" s="371"/>
      <c r="D48" s="371">
        <v>54</v>
      </c>
      <c r="E48" s="389">
        <v>104</v>
      </c>
      <c r="F48" s="570"/>
      <c r="G48" s="371"/>
      <c r="H48" s="543"/>
      <c r="I48" s="560"/>
      <c r="J48" s="371"/>
      <c r="K48" s="389"/>
      <c r="L48" s="586">
        <f>SUM(C48+F48+I48)</f>
        <v>0</v>
      </c>
      <c r="M48" s="370">
        <f>SUM(D48+G48+J48)</f>
        <v>54</v>
      </c>
      <c r="N48" s="587">
        <f>SUM(E48+H48+K48)</f>
        <v>104</v>
      </c>
    </row>
    <row r="49" spans="1:14" ht="14.25" customHeight="1" thickBot="1">
      <c r="A49" s="364" t="s">
        <v>1352</v>
      </c>
      <c r="B49" s="365" t="s">
        <v>747</v>
      </c>
      <c r="C49" s="371">
        <v>270</v>
      </c>
      <c r="D49" s="371">
        <v>788</v>
      </c>
      <c r="E49" s="389">
        <v>2084</v>
      </c>
      <c r="F49" s="570"/>
      <c r="G49" s="371">
        <v>345</v>
      </c>
      <c r="H49" s="543">
        <v>605</v>
      </c>
      <c r="I49" s="560"/>
      <c r="J49" s="371"/>
      <c r="K49" s="389">
        <v>0</v>
      </c>
      <c r="L49" s="588">
        <f t="shared" si="1"/>
        <v>270</v>
      </c>
      <c r="M49" s="371">
        <f t="shared" si="2"/>
        <v>1133</v>
      </c>
      <c r="N49" s="589">
        <f t="shared" si="3"/>
        <v>2689</v>
      </c>
    </row>
    <row r="50" spans="1:14" ht="12.75" customHeight="1">
      <c r="A50" s="1195" t="s">
        <v>676</v>
      </c>
      <c r="B50" s="1198" t="s">
        <v>677</v>
      </c>
      <c r="C50" s="1194" t="s">
        <v>1185</v>
      </c>
      <c r="D50" s="1208"/>
      <c r="E50" s="1208"/>
      <c r="F50" s="1211" t="s">
        <v>1185</v>
      </c>
      <c r="G50" s="1208"/>
      <c r="H50" s="1212"/>
      <c r="I50" s="1208" t="s">
        <v>1185</v>
      </c>
      <c r="J50" s="1208"/>
      <c r="K50" s="1208"/>
      <c r="L50" s="1207" t="s">
        <v>1185</v>
      </c>
      <c r="M50" s="1208"/>
      <c r="N50" s="1209"/>
    </row>
    <row r="51" spans="1:14" ht="12.75">
      <c r="A51" s="1196"/>
      <c r="B51" s="1199"/>
      <c r="C51" s="1201" t="s">
        <v>931</v>
      </c>
      <c r="D51" s="1202"/>
      <c r="E51" s="1203"/>
      <c r="F51" s="1204" t="s">
        <v>932</v>
      </c>
      <c r="G51" s="1202"/>
      <c r="H51" s="1203"/>
      <c r="I51" s="1204" t="s">
        <v>933</v>
      </c>
      <c r="J51" s="1202"/>
      <c r="K51" s="1205"/>
      <c r="L51" s="1206" t="s">
        <v>934</v>
      </c>
      <c r="M51" s="1202"/>
      <c r="N51" s="1205"/>
    </row>
    <row r="52" spans="1:14" ht="24.75" thickBot="1">
      <c r="A52" s="1197"/>
      <c r="B52" s="1200"/>
      <c r="C52" s="352" t="s">
        <v>37</v>
      </c>
      <c r="D52" s="352" t="s">
        <v>38</v>
      </c>
      <c r="E52" s="382" t="s">
        <v>20</v>
      </c>
      <c r="F52" s="428" t="s">
        <v>37</v>
      </c>
      <c r="G52" s="352" t="s">
        <v>38</v>
      </c>
      <c r="H52" s="548" t="s">
        <v>20</v>
      </c>
      <c r="I52" s="557" t="s">
        <v>37</v>
      </c>
      <c r="J52" s="352" t="s">
        <v>38</v>
      </c>
      <c r="K52" s="382" t="s">
        <v>20</v>
      </c>
      <c r="L52" s="573" t="s">
        <v>37</v>
      </c>
      <c r="M52" s="352" t="s">
        <v>38</v>
      </c>
      <c r="N52" s="574" t="s">
        <v>20</v>
      </c>
    </row>
    <row r="53" spans="1:14" ht="13.5" thickBot="1">
      <c r="A53" s="353" t="s">
        <v>221</v>
      </c>
      <c r="B53" s="354" t="s">
        <v>222</v>
      </c>
      <c r="C53" s="354" t="s">
        <v>223</v>
      </c>
      <c r="D53" s="354" t="s">
        <v>224</v>
      </c>
      <c r="E53" s="383" t="s">
        <v>225</v>
      </c>
      <c r="F53" s="353" t="s">
        <v>226</v>
      </c>
      <c r="G53" s="354" t="s">
        <v>227</v>
      </c>
      <c r="H53" s="563" t="s">
        <v>228</v>
      </c>
      <c r="I53" s="558" t="s">
        <v>229</v>
      </c>
      <c r="J53" s="354" t="s">
        <v>118</v>
      </c>
      <c r="K53" s="383" t="s">
        <v>119</v>
      </c>
      <c r="L53" s="575" t="s">
        <v>120</v>
      </c>
      <c r="M53" s="354" t="s">
        <v>121</v>
      </c>
      <c r="N53" s="576" t="s">
        <v>1461</v>
      </c>
    </row>
    <row r="54" spans="1:14" s="5" customFormat="1" ht="13.5" thickBot="1">
      <c r="A54" s="355" t="s">
        <v>748</v>
      </c>
      <c r="B54" s="356" t="s">
        <v>749</v>
      </c>
      <c r="C54" s="357">
        <f>SUM(C55:C59)</f>
        <v>43272</v>
      </c>
      <c r="D54" s="357">
        <f aca="true" t="shared" si="8" ref="D54:K54">SUM(D55:D59)</f>
        <v>36892</v>
      </c>
      <c r="E54" s="511">
        <f t="shared" si="8"/>
        <v>8036</v>
      </c>
      <c r="F54" s="564">
        <f t="shared" si="8"/>
        <v>0</v>
      </c>
      <c r="G54" s="357">
        <f t="shared" si="8"/>
        <v>0</v>
      </c>
      <c r="H54" s="394">
        <f t="shared" si="8"/>
        <v>0</v>
      </c>
      <c r="I54" s="484">
        <f t="shared" si="8"/>
        <v>0</v>
      </c>
      <c r="J54" s="357">
        <f t="shared" si="8"/>
        <v>0</v>
      </c>
      <c r="K54" s="511">
        <f t="shared" si="8"/>
        <v>0</v>
      </c>
      <c r="L54" s="577">
        <f t="shared" si="1"/>
        <v>43272</v>
      </c>
      <c r="M54" s="357">
        <f t="shared" si="2"/>
        <v>36892</v>
      </c>
      <c r="N54" s="604">
        <f t="shared" si="3"/>
        <v>8036</v>
      </c>
    </row>
    <row r="55" spans="1:14" s="166" customFormat="1" ht="12.75">
      <c r="A55" s="358" t="s">
        <v>750</v>
      </c>
      <c r="B55" s="359" t="s">
        <v>30</v>
      </c>
      <c r="C55" s="372">
        <v>0</v>
      </c>
      <c r="D55" s="372">
        <v>0</v>
      </c>
      <c r="E55" s="390">
        <v>0</v>
      </c>
      <c r="F55" s="571">
        <v>0</v>
      </c>
      <c r="G55" s="372">
        <v>0</v>
      </c>
      <c r="H55" s="544">
        <v>0</v>
      </c>
      <c r="I55" s="561">
        <v>0</v>
      </c>
      <c r="J55" s="372">
        <v>0</v>
      </c>
      <c r="K55" s="390">
        <v>0</v>
      </c>
      <c r="L55" s="590">
        <f t="shared" si="1"/>
        <v>0</v>
      </c>
      <c r="M55" s="372">
        <f t="shared" si="2"/>
        <v>0</v>
      </c>
      <c r="N55" s="591">
        <f t="shared" si="3"/>
        <v>0</v>
      </c>
    </row>
    <row r="56" spans="1:14" s="5" customFormat="1" ht="12.75">
      <c r="A56" s="361" t="s">
        <v>751</v>
      </c>
      <c r="B56" s="362" t="s">
        <v>354</v>
      </c>
      <c r="C56" s="370">
        <v>43272</v>
      </c>
      <c r="D56" s="370">
        <v>36882</v>
      </c>
      <c r="E56" s="388">
        <v>8026</v>
      </c>
      <c r="F56" s="569"/>
      <c r="G56" s="370"/>
      <c r="H56" s="542"/>
      <c r="I56" s="559"/>
      <c r="J56" s="370">
        <v>0</v>
      </c>
      <c r="K56" s="388">
        <v>0</v>
      </c>
      <c r="L56" s="586">
        <f t="shared" si="1"/>
        <v>43272</v>
      </c>
      <c r="M56" s="370">
        <f t="shared" si="2"/>
        <v>36882</v>
      </c>
      <c r="N56" s="587">
        <f t="shared" si="3"/>
        <v>8026</v>
      </c>
    </row>
    <row r="57" spans="1:14" ht="12.75">
      <c r="A57" s="361" t="s">
        <v>752</v>
      </c>
      <c r="B57" s="362" t="s">
        <v>357</v>
      </c>
      <c r="C57" s="370"/>
      <c r="D57" s="370"/>
      <c r="E57" s="388"/>
      <c r="F57" s="569"/>
      <c r="G57" s="370"/>
      <c r="H57" s="542"/>
      <c r="I57" s="559"/>
      <c r="J57" s="370">
        <v>0</v>
      </c>
      <c r="K57" s="388">
        <v>0</v>
      </c>
      <c r="L57" s="586">
        <f t="shared" si="1"/>
        <v>0</v>
      </c>
      <c r="M57" s="370">
        <f t="shared" si="2"/>
        <v>0</v>
      </c>
      <c r="N57" s="587">
        <f t="shared" si="3"/>
        <v>0</v>
      </c>
    </row>
    <row r="58" spans="1:14" ht="12.75">
      <c r="A58" s="361" t="s">
        <v>753</v>
      </c>
      <c r="B58" s="362" t="s">
        <v>359</v>
      </c>
      <c r="C58" s="370">
        <v>0</v>
      </c>
      <c r="D58" s="370">
        <v>10</v>
      </c>
      <c r="E58" s="388">
        <v>10</v>
      </c>
      <c r="F58" s="569">
        <v>0</v>
      </c>
      <c r="G58" s="370">
        <v>0</v>
      </c>
      <c r="H58" s="542">
        <v>0</v>
      </c>
      <c r="I58" s="559">
        <v>0</v>
      </c>
      <c r="J58" s="370">
        <v>0</v>
      </c>
      <c r="K58" s="388">
        <v>0</v>
      </c>
      <c r="L58" s="586">
        <f t="shared" si="1"/>
        <v>0</v>
      </c>
      <c r="M58" s="370">
        <f t="shared" si="2"/>
        <v>10</v>
      </c>
      <c r="N58" s="587">
        <f t="shared" si="3"/>
        <v>10</v>
      </c>
    </row>
    <row r="59" spans="1:14" ht="13.5" thickBot="1">
      <c r="A59" s="364" t="s">
        <v>754</v>
      </c>
      <c r="B59" s="365" t="s">
        <v>361</v>
      </c>
      <c r="C59" s="371">
        <v>0</v>
      </c>
      <c r="D59" s="371">
        <v>0</v>
      </c>
      <c r="E59" s="389">
        <v>0</v>
      </c>
      <c r="F59" s="570">
        <v>0</v>
      </c>
      <c r="G59" s="371">
        <v>0</v>
      </c>
      <c r="H59" s="543">
        <v>0</v>
      </c>
      <c r="I59" s="560">
        <v>0</v>
      </c>
      <c r="J59" s="371">
        <v>0</v>
      </c>
      <c r="K59" s="389">
        <v>0</v>
      </c>
      <c r="L59" s="588">
        <f t="shared" si="1"/>
        <v>0</v>
      </c>
      <c r="M59" s="371">
        <f t="shared" si="2"/>
        <v>0</v>
      </c>
      <c r="N59" s="589">
        <f t="shared" si="3"/>
        <v>0</v>
      </c>
    </row>
    <row r="60" spans="1:14" ht="13.5" thickBot="1">
      <c r="A60" s="355" t="s">
        <v>755</v>
      </c>
      <c r="B60" s="356" t="s">
        <v>756</v>
      </c>
      <c r="C60" s="357">
        <f>SUM(C61:C64)</f>
        <v>21668</v>
      </c>
      <c r="D60" s="357">
        <f aca="true" t="shared" si="9" ref="D60:K60">SUM(D61:D64)</f>
        <v>24547</v>
      </c>
      <c r="E60" s="511">
        <f t="shared" si="9"/>
        <v>2879</v>
      </c>
      <c r="F60" s="564">
        <f t="shared" si="9"/>
        <v>0</v>
      </c>
      <c r="G60" s="357">
        <f t="shared" si="9"/>
        <v>231</v>
      </c>
      <c r="H60" s="394">
        <f t="shared" si="9"/>
        <v>231</v>
      </c>
      <c r="I60" s="484">
        <f t="shared" si="9"/>
        <v>0</v>
      </c>
      <c r="J60" s="357">
        <f t="shared" si="9"/>
        <v>0</v>
      </c>
      <c r="K60" s="511">
        <f t="shared" si="9"/>
        <v>0</v>
      </c>
      <c r="L60" s="577">
        <f t="shared" si="1"/>
        <v>21668</v>
      </c>
      <c r="M60" s="357">
        <f t="shared" si="2"/>
        <v>24778</v>
      </c>
      <c r="N60" s="604">
        <f t="shared" si="3"/>
        <v>3110</v>
      </c>
    </row>
    <row r="61" spans="1:14" ht="22.5">
      <c r="A61" s="358" t="s">
        <v>757</v>
      </c>
      <c r="B61" s="359" t="s">
        <v>758</v>
      </c>
      <c r="C61" s="360"/>
      <c r="D61" s="360"/>
      <c r="E61" s="385"/>
      <c r="F61" s="565"/>
      <c r="G61" s="360"/>
      <c r="H61" s="461"/>
      <c r="I61" s="485"/>
      <c r="J61" s="360"/>
      <c r="K61" s="385"/>
      <c r="L61" s="579">
        <f t="shared" si="1"/>
        <v>0</v>
      </c>
      <c r="M61" s="360">
        <f t="shared" si="2"/>
        <v>0</v>
      </c>
      <c r="N61" s="580">
        <f t="shared" si="3"/>
        <v>0</v>
      </c>
    </row>
    <row r="62" spans="1:14" ht="22.5">
      <c r="A62" s="361" t="s">
        <v>759</v>
      </c>
      <c r="B62" s="362" t="s">
        <v>760</v>
      </c>
      <c r="C62" s="363">
        <v>21668</v>
      </c>
      <c r="D62" s="363">
        <v>24547</v>
      </c>
      <c r="E62" s="386">
        <v>2879</v>
      </c>
      <c r="F62" s="566"/>
      <c r="G62" s="363"/>
      <c r="H62" s="448"/>
      <c r="I62" s="482"/>
      <c r="J62" s="363"/>
      <c r="K62" s="386"/>
      <c r="L62" s="581">
        <f t="shared" si="1"/>
        <v>21668</v>
      </c>
      <c r="M62" s="363">
        <f t="shared" si="2"/>
        <v>24547</v>
      </c>
      <c r="N62" s="582">
        <f t="shared" si="3"/>
        <v>2879</v>
      </c>
    </row>
    <row r="63" spans="1:14" ht="12.75">
      <c r="A63" s="361" t="s">
        <v>761</v>
      </c>
      <c r="B63" s="362" t="s">
        <v>762</v>
      </c>
      <c r="C63" s="363"/>
      <c r="D63" s="363"/>
      <c r="E63" s="386"/>
      <c r="F63" s="566"/>
      <c r="G63" s="363">
        <f>1+230</f>
        <v>231</v>
      </c>
      <c r="H63" s="448">
        <f>1+230</f>
        <v>231</v>
      </c>
      <c r="I63" s="482"/>
      <c r="J63" s="363"/>
      <c r="K63" s="386"/>
      <c r="L63" s="581">
        <f t="shared" si="1"/>
        <v>0</v>
      </c>
      <c r="M63" s="363">
        <f t="shared" si="2"/>
        <v>231</v>
      </c>
      <c r="N63" s="582">
        <f t="shared" si="3"/>
        <v>231</v>
      </c>
    </row>
    <row r="64" spans="1:14" ht="13.5" thickBot="1">
      <c r="A64" s="364" t="s">
        <v>763</v>
      </c>
      <c r="B64" s="365" t="s">
        <v>764</v>
      </c>
      <c r="C64" s="366"/>
      <c r="D64" s="366"/>
      <c r="E64" s="387"/>
      <c r="F64" s="567"/>
      <c r="G64" s="366"/>
      <c r="H64" s="449"/>
      <c r="I64" s="483"/>
      <c r="J64" s="366"/>
      <c r="K64" s="387"/>
      <c r="L64" s="583">
        <f t="shared" si="1"/>
        <v>0</v>
      </c>
      <c r="M64" s="366">
        <f t="shared" si="2"/>
        <v>0</v>
      </c>
      <c r="N64" s="584">
        <f t="shared" si="3"/>
        <v>0</v>
      </c>
    </row>
    <row r="65" spans="1:14" ht="13.5" thickBot="1">
      <c r="A65" s="355" t="s">
        <v>765</v>
      </c>
      <c r="B65" s="367" t="s">
        <v>766</v>
      </c>
      <c r="C65" s="357">
        <f>SUM(C66:C68)</f>
        <v>212941</v>
      </c>
      <c r="D65" s="357">
        <f aca="true" t="shared" si="10" ref="D65:K65">SUM(D66:D68)</f>
        <v>216458</v>
      </c>
      <c r="E65" s="511">
        <f t="shared" si="10"/>
        <v>24706</v>
      </c>
      <c r="F65" s="564">
        <f t="shared" si="10"/>
        <v>0</v>
      </c>
      <c r="G65" s="357">
        <f t="shared" si="10"/>
        <v>0</v>
      </c>
      <c r="H65" s="394">
        <f t="shared" si="10"/>
        <v>0</v>
      </c>
      <c r="I65" s="484">
        <f t="shared" si="10"/>
        <v>0</v>
      </c>
      <c r="J65" s="357">
        <f t="shared" si="10"/>
        <v>0</v>
      </c>
      <c r="K65" s="511">
        <f t="shared" si="10"/>
        <v>0</v>
      </c>
      <c r="L65" s="577">
        <f t="shared" si="1"/>
        <v>212941</v>
      </c>
      <c r="M65" s="357">
        <f t="shared" si="2"/>
        <v>216458</v>
      </c>
      <c r="N65" s="604">
        <f t="shared" si="3"/>
        <v>24706</v>
      </c>
    </row>
    <row r="66" spans="1:14" ht="15" customHeight="1">
      <c r="A66" s="358" t="s">
        <v>767</v>
      </c>
      <c r="B66" s="359" t="s">
        <v>768</v>
      </c>
      <c r="C66" s="370">
        <v>0</v>
      </c>
      <c r="D66" s="370">
        <v>0</v>
      </c>
      <c r="E66" s="388">
        <v>0</v>
      </c>
      <c r="F66" s="569">
        <v>0</v>
      </c>
      <c r="G66" s="370">
        <v>0</v>
      </c>
      <c r="H66" s="542">
        <v>0</v>
      </c>
      <c r="I66" s="559">
        <v>0</v>
      </c>
      <c r="J66" s="370">
        <v>0</v>
      </c>
      <c r="K66" s="388">
        <v>0</v>
      </c>
      <c r="L66" s="586">
        <f t="shared" si="1"/>
        <v>0</v>
      </c>
      <c r="M66" s="370">
        <f t="shared" si="2"/>
        <v>0</v>
      </c>
      <c r="N66" s="587">
        <f t="shared" si="3"/>
        <v>0</v>
      </c>
    </row>
    <row r="67" spans="1:14" ht="22.5">
      <c r="A67" s="361" t="s">
        <v>769</v>
      </c>
      <c r="B67" s="362" t="s">
        <v>770</v>
      </c>
      <c r="C67" s="370">
        <v>40540</v>
      </c>
      <c r="D67" s="370">
        <v>40540</v>
      </c>
      <c r="E67" s="388">
        <v>0</v>
      </c>
      <c r="F67" s="569">
        <v>0</v>
      </c>
      <c r="G67" s="370">
        <v>0</v>
      </c>
      <c r="H67" s="542">
        <v>0</v>
      </c>
      <c r="I67" s="559">
        <v>0</v>
      </c>
      <c r="J67" s="370">
        <v>0</v>
      </c>
      <c r="K67" s="388">
        <v>0</v>
      </c>
      <c r="L67" s="586">
        <f t="shared" si="1"/>
        <v>40540</v>
      </c>
      <c r="M67" s="370">
        <f t="shared" si="2"/>
        <v>40540</v>
      </c>
      <c r="N67" s="587">
        <f t="shared" si="3"/>
        <v>0</v>
      </c>
    </row>
    <row r="68" spans="1:14" ht="12.75">
      <c r="A68" s="361" t="s">
        <v>771</v>
      </c>
      <c r="B68" s="362" t="s">
        <v>772</v>
      </c>
      <c r="C68" s="370">
        <v>172401</v>
      </c>
      <c r="D68" s="370">
        <v>175918</v>
      </c>
      <c r="E68" s="388">
        <v>24706</v>
      </c>
      <c r="F68" s="569">
        <v>0</v>
      </c>
      <c r="G68" s="370">
        <v>0</v>
      </c>
      <c r="H68" s="542">
        <v>0</v>
      </c>
      <c r="I68" s="559">
        <v>0</v>
      </c>
      <c r="J68" s="370">
        <v>0</v>
      </c>
      <c r="K68" s="388">
        <v>0</v>
      </c>
      <c r="L68" s="586">
        <f t="shared" si="1"/>
        <v>172401</v>
      </c>
      <c r="M68" s="370">
        <f t="shared" si="2"/>
        <v>175918</v>
      </c>
      <c r="N68" s="587">
        <f t="shared" si="3"/>
        <v>24706</v>
      </c>
    </row>
    <row r="69" spans="1:14" ht="13.5" thickBot="1">
      <c r="A69" s="364" t="s">
        <v>773</v>
      </c>
      <c r="B69" s="365" t="s">
        <v>774</v>
      </c>
      <c r="C69" s="370">
        <v>0</v>
      </c>
      <c r="D69" s="370">
        <v>0</v>
      </c>
      <c r="E69" s="388">
        <v>0</v>
      </c>
      <c r="F69" s="569">
        <v>0</v>
      </c>
      <c r="G69" s="370">
        <v>0</v>
      </c>
      <c r="H69" s="542">
        <v>0</v>
      </c>
      <c r="I69" s="559">
        <v>0</v>
      </c>
      <c r="J69" s="370">
        <v>0</v>
      </c>
      <c r="K69" s="388">
        <v>0</v>
      </c>
      <c r="L69" s="586">
        <f t="shared" si="1"/>
        <v>0</v>
      </c>
      <c r="M69" s="370">
        <f t="shared" si="2"/>
        <v>0</v>
      </c>
      <c r="N69" s="587">
        <f t="shared" si="3"/>
        <v>0</v>
      </c>
    </row>
    <row r="70" spans="1:14" ht="13.5" thickBot="1">
      <c r="A70" s="355" t="s">
        <v>775</v>
      </c>
      <c r="B70" s="356" t="s">
        <v>776</v>
      </c>
      <c r="C70" s="369">
        <f aca="true" t="shared" si="11" ref="C70:K70">SUM(C65+C60+C54+C38+C32+C25+C18+C11)</f>
        <v>2141415</v>
      </c>
      <c r="D70" s="369">
        <f t="shared" si="11"/>
        <v>1906280</v>
      </c>
      <c r="E70" s="531">
        <f t="shared" si="11"/>
        <v>1718225</v>
      </c>
      <c r="F70" s="568">
        <f t="shared" si="11"/>
        <v>495421</v>
      </c>
      <c r="G70" s="369">
        <f t="shared" si="11"/>
        <v>531514</v>
      </c>
      <c r="H70" s="636">
        <f t="shared" si="11"/>
        <v>502852</v>
      </c>
      <c r="I70" s="486">
        <f t="shared" si="11"/>
        <v>29532</v>
      </c>
      <c r="J70" s="369">
        <f t="shared" si="11"/>
        <v>29532</v>
      </c>
      <c r="K70" s="369">
        <f t="shared" si="11"/>
        <v>29534</v>
      </c>
      <c r="L70" s="585">
        <f t="shared" si="1"/>
        <v>2666368</v>
      </c>
      <c r="M70" s="369">
        <f t="shared" si="2"/>
        <v>2467326</v>
      </c>
      <c r="N70" s="637">
        <f t="shared" si="3"/>
        <v>2250611</v>
      </c>
    </row>
    <row r="71" spans="1:14" ht="13.5" thickBot="1">
      <c r="A71" s="373" t="s">
        <v>777</v>
      </c>
      <c r="B71" s="367" t="s">
        <v>778</v>
      </c>
      <c r="C71" s="357">
        <f>SUM(C72:C74)</f>
        <v>0</v>
      </c>
      <c r="D71" s="357">
        <f aca="true" t="shared" si="12" ref="D71:K71">SUM(D72:D74)</f>
        <v>0</v>
      </c>
      <c r="E71" s="511">
        <f t="shared" si="12"/>
        <v>0</v>
      </c>
      <c r="F71" s="564">
        <f t="shared" si="12"/>
        <v>0</v>
      </c>
      <c r="G71" s="357">
        <f t="shared" si="12"/>
        <v>123644</v>
      </c>
      <c r="H71" s="394">
        <f t="shared" si="12"/>
        <v>123644</v>
      </c>
      <c r="I71" s="484">
        <f t="shared" si="12"/>
        <v>0</v>
      </c>
      <c r="J71" s="357">
        <f t="shared" si="12"/>
        <v>0</v>
      </c>
      <c r="K71" s="511">
        <f t="shared" si="12"/>
        <v>0</v>
      </c>
      <c r="L71" s="577">
        <f t="shared" si="1"/>
        <v>0</v>
      </c>
      <c r="M71" s="357">
        <f t="shared" si="2"/>
        <v>123644</v>
      </c>
      <c r="N71" s="604">
        <f t="shared" si="3"/>
        <v>123644</v>
      </c>
    </row>
    <row r="72" spans="1:14" ht="12.75">
      <c r="A72" s="358" t="s">
        <v>779</v>
      </c>
      <c r="B72" s="359" t="s">
        <v>780</v>
      </c>
      <c r="C72" s="370"/>
      <c r="D72" s="370"/>
      <c r="E72" s="388"/>
      <c r="F72" s="569"/>
      <c r="G72" s="370"/>
      <c r="H72" s="542"/>
      <c r="I72" s="559"/>
      <c r="J72" s="370">
        <v>0</v>
      </c>
      <c r="K72" s="388">
        <v>0</v>
      </c>
      <c r="L72" s="586">
        <f t="shared" si="1"/>
        <v>0</v>
      </c>
      <c r="M72" s="370">
        <f t="shared" si="2"/>
        <v>0</v>
      </c>
      <c r="N72" s="587">
        <f t="shared" si="3"/>
        <v>0</v>
      </c>
    </row>
    <row r="73" spans="1:14" ht="12.75">
      <c r="A73" s="361" t="s">
        <v>781</v>
      </c>
      <c r="B73" s="362" t="s">
        <v>782</v>
      </c>
      <c r="C73" s="370">
        <v>0</v>
      </c>
      <c r="D73" s="370">
        <v>0</v>
      </c>
      <c r="E73" s="388">
        <v>0</v>
      </c>
      <c r="F73" s="569"/>
      <c r="G73" s="370">
        <v>123644</v>
      </c>
      <c r="H73" s="542">
        <v>123644</v>
      </c>
      <c r="I73" s="559">
        <v>0</v>
      </c>
      <c r="J73" s="370">
        <v>0</v>
      </c>
      <c r="K73" s="388">
        <v>0</v>
      </c>
      <c r="L73" s="586">
        <f t="shared" si="1"/>
        <v>0</v>
      </c>
      <c r="M73" s="370">
        <f t="shared" si="2"/>
        <v>123644</v>
      </c>
      <c r="N73" s="587">
        <f t="shared" si="3"/>
        <v>123644</v>
      </c>
    </row>
    <row r="74" spans="1:14" ht="13.5" thickBot="1">
      <c r="A74" s="364" t="s">
        <v>783</v>
      </c>
      <c r="B74" s="374" t="s">
        <v>784</v>
      </c>
      <c r="C74" s="370">
        <v>0</v>
      </c>
      <c r="D74" s="370">
        <v>0</v>
      </c>
      <c r="E74" s="388">
        <v>0</v>
      </c>
      <c r="F74" s="569">
        <v>0</v>
      </c>
      <c r="G74" s="370">
        <v>0</v>
      </c>
      <c r="H74" s="542">
        <v>0</v>
      </c>
      <c r="I74" s="559">
        <v>0</v>
      </c>
      <c r="J74" s="370">
        <v>0</v>
      </c>
      <c r="K74" s="388">
        <v>0</v>
      </c>
      <c r="L74" s="586">
        <f t="shared" si="1"/>
        <v>0</v>
      </c>
      <c r="M74" s="370">
        <f t="shared" si="2"/>
        <v>0</v>
      </c>
      <c r="N74" s="587">
        <f t="shared" si="3"/>
        <v>0</v>
      </c>
    </row>
    <row r="75" spans="1:14" ht="13.5" thickBot="1">
      <c r="A75" s="373" t="s">
        <v>785</v>
      </c>
      <c r="B75" s="367" t="s">
        <v>786</v>
      </c>
      <c r="C75" s="357">
        <f>SUM(C76:C79)</f>
        <v>0</v>
      </c>
      <c r="D75" s="357">
        <f aca="true" t="shared" si="13" ref="D75:K75">SUM(D76:D79)</f>
        <v>0</v>
      </c>
      <c r="E75" s="511">
        <f t="shared" si="13"/>
        <v>0</v>
      </c>
      <c r="F75" s="564">
        <f t="shared" si="13"/>
        <v>0</v>
      </c>
      <c r="G75" s="357">
        <f t="shared" si="13"/>
        <v>0</v>
      </c>
      <c r="H75" s="394">
        <f t="shared" si="13"/>
        <v>0</v>
      </c>
      <c r="I75" s="484">
        <f t="shared" si="13"/>
        <v>0</v>
      </c>
      <c r="J75" s="357">
        <f t="shared" si="13"/>
        <v>0</v>
      </c>
      <c r="K75" s="511">
        <f t="shared" si="13"/>
        <v>0</v>
      </c>
      <c r="L75" s="577">
        <f t="shared" si="1"/>
        <v>0</v>
      </c>
      <c r="M75" s="357">
        <f t="shared" si="2"/>
        <v>0</v>
      </c>
      <c r="N75" s="604">
        <f t="shared" si="3"/>
        <v>0</v>
      </c>
    </row>
    <row r="76" spans="1:14" ht="12.75">
      <c r="A76" s="358" t="s">
        <v>787</v>
      </c>
      <c r="B76" s="359" t="s">
        <v>788</v>
      </c>
      <c r="C76" s="370">
        <v>0</v>
      </c>
      <c r="D76" s="370">
        <v>0</v>
      </c>
      <c r="E76" s="388">
        <v>0</v>
      </c>
      <c r="F76" s="569">
        <v>0</v>
      </c>
      <c r="G76" s="370">
        <v>0</v>
      </c>
      <c r="H76" s="542">
        <v>0</v>
      </c>
      <c r="I76" s="559">
        <v>0</v>
      </c>
      <c r="J76" s="370">
        <v>0</v>
      </c>
      <c r="K76" s="388">
        <v>0</v>
      </c>
      <c r="L76" s="586">
        <f t="shared" si="1"/>
        <v>0</v>
      </c>
      <c r="M76" s="370">
        <f t="shared" si="2"/>
        <v>0</v>
      </c>
      <c r="N76" s="587">
        <f t="shared" si="3"/>
        <v>0</v>
      </c>
    </row>
    <row r="77" spans="1:14" ht="12.75">
      <c r="A77" s="361" t="s">
        <v>789</v>
      </c>
      <c r="B77" s="362" t="s">
        <v>790</v>
      </c>
      <c r="C77" s="370">
        <v>0</v>
      </c>
      <c r="D77" s="370">
        <v>0</v>
      </c>
      <c r="E77" s="388">
        <v>0</v>
      </c>
      <c r="F77" s="569">
        <v>0</v>
      </c>
      <c r="G77" s="370">
        <v>0</v>
      </c>
      <c r="H77" s="542">
        <v>0</v>
      </c>
      <c r="I77" s="559">
        <v>0</v>
      </c>
      <c r="J77" s="370">
        <v>0</v>
      </c>
      <c r="K77" s="388">
        <v>0</v>
      </c>
      <c r="L77" s="586">
        <f t="shared" si="1"/>
        <v>0</v>
      </c>
      <c r="M77" s="370">
        <f t="shared" si="2"/>
        <v>0</v>
      </c>
      <c r="N77" s="587">
        <f t="shared" si="3"/>
        <v>0</v>
      </c>
    </row>
    <row r="78" spans="1:14" ht="12.75">
      <c r="A78" s="361" t="s">
        <v>791</v>
      </c>
      <c r="B78" s="362" t="s">
        <v>792</v>
      </c>
      <c r="C78" s="370">
        <v>0</v>
      </c>
      <c r="D78" s="370">
        <v>0</v>
      </c>
      <c r="E78" s="388">
        <v>0</v>
      </c>
      <c r="F78" s="569">
        <v>0</v>
      </c>
      <c r="G78" s="370">
        <v>0</v>
      </c>
      <c r="H78" s="542">
        <v>0</v>
      </c>
      <c r="I78" s="559">
        <v>0</v>
      </c>
      <c r="J78" s="370">
        <v>0</v>
      </c>
      <c r="K78" s="388">
        <v>0</v>
      </c>
      <c r="L78" s="586">
        <f t="shared" si="1"/>
        <v>0</v>
      </c>
      <c r="M78" s="370">
        <f t="shared" si="2"/>
        <v>0</v>
      </c>
      <c r="N78" s="587">
        <f t="shared" si="3"/>
        <v>0</v>
      </c>
    </row>
    <row r="79" spans="1:14" ht="13.5" thickBot="1">
      <c r="A79" s="364" t="s">
        <v>793</v>
      </c>
      <c r="B79" s="365" t="s">
        <v>794</v>
      </c>
      <c r="C79" s="370">
        <v>0</v>
      </c>
      <c r="D79" s="370">
        <v>0</v>
      </c>
      <c r="E79" s="388">
        <v>0</v>
      </c>
      <c r="F79" s="569">
        <v>0</v>
      </c>
      <c r="G79" s="370">
        <v>0</v>
      </c>
      <c r="H79" s="542">
        <v>0</v>
      </c>
      <c r="I79" s="559">
        <v>0</v>
      </c>
      <c r="J79" s="370">
        <v>0</v>
      </c>
      <c r="K79" s="388">
        <v>0</v>
      </c>
      <c r="L79" s="586">
        <f t="shared" si="1"/>
        <v>0</v>
      </c>
      <c r="M79" s="370">
        <f t="shared" si="2"/>
        <v>0</v>
      </c>
      <c r="N79" s="587">
        <f t="shared" si="3"/>
        <v>0</v>
      </c>
    </row>
    <row r="80" spans="1:14" ht="13.5" thickBot="1">
      <c r="A80" s="373" t="s">
        <v>795</v>
      </c>
      <c r="B80" s="367" t="s">
        <v>796</v>
      </c>
      <c r="C80" s="357">
        <f>SUM(C81:C82)</f>
        <v>3569</v>
      </c>
      <c r="D80" s="357">
        <f aca="true" t="shared" si="14" ref="D80:K80">SUM(D81:D82)</f>
        <v>125715</v>
      </c>
      <c r="E80" s="511">
        <f t="shared" si="14"/>
        <v>125715</v>
      </c>
      <c r="F80" s="564">
        <f t="shared" si="14"/>
        <v>0</v>
      </c>
      <c r="G80" s="357">
        <f t="shared" si="14"/>
        <v>0</v>
      </c>
      <c r="H80" s="394">
        <f t="shared" si="14"/>
        <v>0</v>
      </c>
      <c r="I80" s="484">
        <f t="shared" si="14"/>
        <v>0</v>
      </c>
      <c r="J80" s="357">
        <f t="shared" si="14"/>
        <v>0</v>
      </c>
      <c r="K80" s="511">
        <f t="shared" si="14"/>
        <v>0</v>
      </c>
      <c r="L80" s="577">
        <f aca="true" t="shared" si="15" ref="L80:L94">SUM(C80+F80+I80)</f>
        <v>3569</v>
      </c>
      <c r="M80" s="357">
        <f aca="true" t="shared" si="16" ref="M80:M94">SUM(D80+G80+J80)</f>
        <v>125715</v>
      </c>
      <c r="N80" s="604">
        <f aca="true" t="shared" si="17" ref="N80:N94">SUM(E80+H80+K80)</f>
        <v>125715</v>
      </c>
    </row>
    <row r="81" spans="1:14" ht="12.75">
      <c r="A81" s="358" t="s">
        <v>797</v>
      </c>
      <c r="B81" s="359" t="s">
        <v>403</v>
      </c>
      <c r="C81" s="370">
        <v>3569</v>
      </c>
      <c r="D81" s="370">
        <v>125715</v>
      </c>
      <c r="E81" s="388">
        <v>125715</v>
      </c>
      <c r="F81" s="569"/>
      <c r="G81" s="370"/>
      <c r="H81" s="542"/>
      <c r="I81" s="559"/>
      <c r="J81" s="370">
        <v>0</v>
      </c>
      <c r="K81" s="388">
        <v>0</v>
      </c>
      <c r="L81" s="586">
        <f t="shared" si="15"/>
        <v>3569</v>
      </c>
      <c r="M81" s="370">
        <f t="shared" si="16"/>
        <v>125715</v>
      </c>
      <c r="N81" s="587">
        <f t="shared" si="17"/>
        <v>125715</v>
      </c>
    </row>
    <row r="82" spans="1:14" ht="13.5" thickBot="1">
      <c r="A82" s="364" t="s">
        <v>798</v>
      </c>
      <c r="B82" s="365" t="s">
        <v>405</v>
      </c>
      <c r="C82" s="370"/>
      <c r="D82" s="370"/>
      <c r="E82" s="388"/>
      <c r="F82" s="569">
        <v>0</v>
      </c>
      <c r="G82" s="370">
        <v>0</v>
      </c>
      <c r="H82" s="542">
        <v>0</v>
      </c>
      <c r="I82" s="559">
        <v>0</v>
      </c>
      <c r="J82" s="370">
        <v>0</v>
      </c>
      <c r="K82" s="388">
        <v>0</v>
      </c>
      <c r="L82" s="586">
        <f t="shared" si="15"/>
        <v>0</v>
      </c>
      <c r="M82" s="370">
        <f t="shared" si="16"/>
        <v>0</v>
      </c>
      <c r="N82" s="587">
        <f t="shared" si="17"/>
        <v>0</v>
      </c>
    </row>
    <row r="83" spans="1:14" ht="13.5" thickBot="1">
      <c r="A83" s="373" t="s">
        <v>799</v>
      </c>
      <c r="B83" s="367" t="s">
        <v>800</v>
      </c>
      <c r="C83" s="357">
        <f>SUM(C84:C86)</f>
        <v>0</v>
      </c>
      <c r="D83" s="357">
        <f aca="true" t="shared" si="18" ref="D83:K83">SUM(D84:D86)</f>
        <v>0</v>
      </c>
      <c r="E83" s="511">
        <f t="shared" si="18"/>
        <v>17636</v>
      </c>
      <c r="F83" s="564">
        <f t="shared" si="18"/>
        <v>0</v>
      </c>
      <c r="G83" s="357">
        <f t="shared" si="18"/>
        <v>0</v>
      </c>
      <c r="H83" s="394">
        <f t="shared" si="18"/>
        <v>0</v>
      </c>
      <c r="I83" s="484">
        <f t="shared" si="18"/>
        <v>0</v>
      </c>
      <c r="J83" s="357">
        <f t="shared" si="18"/>
        <v>0</v>
      </c>
      <c r="K83" s="511">
        <f t="shared" si="18"/>
        <v>0</v>
      </c>
      <c r="L83" s="577">
        <f t="shared" si="15"/>
        <v>0</v>
      </c>
      <c r="M83" s="357">
        <f t="shared" si="16"/>
        <v>0</v>
      </c>
      <c r="N83" s="604">
        <f t="shared" si="17"/>
        <v>17636</v>
      </c>
    </row>
    <row r="84" spans="1:14" ht="12.75">
      <c r="A84" s="358" t="s">
        <v>801</v>
      </c>
      <c r="B84" s="359" t="s">
        <v>802</v>
      </c>
      <c r="C84" s="370">
        <v>0</v>
      </c>
      <c r="D84" s="370">
        <v>0</v>
      </c>
      <c r="E84" s="388">
        <v>17636</v>
      </c>
      <c r="F84" s="569">
        <v>0</v>
      </c>
      <c r="G84" s="370">
        <v>0</v>
      </c>
      <c r="H84" s="542">
        <v>0</v>
      </c>
      <c r="I84" s="559">
        <v>0</v>
      </c>
      <c r="J84" s="370">
        <v>0</v>
      </c>
      <c r="K84" s="388">
        <v>0</v>
      </c>
      <c r="L84" s="586">
        <f t="shared" si="15"/>
        <v>0</v>
      </c>
      <c r="M84" s="370">
        <f t="shared" si="16"/>
        <v>0</v>
      </c>
      <c r="N84" s="587">
        <f t="shared" si="17"/>
        <v>17636</v>
      </c>
    </row>
    <row r="85" spans="1:14" ht="12.75">
      <c r="A85" s="361" t="s">
        <v>803</v>
      </c>
      <c r="B85" s="362" t="s">
        <v>804</v>
      </c>
      <c r="C85" s="370">
        <v>0</v>
      </c>
      <c r="D85" s="370">
        <v>0</v>
      </c>
      <c r="E85" s="388">
        <v>0</v>
      </c>
      <c r="F85" s="569">
        <v>0</v>
      </c>
      <c r="G85" s="370">
        <v>0</v>
      </c>
      <c r="H85" s="542">
        <v>0</v>
      </c>
      <c r="I85" s="559">
        <v>0</v>
      </c>
      <c r="J85" s="370">
        <v>0</v>
      </c>
      <c r="K85" s="388">
        <v>0</v>
      </c>
      <c r="L85" s="586">
        <f t="shared" si="15"/>
        <v>0</v>
      </c>
      <c r="M85" s="370">
        <f t="shared" si="16"/>
        <v>0</v>
      </c>
      <c r="N85" s="587">
        <f t="shared" si="17"/>
        <v>0</v>
      </c>
    </row>
    <row r="86" spans="1:14" ht="13.5" thickBot="1">
      <c r="A86" s="364" t="s">
        <v>805</v>
      </c>
      <c r="B86" s="368" t="s">
        <v>413</v>
      </c>
      <c r="C86" s="370">
        <v>0</v>
      </c>
      <c r="D86" s="370">
        <v>0</v>
      </c>
      <c r="E86" s="388">
        <v>0</v>
      </c>
      <c r="F86" s="569">
        <v>0</v>
      </c>
      <c r="G86" s="370">
        <v>0</v>
      </c>
      <c r="H86" s="542">
        <v>0</v>
      </c>
      <c r="I86" s="559">
        <v>0</v>
      </c>
      <c r="J86" s="370">
        <v>0</v>
      </c>
      <c r="K86" s="388">
        <v>0</v>
      </c>
      <c r="L86" s="586">
        <f t="shared" si="15"/>
        <v>0</v>
      </c>
      <c r="M86" s="370">
        <f t="shared" si="16"/>
        <v>0</v>
      </c>
      <c r="N86" s="587">
        <f t="shared" si="17"/>
        <v>0</v>
      </c>
    </row>
    <row r="87" spans="1:14" ht="13.5" thickBot="1">
      <c r="A87" s="373" t="s">
        <v>806</v>
      </c>
      <c r="B87" s="367" t="s">
        <v>807</v>
      </c>
      <c r="C87" s="357">
        <f>SUM(C88:C91)</f>
        <v>0</v>
      </c>
      <c r="D87" s="357">
        <f aca="true" t="shared" si="19" ref="D87:K87">SUM(D88:D91)</f>
        <v>0</v>
      </c>
      <c r="E87" s="511">
        <f t="shared" si="19"/>
        <v>0</v>
      </c>
      <c r="F87" s="564">
        <f t="shared" si="19"/>
        <v>0</v>
      </c>
      <c r="G87" s="357">
        <f t="shared" si="19"/>
        <v>0</v>
      </c>
      <c r="H87" s="394">
        <f t="shared" si="19"/>
        <v>0</v>
      </c>
      <c r="I87" s="484">
        <f t="shared" si="19"/>
        <v>0</v>
      </c>
      <c r="J87" s="357">
        <f t="shared" si="19"/>
        <v>0</v>
      </c>
      <c r="K87" s="511">
        <f t="shared" si="19"/>
        <v>0</v>
      </c>
      <c r="L87" s="577">
        <f t="shared" si="15"/>
        <v>0</v>
      </c>
      <c r="M87" s="357">
        <f t="shared" si="16"/>
        <v>0</v>
      </c>
      <c r="N87" s="604">
        <f t="shared" si="17"/>
        <v>0</v>
      </c>
    </row>
    <row r="88" spans="1:14" ht="12.75">
      <c r="A88" s="375" t="s">
        <v>808</v>
      </c>
      <c r="B88" s="359" t="s">
        <v>809</v>
      </c>
      <c r="C88" s="370">
        <v>0</v>
      </c>
      <c r="D88" s="370">
        <v>0</v>
      </c>
      <c r="E88" s="388">
        <v>0</v>
      </c>
      <c r="F88" s="569">
        <v>0</v>
      </c>
      <c r="G88" s="370">
        <v>0</v>
      </c>
      <c r="H88" s="542">
        <v>0</v>
      </c>
      <c r="I88" s="559">
        <v>0</v>
      </c>
      <c r="J88" s="370">
        <v>0</v>
      </c>
      <c r="K88" s="388">
        <v>0</v>
      </c>
      <c r="L88" s="586">
        <f t="shared" si="15"/>
        <v>0</v>
      </c>
      <c r="M88" s="370">
        <f t="shared" si="16"/>
        <v>0</v>
      </c>
      <c r="N88" s="587">
        <f t="shared" si="17"/>
        <v>0</v>
      </c>
    </row>
    <row r="89" spans="1:14" ht="12.75">
      <c r="A89" s="376" t="s">
        <v>810</v>
      </c>
      <c r="B89" s="362" t="s">
        <v>811</v>
      </c>
      <c r="C89" s="370">
        <v>0</v>
      </c>
      <c r="D89" s="370">
        <v>0</v>
      </c>
      <c r="E89" s="388">
        <v>0</v>
      </c>
      <c r="F89" s="569">
        <v>0</v>
      </c>
      <c r="G89" s="370">
        <v>0</v>
      </c>
      <c r="H89" s="542">
        <v>0</v>
      </c>
      <c r="I89" s="559">
        <v>0</v>
      </c>
      <c r="J89" s="370">
        <v>0</v>
      </c>
      <c r="K89" s="388">
        <v>0</v>
      </c>
      <c r="L89" s="586">
        <f t="shared" si="15"/>
        <v>0</v>
      </c>
      <c r="M89" s="370">
        <f t="shared" si="16"/>
        <v>0</v>
      </c>
      <c r="N89" s="587">
        <f t="shared" si="17"/>
        <v>0</v>
      </c>
    </row>
    <row r="90" spans="1:14" ht="12.75">
      <c r="A90" s="376" t="s">
        <v>812</v>
      </c>
      <c r="B90" s="362" t="s">
        <v>813</v>
      </c>
      <c r="C90" s="370">
        <v>0</v>
      </c>
      <c r="D90" s="370">
        <v>0</v>
      </c>
      <c r="E90" s="388">
        <v>0</v>
      </c>
      <c r="F90" s="569">
        <v>0</v>
      </c>
      <c r="G90" s="370">
        <v>0</v>
      </c>
      <c r="H90" s="542">
        <v>0</v>
      </c>
      <c r="I90" s="559">
        <v>0</v>
      </c>
      <c r="J90" s="370">
        <v>0</v>
      </c>
      <c r="K90" s="388">
        <v>0</v>
      </c>
      <c r="L90" s="586">
        <f t="shared" si="15"/>
        <v>0</v>
      </c>
      <c r="M90" s="370">
        <f t="shared" si="16"/>
        <v>0</v>
      </c>
      <c r="N90" s="587">
        <f t="shared" si="17"/>
        <v>0</v>
      </c>
    </row>
    <row r="91" spans="1:14" ht="13.5" thickBot="1">
      <c r="A91" s="377" t="s">
        <v>814</v>
      </c>
      <c r="B91" s="368" t="s">
        <v>815</v>
      </c>
      <c r="C91" s="370">
        <v>0</v>
      </c>
      <c r="D91" s="370">
        <v>0</v>
      </c>
      <c r="E91" s="388">
        <v>0</v>
      </c>
      <c r="F91" s="569">
        <v>0</v>
      </c>
      <c r="G91" s="370">
        <v>0</v>
      </c>
      <c r="H91" s="542">
        <v>0</v>
      </c>
      <c r="I91" s="559">
        <v>0</v>
      </c>
      <c r="J91" s="370">
        <v>0</v>
      </c>
      <c r="K91" s="388">
        <v>0</v>
      </c>
      <c r="L91" s="586">
        <f t="shared" si="15"/>
        <v>0</v>
      </c>
      <c r="M91" s="370">
        <f t="shared" si="16"/>
        <v>0</v>
      </c>
      <c r="N91" s="587">
        <f t="shared" si="17"/>
        <v>0</v>
      </c>
    </row>
    <row r="92" spans="1:14" ht="13.5" thickBot="1">
      <c r="A92" s="373" t="s">
        <v>816</v>
      </c>
      <c r="B92" s="367" t="s">
        <v>419</v>
      </c>
      <c r="C92" s="378">
        <v>0</v>
      </c>
      <c r="D92" s="378">
        <v>0</v>
      </c>
      <c r="E92" s="391">
        <v>0</v>
      </c>
      <c r="F92" s="572">
        <v>0</v>
      </c>
      <c r="G92" s="378">
        <v>0</v>
      </c>
      <c r="H92" s="545">
        <v>0</v>
      </c>
      <c r="I92" s="562">
        <v>0</v>
      </c>
      <c r="J92" s="378">
        <v>0</v>
      </c>
      <c r="K92" s="391">
        <v>0</v>
      </c>
      <c r="L92" s="592">
        <f t="shared" si="15"/>
        <v>0</v>
      </c>
      <c r="M92" s="378">
        <f t="shared" si="16"/>
        <v>0</v>
      </c>
      <c r="N92" s="593">
        <f t="shared" si="17"/>
        <v>0</v>
      </c>
    </row>
    <row r="93" spans="1:14" ht="13.5" customHeight="1" thickBot="1">
      <c r="A93" s="373" t="s">
        <v>817</v>
      </c>
      <c r="B93" s="379" t="s">
        <v>818</v>
      </c>
      <c r="C93" s="369">
        <f>SUM(C71+C75+C80+C83+C87+C92)</f>
        <v>3569</v>
      </c>
      <c r="D93" s="369">
        <f aca="true" t="shared" si="20" ref="D93:K93">SUM(D71+D75+D80+D83+D87+D92)</f>
        <v>125715</v>
      </c>
      <c r="E93" s="531">
        <f t="shared" si="20"/>
        <v>143351</v>
      </c>
      <c r="F93" s="568">
        <f t="shared" si="20"/>
        <v>0</v>
      </c>
      <c r="G93" s="369">
        <f t="shared" si="20"/>
        <v>123644</v>
      </c>
      <c r="H93" s="636">
        <f t="shared" si="20"/>
        <v>123644</v>
      </c>
      <c r="I93" s="486">
        <f t="shared" si="20"/>
        <v>0</v>
      </c>
      <c r="J93" s="369">
        <f t="shared" si="20"/>
        <v>0</v>
      </c>
      <c r="K93" s="531">
        <f t="shared" si="20"/>
        <v>0</v>
      </c>
      <c r="L93" s="585">
        <f t="shared" si="15"/>
        <v>3569</v>
      </c>
      <c r="M93" s="369">
        <f t="shared" si="16"/>
        <v>249359</v>
      </c>
      <c r="N93" s="637">
        <f t="shared" si="17"/>
        <v>266995</v>
      </c>
    </row>
    <row r="94" spans="1:14" ht="21.75" thickBot="1">
      <c r="A94" s="380" t="s">
        <v>819</v>
      </c>
      <c r="B94" s="381" t="s">
        <v>820</v>
      </c>
      <c r="C94" s="369">
        <f>SUM(C70+C93)</f>
        <v>2144984</v>
      </c>
      <c r="D94" s="369">
        <f aca="true" t="shared" si="21" ref="D94:K94">SUM(D70+D93)</f>
        <v>2031995</v>
      </c>
      <c r="E94" s="531">
        <f t="shared" si="21"/>
        <v>1861576</v>
      </c>
      <c r="F94" s="568">
        <f t="shared" si="21"/>
        <v>495421</v>
      </c>
      <c r="G94" s="369">
        <f t="shared" si="21"/>
        <v>655158</v>
      </c>
      <c r="H94" s="636">
        <f t="shared" si="21"/>
        <v>626496</v>
      </c>
      <c r="I94" s="486">
        <f t="shared" si="21"/>
        <v>29532</v>
      </c>
      <c r="J94" s="369">
        <f t="shared" si="21"/>
        <v>29532</v>
      </c>
      <c r="K94" s="531">
        <f t="shared" si="21"/>
        <v>29534</v>
      </c>
      <c r="L94" s="585">
        <f t="shared" si="15"/>
        <v>2669937</v>
      </c>
      <c r="M94" s="369">
        <f t="shared" si="16"/>
        <v>2716685</v>
      </c>
      <c r="N94" s="637">
        <f t="shared" si="17"/>
        <v>2517606</v>
      </c>
    </row>
    <row r="95" spans="1:14" ht="12.75">
      <c r="A95" s="553"/>
      <c r="B95" s="553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</row>
    <row r="96" spans="1:14" ht="12.75">
      <c r="A96" s="553"/>
      <c r="B96" s="553"/>
      <c r="C96" s="554"/>
      <c r="D96" s="554"/>
      <c r="E96" s="554"/>
      <c r="F96" s="554"/>
      <c r="G96" s="554"/>
      <c r="H96" s="554"/>
      <c r="I96" s="554"/>
      <c r="J96" s="554"/>
      <c r="K96" s="554"/>
      <c r="L96" s="554"/>
      <c r="M96" s="554"/>
      <c r="N96" s="554"/>
    </row>
    <row r="97" spans="1:14" ht="12.75">
      <c r="A97" s="553"/>
      <c r="B97" s="553"/>
      <c r="C97" s="554"/>
      <c r="D97" s="554"/>
      <c r="E97" s="554"/>
      <c r="F97" s="554"/>
      <c r="G97" s="554"/>
      <c r="H97" s="554"/>
      <c r="I97" s="554"/>
      <c r="J97" s="554"/>
      <c r="K97" s="554"/>
      <c r="L97" s="554"/>
      <c r="M97" s="554"/>
      <c r="N97" s="554"/>
    </row>
    <row r="98" spans="1:14" s="2" customFormat="1" ht="26.25" customHeight="1">
      <c r="A98" s="1214" t="s">
        <v>927</v>
      </c>
      <c r="B98" s="1214"/>
      <c r="C98" s="1214"/>
      <c r="D98" s="1214"/>
      <c r="E98" s="1214"/>
      <c r="F98" s="1214"/>
      <c r="G98" s="1214"/>
      <c r="H98" s="1214"/>
      <c r="I98" s="1214"/>
      <c r="J98" s="1214"/>
      <c r="K98" s="1214"/>
      <c r="L98" s="1214"/>
      <c r="M98" s="1214"/>
      <c r="N98" s="1214"/>
    </row>
    <row r="99" spans="1:14" ht="14.25" thickBot="1">
      <c r="A99" s="546"/>
      <c r="B99" s="546"/>
      <c r="C99" s="547"/>
      <c r="D99" s="547"/>
      <c r="E99" s="547"/>
      <c r="F99" s="547"/>
      <c r="G99" s="547"/>
      <c r="H99" s="547"/>
      <c r="I99" s="547"/>
      <c r="J99" s="547"/>
      <c r="K99" s="547"/>
      <c r="L99" s="547"/>
      <c r="M99" s="547"/>
      <c r="N99" s="547" t="s">
        <v>926</v>
      </c>
    </row>
    <row r="100" spans="1:14" ht="12.75" customHeight="1">
      <c r="A100" s="1195" t="s">
        <v>676</v>
      </c>
      <c r="B100" s="1198" t="s">
        <v>861</v>
      </c>
      <c r="C100" s="1194" t="s">
        <v>1185</v>
      </c>
      <c r="D100" s="1208"/>
      <c r="E100" s="1208"/>
      <c r="F100" s="1211" t="s">
        <v>1185</v>
      </c>
      <c r="G100" s="1208"/>
      <c r="H100" s="1212"/>
      <c r="I100" s="1208" t="s">
        <v>1185</v>
      </c>
      <c r="J100" s="1208"/>
      <c r="K100" s="1208"/>
      <c r="L100" s="1207" t="s">
        <v>1185</v>
      </c>
      <c r="M100" s="1208"/>
      <c r="N100" s="1209"/>
    </row>
    <row r="101" spans="1:14" ht="12.75">
      <c r="A101" s="1196"/>
      <c r="B101" s="1199"/>
      <c r="C101" s="1201" t="s">
        <v>931</v>
      </c>
      <c r="D101" s="1202"/>
      <c r="E101" s="1203"/>
      <c r="F101" s="1204" t="s">
        <v>932</v>
      </c>
      <c r="G101" s="1202"/>
      <c r="H101" s="1203"/>
      <c r="I101" s="1204" t="s">
        <v>933</v>
      </c>
      <c r="J101" s="1202"/>
      <c r="K101" s="1205"/>
      <c r="L101" s="1206" t="s">
        <v>934</v>
      </c>
      <c r="M101" s="1202"/>
      <c r="N101" s="1205"/>
    </row>
    <row r="102" spans="1:14" ht="24.75" thickBot="1">
      <c r="A102" s="1197"/>
      <c r="B102" s="1200"/>
      <c r="C102" s="352" t="s">
        <v>37</v>
      </c>
      <c r="D102" s="352" t="s">
        <v>38</v>
      </c>
      <c r="E102" s="382" t="s">
        <v>20</v>
      </c>
      <c r="F102" s="428" t="s">
        <v>37</v>
      </c>
      <c r="G102" s="352" t="s">
        <v>38</v>
      </c>
      <c r="H102" s="548" t="s">
        <v>20</v>
      </c>
      <c r="I102" s="557" t="s">
        <v>37</v>
      </c>
      <c r="J102" s="352" t="s">
        <v>38</v>
      </c>
      <c r="K102" s="382" t="s">
        <v>20</v>
      </c>
      <c r="L102" s="573" t="s">
        <v>37</v>
      </c>
      <c r="M102" s="352" t="s">
        <v>38</v>
      </c>
      <c r="N102" s="574" t="s">
        <v>20</v>
      </c>
    </row>
    <row r="103" spans="1:14" ht="13.5" thickBot="1">
      <c r="A103" s="353" t="s">
        <v>221</v>
      </c>
      <c r="B103" s="354" t="s">
        <v>222</v>
      </c>
      <c r="C103" s="354" t="s">
        <v>223</v>
      </c>
      <c r="D103" s="354" t="s">
        <v>224</v>
      </c>
      <c r="E103" s="383" t="s">
        <v>225</v>
      </c>
      <c r="F103" s="353" t="s">
        <v>226</v>
      </c>
      <c r="G103" s="354" t="s">
        <v>227</v>
      </c>
      <c r="H103" s="563" t="s">
        <v>228</v>
      </c>
      <c r="I103" s="558" t="s">
        <v>229</v>
      </c>
      <c r="J103" s="354" t="s">
        <v>118</v>
      </c>
      <c r="K103" s="383" t="s">
        <v>119</v>
      </c>
      <c r="L103" s="575" t="s">
        <v>120</v>
      </c>
      <c r="M103" s="354" t="s">
        <v>121</v>
      </c>
      <c r="N103" s="576" t="s">
        <v>1461</v>
      </c>
    </row>
    <row r="104" spans="1:14" s="151" customFormat="1" ht="13.5" thickBot="1">
      <c r="A104" s="442" t="s">
        <v>975</v>
      </c>
      <c r="B104" s="443" t="s">
        <v>976</v>
      </c>
      <c r="C104" s="444">
        <f>SUM(C105:C109)</f>
        <v>932763</v>
      </c>
      <c r="D104" s="444">
        <f aca="true" t="shared" si="22" ref="D104:K104">SUM(D105:D109)</f>
        <v>752504</v>
      </c>
      <c r="E104" s="509">
        <f t="shared" si="22"/>
        <v>691166</v>
      </c>
      <c r="F104" s="625">
        <f t="shared" si="22"/>
        <v>54185</v>
      </c>
      <c r="G104" s="444">
        <f t="shared" si="22"/>
        <v>66703</v>
      </c>
      <c r="H104" s="626">
        <f t="shared" si="22"/>
        <v>51727</v>
      </c>
      <c r="I104" s="621">
        <f t="shared" si="22"/>
        <v>37371</v>
      </c>
      <c r="J104" s="444">
        <f t="shared" si="22"/>
        <v>37751</v>
      </c>
      <c r="K104" s="509">
        <f t="shared" si="22"/>
        <v>36517</v>
      </c>
      <c r="L104" s="594">
        <f>SUM(C104+F104+I104)</f>
        <v>1024319</v>
      </c>
      <c r="M104" s="444">
        <f>SUM(D104+G104+J104)</f>
        <v>856958</v>
      </c>
      <c r="N104" s="620">
        <f>SUM(E104+H104+K104)</f>
        <v>779410</v>
      </c>
    </row>
    <row r="105" spans="1:14" s="5" customFormat="1" ht="12.75">
      <c r="A105" s="445" t="s">
        <v>977</v>
      </c>
      <c r="B105" s="418" t="s">
        <v>862</v>
      </c>
      <c r="C105" s="446">
        <v>186476</v>
      </c>
      <c r="D105" s="446">
        <v>134743</v>
      </c>
      <c r="E105" s="510">
        <v>129641</v>
      </c>
      <c r="F105" s="627">
        <f>4663+570</f>
        <v>5233</v>
      </c>
      <c r="G105" s="446">
        <f>4663+551+1008+964</f>
        <v>7186</v>
      </c>
      <c r="H105" s="447">
        <f>4663+551+944+963</f>
        <v>7121</v>
      </c>
      <c r="I105" s="622">
        <v>24713</v>
      </c>
      <c r="J105" s="446">
        <v>24629</v>
      </c>
      <c r="K105" s="510">
        <v>24067</v>
      </c>
      <c r="L105" s="596">
        <f aca="true" t="shared" si="23" ref="L105:L163">SUM(C105+F105+I105)</f>
        <v>216422</v>
      </c>
      <c r="M105" s="446">
        <f aca="true" t="shared" si="24" ref="M105:M163">SUM(D105+G105+J105)</f>
        <v>166558</v>
      </c>
      <c r="N105" s="597">
        <f aca="true" t="shared" si="25" ref="N105:N163">SUM(E105+H105+K105)</f>
        <v>160829</v>
      </c>
    </row>
    <row r="106" spans="1:14" ht="12.75">
      <c r="A106" s="361" t="s">
        <v>978</v>
      </c>
      <c r="B106" s="420" t="s">
        <v>863</v>
      </c>
      <c r="C106" s="363">
        <v>36642</v>
      </c>
      <c r="D106" s="363">
        <v>32799</v>
      </c>
      <c r="E106" s="386">
        <v>32002</v>
      </c>
      <c r="F106" s="566">
        <f>1155+154</f>
        <v>1309</v>
      </c>
      <c r="G106" s="363">
        <f>1155+149+489+260</f>
        <v>2053</v>
      </c>
      <c r="H106" s="448">
        <f>942+149+393+260</f>
        <v>1744</v>
      </c>
      <c r="I106" s="482">
        <v>6658</v>
      </c>
      <c r="J106" s="363">
        <v>6635</v>
      </c>
      <c r="K106" s="386">
        <v>6487</v>
      </c>
      <c r="L106" s="581">
        <f t="shared" si="23"/>
        <v>44609</v>
      </c>
      <c r="M106" s="363">
        <f t="shared" si="24"/>
        <v>41487</v>
      </c>
      <c r="N106" s="582">
        <f t="shared" si="25"/>
        <v>40233</v>
      </c>
    </row>
    <row r="107" spans="1:14" s="5" customFormat="1" ht="12.75">
      <c r="A107" s="361" t="s">
        <v>979</v>
      </c>
      <c r="B107" s="420" t="s">
        <v>864</v>
      </c>
      <c r="C107" s="366">
        <v>507760</v>
      </c>
      <c r="D107" s="366">
        <v>321866</v>
      </c>
      <c r="E107" s="387">
        <v>267999</v>
      </c>
      <c r="F107" s="567">
        <f>950+387+47+16500+7683</f>
        <v>25567</v>
      </c>
      <c r="G107" s="366">
        <f>2+8+8618+637+206+1182+47+16500+8509</f>
        <v>35709</v>
      </c>
      <c r="H107" s="449">
        <f>59+206+6+5679+976+28+14119+33</f>
        <v>21106</v>
      </c>
      <c r="I107" s="483">
        <v>6000</v>
      </c>
      <c r="J107" s="366">
        <v>6487</v>
      </c>
      <c r="K107" s="387">
        <v>5963</v>
      </c>
      <c r="L107" s="583">
        <f t="shared" si="23"/>
        <v>539327</v>
      </c>
      <c r="M107" s="366">
        <f t="shared" si="24"/>
        <v>364062</v>
      </c>
      <c r="N107" s="584">
        <f t="shared" si="25"/>
        <v>295068</v>
      </c>
    </row>
    <row r="108" spans="1:14" s="5" customFormat="1" ht="15.75" customHeight="1">
      <c r="A108" s="361" t="s">
        <v>980</v>
      </c>
      <c r="B108" s="450" t="s">
        <v>67</v>
      </c>
      <c r="C108" s="366">
        <v>2800</v>
      </c>
      <c r="D108" s="366">
        <v>4130</v>
      </c>
      <c r="E108" s="387">
        <v>2751</v>
      </c>
      <c r="F108" s="567"/>
      <c r="G108" s="366"/>
      <c r="H108" s="449"/>
      <c r="I108" s="483"/>
      <c r="J108" s="366"/>
      <c r="K108" s="387"/>
      <c r="L108" s="583">
        <f t="shared" si="23"/>
        <v>2800</v>
      </c>
      <c r="M108" s="366">
        <f t="shared" si="24"/>
        <v>4130</v>
      </c>
      <c r="N108" s="584">
        <f t="shared" si="25"/>
        <v>2751</v>
      </c>
    </row>
    <row r="109" spans="1:14" ht="12.75">
      <c r="A109" s="361" t="s">
        <v>981</v>
      </c>
      <c r="B109" s="451" t="s">
        <v>865</v>
      </c>
      <c r="C109" s="363">
        <f>SUM(C110:C119)</f>
        <v>199085</v>
      </c>
      <c r="D109" s="363">
        <f aca="true" t="shared" si="26" ref="D109:N109">SUM(D110:D119)</f>
        <v>258966</v>
      </c>
      <c r="E109" s="529">
        <f t="shared" si="26"/>
        <v>258773</v>
      </c>
      <c r="F109" s="566">
        <f t="shared" si="26"/>
        <v>22076</v>
      </c>
      <c r="G109" s="363">
        <f t="shared" si="26"/>
        <v>21755</v>
      </c>
      <c r="H109" s="645">
        <f t="shared" si="26"/>
        <v>21756</v>
      </c>
      <c r="I109" s="482">
        <f t="shared" si="26"/>
        <v>0</v>
      </c>
      <c r="J109" s="363">
        <f t="shared" si="26"/>
        <v>0</v>
      </c>
      <c r="K109" s="529">
        <f t="shared" si="26"/>
        <v>0</v>
      </c>
      <c r="L109" s="581">
        <f t="shared" si="26"/>
        <v>221161</v>
      </c>
      <c r="M109" s="363">
        <f t="shared" si="26"/>
        <v>280721</v>
      </c>
      <c r="N109" s="837">
        <f t="shared" si="26"/>
        <v>280529</v>
      </c>
    </row>
    <row r="110" spans="1:14" ht="12" customHeight="1">
      <c r="A110" s="361" t="s">
        <v>984</v>
      </c>
      <c r="B110" s="420" t="s">
        <v>982</v>
      </c>
      <c r="C110" s="366"/>
      <c r="D110" s="366">
        <v>14427</v>
      </c>
      <c r="E110" s="387">
        <v>14426</v>
      </c>
      <c r="F110" s="567"/>
      <c r="G110" s="366"/>
      <c r="H110" s="449"/>
      <c r="I110" s="483"/>
      <c r="J110" s="366"/>
      <c r="K110" s="387"/>
      <c r="L110" s="583">
        <f t="shared" si="23"/>
        <v>0</v>
      </c>
      <c r="M110" s="366">
        <f t="shared" si="24"/>
        <v>14427</v>
      </c>
      <c r="N110" s="584">
        <f t="shared" si="25"/>
        <v>14426</v>
      </c>
    </row>
    <row r="111" spans="1:14" s="151" customFormat="1" ht="11.25" customHeight="1">
      <c r="A111" s="361" t="s">
        <v>983</v>
      </c>
      <c r="B111" s="452" t="s">
        <v>866</v>
      </c>
      <c r="C111" s="366"/>
      <c r="D111" s="366"/>
      <c r="E111" s="387"/>
      <c r="F111" s="567"/>
      <c r="G111" s="366"/>
      <c r="H111" s="449"/>
      <c r="I111" s="483"/>
      <c r="J111" s="366"/>
      <c r="K111" s="387"/>
      <c r="L111" s="583">
        <f t="shared" si="23"/>
        <v>0</v>
      </c>
      <c r="M111" s="366">
        <f t="shared" si="24"/>
        <v>0</v>
      </c>
      <c r="N111" s="584">
        <f t="shared" si="25"/>
        <v>0</v>
      </c>
    </row>
    <row r="112" spans="1:14" ht="18.75" customHeight="1">
      <c r="A112" s="361" t="s">
        <v>985</v>
      </c>
      <c r="B112" s="453" t="s">
        <v>867</v>
      </c>
      <c r="C112" s="366"/>
      <c r="D112" s="366">
        <v>41355</v>
      </c>
      <c r="E112" s="387">
        <v>41355</v>
      </c>
      <c r="F112" s="567"/>
      <c r="G112" s="366"/>
      <c r="H112" s="449"/>
      <c r="I112" s="483"/>
      <c r="J112" s="366"/>
      <c r="K112" s="387"/>
      <c r="L112" s="583">
        <f t="shared" si="23"/>
        <v>0</v>
      </c>
      <c r="M112" s="366">
        <f t="shared" si="24"/>
        <v>41355</v>
      </c>
      <c r="N112" s="584">
        <f t="shared" si="25"/>
        <v>41355</v>
      </c>
    </row>
    <row r="113" spans="1:14" ht="22.5">
      <c r="A113" s="361" t="s">
        <v>986</v>
      </c>
      <c r="B113" s="453" t="s">
        <v>868</v>
      </c>
      <c r="C113" s="366"/>
      <c r="D113" s="366"/>
      <c r="E113" s="387"/>
      <c r="F113" s="567"/>
      <c r="G113" s="366"/>
      <c r="H113" s="449"/>
      <c r="I113" s="483"/>
      <c r="J113" s="366"/>
      <c r="K113" s="387"/>
      <c r="L113" s="583">
        <f t="shared" si="23"/>
        <v>0</v>
      </c>
      <c r="M113" s="366">
        <f t="shared" si="24"/>
        <v>0</v>
      </c>
      <c r="N113" s="584">
        <f t="shared" si="25"/>
        <v>0</v>
      </c>
    </row>
    <row r="114" spans="1:14" s="151" customFormat="1" ht="15" customHeight="1">
      <c r="A114" s="361" t="s">
        <v>987</v>
      </c>
      <c r="B114" s="452" t="s">
        <v>869</v>
      </c>
      <c r="C114" s="366">
        <v>186</v>
      </c>
      <c r="D114" s="366">
        <v>842</v>
      </c>
      <c r="E114" s="387">
        <v>749</v>
      </c>
      <c r="F114" s="567">
        <v>250</v>
      </c>
      <c r="G114" s="366">
        <v>250</v>
      </c>
      <c r="H114" s="449">
        <v>250</v>
      </c>
      <c r="I114" s="483"/>
      <c r="J114" s="366"/>
      <c r="K114" s="387"/>
      <c r="L114" s="583">
        <f t="shared" si="23"/>
        <v>436</v>
      </c>
      <c r="M114" s="366">
        <f t="shared" si="24"/>
        <v>1092</v>
      </c>
      <c r="N114" s="584">
        <f t="shared" si="25"/>
        <v>999</v>
      </c>
    </row>
    <row r="115" spans="1:14" ht="12.75">
      <c r="A115" s="361" t="s">
        <v>988</v>
      </c>
      <c r="B115" s="452" t="s">
        <v>870</v>
      </c>
      <c r="C115" s="366"/>
      <c r="D115" s="366"/>
      <c r="E115" s="387"/>
      <c r="F115" s="567"/>
      <c r="G115" s="366"/>
      <c r="H115" s="449"/>
      <c r="I115" s="483"/>
      <c r="J115" s="366"/>
      <c r="K115" s="387"/>
      <c r="L115" s="583">
        <f t="shared" si="23"/>
        <v>0</v>
      </c>
      <c r="M115" s="366">
        <f t="shared" si="24"/>
        <v>0</v>
      </c>
      <c r="N115" s="584">
        <f t="shared" si="25"/>
        <v>0</v>
      </c>
    </row>
    <row r="116" spans="1:14" ht="22.5">
      <c r="A116" s="361" t="s">
        <v>989</v>
      </c>
      <c r="B116" s="453" t="s">
        <v>871</v>
      </c>
      <c r="C116" s="366">
        <v>21668</v>
      </c>
      <c r="D116" s="366">
        <v>24547</v>
      </c>
      <c r="E116" s="387">
        <v>24547</v>
      </c>
      <c r="F116" s="567"/>
      <c r="G116" s="366"/>
      <c r="H116" s="449"/>
      <c r="I116" s="483"/>
      <c r="J116" s="366"/>
      <c r="K116" s="387"/>
      <c r="L116" s="583">
        <f t="shared" si="23"/>
        <v>21668</v>
      </c>
      <c r="M116" s="366">
        <f t="shared" si="24"/>
        <v>24547</v>
      </c>
      <c r="N116" s="584">
        <f t="shared" si="25"/>
        <v>24547</v>
      </c>
    </row>
    <row r="117" spans="1:14" s="151" customFormat="1" ht="12.75">
      <c r="A117" s="454" t="s">
        <v>990</v>
      </c>
      <c r="B117" s="455" t="s">
        <v>872</v>
      </c>
      <c r="C117" s="366"/>
      <c r="D117" s="366"/>
      <c r="E117" s="387"/>
      <c r="F117" s="567"/>
      <c r="G117" s="366"/>
      <c r="H117" s="449"/>
      <c r="I117" s="483"/>
      <c r="J117" s="366"/>
      <c r="K117" s="387"/>
      <c r="L117" s="583">
        <f t="shared" si="23"/>
        <v>0</v>
      </c>
      <c r="M117" s="366">
        <f t="shared" si="24"/>
        <v>0</v>
      </c>
      <c r="N117" s="584">
        <f t="shared" si="25"/>
        <v>0</v>
      </c>
    </row>
    <row r="118" spans="1:14" ht="12.75">
      <c r="A118" s="361" t="s">
        <v>991</v>
      </c>
      <c r="B118" s="455" t="s">
        <v>873</v>
      </c>
      <c r="C118" s="366"/>
      <c r="D118" s="366"/>
      <c r="E118" s="387"/>
      <c r="F118" s="567"/>
      <c r="G118" s="366"/>
      <c r="H118" s="449"/>
      <c r="I118" s="483"/>
      <c r="J118" s="366"/>
      <c r="K118" s="387"/>
      <c r="L118" s="583">
        <f t="shared" si="23"/>
        <v>0</v>
      </c>
      <c r="M118" s="366">
        <f t="shared" si="24"/>
        <v>0</v>
      </c>
      <c r="N118" s="584">
        <f t="shared" si="25"/>
        <v>0</v>
      </c>
    </row>
    <row r="119" spans="1:14" ht="23.25" thickBot="1">
      <c r="A119" s="395" t="s">
        <v>992</v>
      </c>
      <c r="B119" s="456" t="s">
        <v>874</v>
      </c>
      <c r="C119" s="457">
        <v>177231</v>
      </c>
      <c r="D119" s="457">
        <v>177795</v>
      </c>
      <c r="E119" s="555">
        <v>177696</v>
      </c>
      <c r="F119" s="628">
        <f>999+15913+1509+3405</f>
        <v>21826</v>
      </c>
      <c r="G119" s="457">
        <f>6378+10213+1509+3405</f>
        <v>21505</v>
      </c>
      <c r="H119" s="458">
        <f>6379+10213+1509+3405</f>
        <v>21506</v>
      </c>
      <c r="I119" s="623"/>
      <c r="J119" s="457"/>
      <c r="K119" s="555"/>
      <c r="L119" s="598">
        <f t="shared" si="23"/>
        <v>199057</v>
      </c>
      <c r="M119" s="457">
        <f t="shared" si="24"/>
        <v>199300</v>
      </c>
      <c r="N119" s="599">
        <f t="shared" si="25"/>
        <v>199202</v>
      </c>
    </row>
    <row r="120" spans="1:14" s="151" customFormat="1" ht="13.5" thickBot="1">
      <c r="A120" s="355" t="s">
        <v>993</v>
      </c>
      <c r="B120" s="459" t="s">
        <v>994</v>
      </c>
      <c r="C120" s="357">
        <f>SUM(C121+C123+C125)</f>
        <v>794488</v>
      </c>
      <c r="D120" s="357">
        <f aca="true" t="shared" si="27" ref="D120:K120">SUM(D121+D123+D125)</f>
        <v>939997</v>
      </c>
      <c r="E120" s="511">
        <f t="shared" si="27"/>
        <v>801104</v>
      </c>
      <c r="F120" s="564">
        <f t="shared" si="27"/>
        <v>422251</v>
      </c>
      <c r="G120" s="357">
        <f t="shared" si="27"/>
        <v>376768</v>
      </c>
      <c r="H120" s="394">
        <f t="shared" si="27"/>
        <v>337228</v>
      </c>
      <c r="I120" s="484">
        <f t="shared" si="27"/>
        <v>161</v>
      </c>
      <c r="J120" s="357">
        <f t="shared" si="27"/>
        <v>204</v>
      </c>
      <c r="K120" s="511">
        <f t="shared" si="27"/>
        <v>204</v>
      </c>
      <c r="L120" s="577">
        <f t="shared" si="23"/>
        <v>1216900</v>
      </c>
      <c r="M120" s="357">
        <f t="shared" si="24"/>
        <v>1316969</v>
      </c>
      <c r="N120" s="604">
        <f t="shared" si="25"/>
        <v>1138536</v>
      </c>
    </row>
    <row r="121" spans="1:14" s="151" customFormat="1" ht="12.75">
      <c r="A121" s="358" t="s">
        <v>998</v>
      </c>
      <c r="B121" s="420" t="s">
        <v>51</v>
      </c>
      <c r="C121" s="360">
        <v>792359</v>
      </c>
      <c r="D121" s="360">
        <v>827037</v>
      </c>
      <c r="E121" s="385">
        <f>688922+1</f>
        <v>688923</v>
      </c>
      <c r="F121" s="565">
        <v>420421</v>
      </c>
      <c r="G121" s="360">
        <f>349939+197+300+10379</f>
        <v>360815</v>
      </c>
      <c r="H121" s="461">
        <f>310391+194+300+10395</f>
        <v>321280</v>
      </c>
      <c r="I121" s="485">
        <v>161</v>
      </c>
      <c r="J121" s="360">
        <v>204</v>
      </c>
      <c r="K121" s="385">
        <v>204</v>
      </c>
      <c r="L121" s="579">
        <f t="shared" si="23"/>
        <v>1212941</v>
      </c>
      <c r="M121" s="360">
        <f t="shared" si="24"/>
        <v>1188056</v>
      </c>
      <c r="N121" s="580">
        <f t="shared" si="25"/>
        <v>1010407</v>
      </c>
    </row>
    <row r="122" spans="1:14" s="5" customFormat="1" ht="12.75">
      <c r="A122" s="358" t="s">
        <v>999</v>
      </c>
      <c r="B122" s="462" t="s">
        <v>995</v>
      </c>
      <c r="C122" s="360">
        <v>768006</v>
      </c>
      <c r="D122" s="360">
        <v>803894</v>
      </c>
      <c r="E122" s="385">
        <f>679472+1</f>
        <v>679473</v>
      </c>
      <c r="F122" s="565">
        <v>420421</v>
      </c>
      <c r="G122" s="360">
        <v>360618</v>
      </c>
      <c r="H122" s="461">
        <v>321086</v>
      </c>
      <c r="I122" s="485"/>
      <c r="J122" s="360"/>
      <c r="K122" s="385"/>
      <c r="L122" s="579">
        <f t="shared" si="23"/>
        <v>1188427</v>
      </c>
      <c r="M122" s="360">
        <f t="shared" si="24"/>
        <v>1164512</v>
      </c>
      <c r="N122" s="580">
        <f t="shared" si="25"/>
        <v>1000559</v>
      </c>
    </row>
    <row r="123" spans="1:14" ht="12.75">
      <c r="A123" s="358" t="s">
        <v>1000</v>
      </c>
      <c r="B123" s="462" t="s">
        <v>875</v>
      </c>
      <c r="C123" s="363">
        <v>1230</v>
      </c>
      <c r="D123" s="363">
        <v>110362</v>
      </c>
      <c r="E123" s="386">
        <v>109584</v>
      </c>
      <c r="F123" s="566"/>
      <c r="G123" s="363"/>
      <c r="H123" s="448"/>
      <c r="I123" s="482"/>
      <c r="J123" s="363"/>
      <c r="K123" s="386"/>
      <c r="L123" s="581">
        <f t="shared" si="23"/>
        <v>1230</v>
      </c>
      <c r="M123" s="363">
        <f t="shared" si="24"/>
        <v>110362</v>
      </c>
      <c r="N123" s="582">
        <f t="shared" si="25"/>
        <v>109584</v>
      </c>
    </row>
    <row r="124" spans="1:14" s="5" customFormat="1" ht="12.75">
      <c r="A124" s="358" t="s">
        <v>1001</v>
      </c>
      <c r="B124" s="462" t="s">
        <v>996</v>
      </c>
      <c r="C124" s="363"/>
      <c r="D124" s="363">
        <v>94076</v>
      </c>
      <c r="E124" s="386">
        <v>93648</v>
      </c>
      <c r="F124" s="566"/>
      <c r="G124" s="363"/>
      <c r="H124" s="448"/>
      <c r="I124" s="482"/>
      <c r="J124" s="363"/>
      <c r="K124" s="386"/>
      <c r="L124" s="581">
        <f t="shared" si="23"/>
        <v>0</v>
      </c>
      <c r="M124" s="363">
        <f t="shared" si="24"/>
        <v>94076</v>
      </c>
      <c r="N124" s="582">
        <f t="shared" si="25"/>
        <v>93648</v>
      </c>
    </row>
    <row r="125" spans="1:14" ht="14.25" customHeight="1">
      <c r="A125" s="358" t="s">
        <v>1002</v>
      </c>
      <c r="B125" s="647" t="s">
        <v>876</v>
      </c>
      <c r="C125" s="363">
        <f>SUM(C126:C133)</f>
        <v>899</v>
      </c>
      <c r="D125" s="363">
        <f aca="true" t="shared" si="28" ref="D125:N125">SUM(D126:D133)</f>
        <v>2598</v>
      </c>
      <c r="E125" s="529">
        <f t="shared" si="28"/>
        <v>2597</v>
      </c>
      <c r="F125" s="566">
        <f t="shared" si="28"/>
        <v>1830</v>
      </c>
      <c r="G125" s="363">
        <f t="shared" si="28"/>
        <v>15953</v>
      </c>
      <c r="H125" s="645">
        <f t="shared" si="28"/>
        <v>15948</v>
      </c>
      <c r="I125" s="482">
        <f t="shared" si="28"/>
        <v>0</v>
      </c>
      <c r="J125" s="363">
        <f t="shared" si="28"/>
        <v>0</v>
      </c>
      <c r="K125" s="529">
        <f t="shared" si="28"/>
        <v>0</v>
      </c>
      <c r="L125" s="581">
        <f t="shared" si="28"/>
        <v>2729</v>
      </c>
      <c r="M125" s="363">
        <f t="shared" si="28"/>
        <v>18551</v>
      </c>
      <c r="N125" s="837">
        <f t="shared" si="28"/>
        <v>18545</v>
      </c>
    </row>
    <row r="126" spans="1:14" s="5" customFormat="1" ht="12.75">
      <c r="A126" s="358" t="s">
        <v>1003</v>
      </c>
      <c r="B126" s="404" t="s">
        <v>997</v>
      </c>
      <c r="C126" s="363"/>
      <c r="D126" s="363"/>
      <c r="E126" s="386"/>
      <c r="F126" s="566"/>
      <c r="G126" s="363"/>
      <c r="H126" s="448"/>
      <c r="I126" s="482"/>
      <c r="J126" s="363"/>
      <c r="K126" s="386"/>
      <c r="L126" s="581">
        <f t="shared" si="23"/>
        <v>0</v>
      </c>
      <c r="M126" s="363">
        <f t="shared" si="24"/>
        <v>0</v>
      </c>
      <c r="N126" s="582">
        <f t="shared" si="25"/>
        <v>0</v>
      </c>
    </row>
    <row r="127" spans="1:14" s="166" customFormat="1" ht="22.5">
      <c r="A127" s="358" t="s">
        <v>1004</v>
      </c>
      <c r="B127" s="463" t="s">
        <v>877</v>
      </c>
      <c r="C127" s="363"/>
      <c r="D127" s="363">
        <v>2199</v>
      </c>
      <c r="E127" s="386">
        <v>2199</v>
      </c>
      <c r="F127" s="566"/>
      <c r="G127" s="363"/>
      <c r="H127" s="448"/>
      <c r="I127" s="482"/>
      <c r="J127" s="363"/>
      <c r="K127" s="386"/>
      <c r="L127" s="581">
        <f t="shared" si="23"/>
        <v>0</v>
      </c>
      <c r="M127" s="363">
        <f t="shared" si="24"/>
        <v>2199</v>
      </c>
      <c r="N127" s="582">
        <f t="shared" si="25"/>
        <v>2199</v>
      </c>
    </row>
    <row r="128" spans="1:14" s="5" customFormat="1" ht="22.5">
      <c r="A128" s="358" t="s">
        <v>1005</v>
      </c>
      <c r="B128" s="453" t="s">
        <v>868</v>
      </c>
      <c r="C128" s="363"/>
      <c r="D128" s="363"/>
      <c r="E128" s="386"/>
      <c r="F128" s="566"/>
      <c r="G128" s="363"/>
      <c r="H128" s="448"/>
      <c r="I128" s="482"/>
      <c r="J128" s="363"/>
      <c r="K128" s="386"/>
      <c r="L128" s="581">
        <f t="shared" si="23"/>
        <v>0</v>
      </c>
      <c r="M128" s="363">
        <f t="shared" si="24"/>
        <v>0</v>
      </c>
      <c r="N128" s="582">
        <f t="shared" si="25"/>
        <v>0</v>
      </c>
    </row>
    <row r="129" spans="1:14" ht="12.75">
      <c r="A129" s="358" t="s">
        <v>1006</v>
      </c>
      <c r="B129" s="453" t="s">
        <v>878</v>
      </c>
      <c r="C129" s="363"/>
      <c r="D129" s="363"/>
      <c r="E129" s="386"/>
      <c r="F129" s="566"/>
      <c r="G129" s="363">
        <v>260</v>
      </c>
      <c r="H129" s="448">
        <v>255</v>
      </c>
      <c r="I129" s="482"/>
      <c r="J129" s="363"/>
      <c r="K129" s="386"/>
      <c r="L129" s="581">
        <f t="shared" si="23"/>
        <v>0</v>
      </c>
      <c r="M129" s="363">
        <f t="shared" si="24"/>
        <v>260</v>
      </c>
      <c r="N129" s="582">
        <f t="shared" si="25"/>
        <v>255</v>
      </c>
    </row>
    <row r="130" spans="1:14" ht="12.75">
      <c r="A130" s="358" t="s">
        <v>1007</v>
      </c>
      <c r="B130" s="453" t="s">
        <v>879</v>
      </c>
      <c r="C130" s="363"/>
      <c r="D130" s="363"/>
      <c r="E130" s="386"/>
      <c r="F130" s="566"/>
      <c r="G130" s="363"/>
      <c r="H130" s="448"/>
      <c r="I130" s="482"/>
      <c r="J130" s="363"/>
      <c r="K130" s="386"/>
      <c r="L130" s="581">
        <f t="shared" si="23"/>
        <v>0</v>
      </c>
      <c r="M130" s="363">
        <f t="shared" si="24"/>
        <v>0</v>
      </c>
      <c r="N130" s="582">
        <f t="shared" si="25"/>
        <v>0</v>
      </c>
    </row>
    <row r="131" spans="1:14" ht="22.5">
      <c r="A131" s="358" t="s">
        <v>1008</v>
      </c>
      <c r="B131" s="453" t="s">
        <v>871</v>
      </c>
      <c r="C131" s="363"/>
      <c r="D131" s="363"/>
      <c r="E131" s="386"/>
      <c r="F131" s="566"/>
      <c r="G131" s="363"/>
      <c r="H131" s="448"/>
      <c r="I131" s="482"/>
      <c r="J131" s="363"/>
      <c r="K131" s="386"/>
      <c r="L131" s="581">
        <f t="shared" si="23"/>
        <v>0</v>
      </c>
      <c r="M131" s="363">
        <f t="shared" si="24"/>
        <v>0</v>
      </c>
      <c r="N131" s="582">
        <f t="shared" si="25"/>
        <v>0</v>
      </c>
    </row>
    <row r="132" spans="1:14" ht="12.75">
      <c r="A132" s="358" t="s">
        <v>1009</v>
      </c>
      <c r="B132" s="453" t="s">
        <v>880</v>
      </c>
      <c r="C132" s="363"/>
      <c r="D132" s="363"/>
      <c r="E132" s="386"/>
      <c r="F132" s="566"/>
      <c r="G132" s="363"/>
      <c r="H132" s="448"/>
      <c r="I132" s="482"/>
      <c r="J132" s="363"/>
      <c r="K132" s="386"/>
      <c r="L132" s="581">
        <f t="shared" si="23"/>
        <v>0</v>
      </c>
      <c r="M132" s="363">
        <f t="shared" si="24"/>
        <v>0</v>
      </c>
      <c r="N132" s="582">
        <f t="shared" si="25"/>
        <v>0</v>
      </c>
    </row>
    <row r="133" spans="1:14" ht="23.25" thickBot="1">
      <c r="A133" s="454" t="s">
        <v>1010</v>
      </c>
      <c r="B133" s="453" t="s">
        <v>881</v>
      </c>
      <c r="C133" s="366">
        <v>899</v>
      </c>
      <c r="D133" s="366">
        <v>399</v>
      </c>
      <c r="E133" s="387">
        <v>398</v>
      </c>
      <c r="F133" s="567">
        <v>1830</v>
      </c>
      <c r="G133" s="366">
        <v>15693</v>
      </c>
      <c r="H133" s="449">
        <v>15693</v>
      </c>
      <c r="I133" s="483"/>
      <c r="J133" s="366"/>
      <c r="K133" s="387"/>
      <c r="L133" s="583">
        <f t="shared" si="23"/>
        <v>2729</v>
      </c>
      <c r="M133" s="366">
        <f t="shared" si="24"/>
        <v>16092</v>
      </c>
      <c r="N133" s="584">
        <f t="shared" si="25"/>
        <v>16091</v>
      </c>
    </row>
    <row r="134" spans="1:14" ht="13.5" thickBot="1">
      <c r="A134" s="355">
        <v>20</v>
      </c>
      <c r="B134" s="464" t="s">
        <v>1011</v>
      </c>
      <c r="C134" s="357">
        <f>SUM(C135:C136)</f>
        <v>47131</v>
      </c>
      <c r="D134" s="357">
        <f aca="true" t="shared" si="29" ref="D134:K134">SUM(D135:D136)</f>
        <v>52193</v>
      </c>
      <c r="E134" s="511">
        <f t="shared" si="29"/>
        <v>0</v>
      </c>
      <c r="F134" s="564">
        <f t="shared" si="29"/>
        <v>0</v>
      </c>
      <c r="G134" s="357">
        <f t="shared" si="29"/>
        <v>0</v>
      </c>
      <c r="H134" s="394">
        <f t="shared" si="29"/>
        <v>0</v>
      </c>
      <c r="I134" s="484">
        <f t="shared" si="29"/>
        <v>0</v>
      </c>
      <c r="J134" s="357">
        <f t="shared" si="29"/>
        <v>0</v>
      </c>
      <c r="K134" s="511">
        <f t="shared" si="29"/>
        <v>0</v>
      </c>
      <c r="L134" s="577">
        <f t="shared" si="23"/>
        <v>47131</v>
      </c>
      <c r="M134" s="357">
        <f t="shared" si="24"/>
        <v>52193</v>
      </c>
      <c r="N134" s="604">
        <f t="shared" si="25"/>
        <v>0</v>
      </c>
    </row>
    <row r="135" spans="1:14" ht="12.75">
      <c r="A135" s="358" t="s">
        <v>1012</v>
      </c>
      <c r="B135" s="465" t="s">
        <v>16</v>
      </c>
      <c r="C135" s="360">
        <v>2000</v>
      </c>
      <c r="D135" s="360">
        <v>0</v>
      </c>
      <c r="E135" s="385"/>
      <c r="F135" s="565"/>
      <c r="G135" s="360"/>
      <c r="H135" s="461"/>
      <c r="I135" s="485"/>
      <c r="J135" s="360">
        <v>0</v>
      </c>
      <c r="K135" s="385">
        <v>0</v>
      </c>
      <c r="L135" s="579">
        <f t="shared" si="23"/>
        <v>2000</v>
      </c>
      <c r="M135" s="360">
        <f t="shared" si="24"/>
        <v>0</v>
      </c>
      <c r="N135" s="580">
        <f t="shared" si="25"/>
        <v>0</v>
      </c>
    </row>
    <row r="136" spans="1:14" ht="13.5" thickBot="1">
      <c r="A136" s="364" t="s">
        <v>1013</v>
      </c>
      <c r="B136" s="462" t="s">
        <v>882</v>
      </c>
      <c r="C136" s="366">
        <v>45131</v>
      </c>
      <c r="D136" s="366">
        <v>52193</v>
      </c>
      <c r="E136" s="387"/>
      <c r="F136" s="567"/>
      <c r="G136" s="366"/>
      <c r="H136" s="449"/>
      <c r="I136" s="483"/>
      <c r="J136" s="366">
        <v>0</v>
      </c>
      <c r="K136" s="387">
        <v>0</v>
      </c>
      <c r="L136" s="583">
        <f t="shared" si="23"/>
        <v>45131</v>
      </c>
      <c r="M136" s="366">
        <f t="shared" si="24"/>
        <v>52193</v>
      </c>
      <c r="N136" s="584">
        <f t="shared" si="25"/>
        <v>0</v>
      </c>
    </row>
    <row r="137" spans="1:14" ht="13.5" thickBot="1">
      <c r="A137" s="355" t="s">
        <v>1014</v>
      </c>
      <c r="B137" s="464" t="s">
        <v>1021</v>
      </c>
      <c r="C137" s="357">
        <f>SUM(C134+C120+C104)</f>
        <v>1774382</v>
      </c>
      <c r="D137" s="357">
        <f aca="true" t="shared" si="30" ref="D137:K137">SUM(D134+D120+D104)</f>
        <v>1744694</v>
      </c>
      <c r="E137" s="511">
        <f t="shared" si="30"/>
        <v>1492270</v>
      </c>
      <c r="F137" s="564">
        <f t="shared" si="30"/>
        <v>476436</v>
      </c>
      <c r="G137" s="357">
        <f t="shared" si="30"/>
        <v>443471</v>
      </c>
      <c r="H137" s="394">
        <f t="shared" si="30"/>
        <v>388955</v>
      </c>
      <c r="I137" s="484">
        <f t="shared" si="30"/>
        <v>37532</v>
      </c>
      <c r="J137" s="357">
        <f t="shared" si="30"/>
        <v>37955</v>
      </c>
      <c r="K137" s="511">
        <f t="shared" si="30"/>
        <v>36721</v>
      </c>
      <c r="L137" s="577">
        <f t="shared" si="23"/>
        <v>2288350</v>
      </c>
      <c r="M137" s="357">
        <f t="shared" si="24"/>
        <v>2226120</v>
      </c>
      <c r="N137" s="604">
        <f t="shared" si="25"/>
        <v>1917946</v>
      </c>
    </row>
    <row r="138" spans="1:14" s="151" customFormat="1" ht="12.75">
      <c r="A138" s="1189" t="s">
        <v>676</v>
      </c>
      <c r="B138" s="1191" t="s">
        <v>861</v>
      </c>
      <c r="C138" s="1194" t="s">
        <v>1185</v>
      </c>
      <c r="D138" s="1208"/>
      <c r="E138" s="1212"/>
      <c r="F138" s="1211" t="s">
        <v>1185</v>
      </c>
      <c r="G138" s="1208"/>
      <c r="H138" s="1212"/>
      <c r="I138" s="1211" t="s">
        <v>1185</v>
      </c>
      <c r="J138" s="1208"/>
      <c r="K138" s="1209"/>
      <c r="L138" s="1207" t="s">
        <v>1185</v>
      </c>
      <c r="M138" s="1208"/>
      <c r="N138" s="1209"/>
    </row>
    <row r="139" spans="1:14" s="151" customFormat="1" ht="12.75">
      <c r="A139" s="1196"/>
      <c r="B139" s="1199"/>
      <c r="C139" s="1201" t="s">
        <v>931</v>
      </c>
      <c r="D139" s="1202"/>
      <c r="E139" s="1203"/>
      <c r="F139" s="1204" t="s">
        <v>932</v>
      </c>
      <c r="G139" s="1202"/>
      <c r="H139" s="1203"/>
      <c r="I139" s="1204" t="s">
        <v>933</v>
      </c>
      <c r="J139" s="1202"/>
      <c r="K139" s="1205"/>
      <c r="L139" s="1206" t="s">
        <v>934</v>
      </c>
      <c r="M139" s="1202"/>
      <c r="N139" s="1205"/>
    </row>
    <row r="140" spans="1:14" s="151" customFormat="1" ht="32.25" customHeight="1" thickBot="1">
      <c r="A140" s="1190"/>
      <c r="B140" s="1192"/>
      <c r="C140" s="352" t="s">
        <v>37</v>
      </c>
      <c r="D140" s="352" t="s">
        <v>38</v>
      </c>
      <c r="E140" s="548" t="s">
        <v>20</v>
      </c>
      <c r="F140" s="352" t="s">
        <v>37</v>
      </c>
      <c r="G140" s="352" t="s">
        <v>38</v>
      </c>
      <c r="H140" s="548" t="s">
        <v>20</v>
      </c>
      <c r="I140" s="352" t="s">
        <v>37</v>
      </c>
      <c r="J140" s="352" t="s">
        <v>38</v>
      </c>
      <c r="K140" s="382" t="s">
        <v>20</v>
      </c>
      <c r="L140" s="573" t="s">
        <v>37</v>
      </c>
      <c r="M140" s="352" t="s">
        <v>38</v>
      </c>
      <c r="N140" s="574" t="s">
        <v>20</v>
      </c>
    </row>
    <row r="141" spans="1:14" ht="13.5" thickBot="1">
      <c r="A141" s="353" t="s">
        <v>221</v>
      </c>
      <c r="B141" s="354" t="s">
        <v>222</v>
      </c>
      <c r="C141" s="354" t="s">
        <v>223</v>
      </c>
      <c r="D141" s="354" t="s">
        <v>224</v>
      </c>
      <c r="E141" s="383" t="s">
        <v>225</v>
      </c>
      <c r="F141" s="353" t="s">
        <v>226</v>
      </c>
      <c r="G141" s="354" t="s">
        <v>227</v>
      </c>
      <c r="H141" s="563" t="s">
        <v>228</v>
      </c>
      <c r="I141" s="558" t="s">
        <v>229</v>
      </c>
      <c r="J141" s="354" t="s">
        <v>118</v>
      </c>
      <c r="K141" s="383" t="s">
        <v>119</v>
      </c>
      <c r="L141" s="575" t="s">
        <v>120</v>
      </c>
      <c r="M141" s="354" t="s">
        <v>121</v>
      </c>
      <c r="N141" s="576" t="s">
        <v>1461</v>
      </c>
    </row>
    <row r="142" spans="1:14" ht="21.75" thickBot="1">
      <c r="A142" s="355" t="s">
        <v>1015</v>
      </c>
      <c r="B142" s="464" t="s">
        <v>1016</v>
      </c>
      <c r="C142" s="357">
        <f>SUM(C143:C145)</f>
        <v>0</v>
      </c>
      <c r="D142" s="357">
        <f aca="true" t="shared" si="31" ref="D142:K142">SUM(D143:D145)</f>
        <v>0</v>
      </c>
      <c r="E142" s="511">
        <f t="shared" si="31"/>
        <v>0</v>
      </c>
      <c r="F142" s="564">
        <f t="shared" si="31"/>
        <v>0</v>
      </c>
      <c r="G142" s="357">
        <f t="shared" si="31"/>
        <v>123644</v>
      </c>
      <c r="H142" s="394">
        <f t="shared" si="31"/>
        <v>123644</v>
      </c>
      <c r="I142" s="484">
        <f t="shared" si="31"/>
        <v>0</v>
      </c>
      <c r="J142" s="357">
        <f t="shared" si="31"/>
        <v>0</v>
      </c>
      <c r="K142" s="511">
        <f t="shared" si="31"/>
        <v>0</v>
      </c>
      <c r="L142" s="577">
        <f t="shared" si="23"/>
        <v>0</v>
      </c>
      <c r="M142" s="357">
        <f t="shared" si="24"/>
        <v>123644</v>
      </c>
      <c r="N142" s="604">
        <f t="shared" si="25"/>
        <v>123644</v>
      </c>
    </row>
    <row r="143" spans="1:14" ht="12.75">
      <c r="A143" s="358" t="s">
        <v>1017</v>
      </c>
      <c r="B143" s="465" t="s">
        <v>883</v>
      </c>
      <c r="C143" s="363">
        <v>0</v>
      </c>
      <c r="D143" s="363">
        <v>0</v>
      </c>
      <c r="E143" s="386">
        <v>0</v>
      </c>
      <c r="F143" s="566">
        <v>0</v>
      </c>
      <c r="G143" s="363">
        <v>0</v>
      </c>
      <c r="H143" s="448"/>
      <c r="I143" s="482">
        <v>0</v>
      </c>
      <c r="J143" s="363">
        <v>0</v>
      </c>
      <c r="K143" s="386">
        <v>0</v>
      </c>
      <c r="L143" s="581">
        <f t="shared" si="23"/>
        <v>0</v>
      </c>
      <c r="M143" s="363">
        <f t="shared" si="24"/>
        <v>0</v>
      </c>
      <c r="N143" s="582">
        <f t="shared" si="25"/>
        <v>0</v>
      </c>
    </row>
    <row r="144" spans="1:14" s="2" customFormat="1" ht="26.25" customHeight="1">
      <c r="A144" s="358" t="s">
        <v>1018</v>
      </c>
      <c r="B144" s="465" t="s">
        <v>884</v>
      </c>
      <c r="C144" s="363">
        <v>0</v>
      </c>
      <c r="D144" s="363">
        <v>0</v>
      </c>
      <c r="E144" s="386">
        <v>0</v>
      </c>
      <c r="F144" s="566">
        <v>0</v>
      </c>
      <c r="G144" s="363">
        <v>123644</v>
      </c>
      <c r="H144" s="448">
        <v>123644</v>
      </c>
      <c r="I144" s="482">
        <v>0</v>
      </c>
      <c r="J144" s="363">
        <v>0</v>
      </c>
      <c r="K144" s="386">
        <v>0</v>
      </c>
      <c r="L144" s="581">
        <f t="shared" si="23"/>
        <v>0</v>
      </c>
      <c r="M144" s="363">
        <f t="shared" si="24"/>
        <v>123644</v>
      </c>
      <c r="N144" s="582">
        <f t="shared" si="25"/>
        <v>123644</v>
      </c>
    </row>
    <row r="145" spans="1:14" ht="13.5" thickBot="1">
      <c r="A145" s="454" t="s">
        <v>1019</v>
      </c>
      <c r="B145" s="466" t="s">
        <v>885</v>
      </c>
      <c r="C145" s="363"/>
      <c r="D145" s="363"/>
      <c r="E145" s="386"/>
      <c r="F145" s="566"/>
      <c r="G145" s="363"/>
      <c r="H145" s="448"/>
      <c r="I145" s="482"/>
      <c r="J145" s="363">
        <v>0</v>
      </c>
      <c r="K145" s="386">
        <v>0</v>
      </c>
      <c r="L145" s="581">
        <f t="shared" si="23"/>
        <v>0</v>
      </c>
      <c r="M145" s="363">
        <f t="shared" si="24"/>
        <v>0</v>
      </c>
      <c r="N145" s="582">
        <f t="shared" si="25"/>
        <v>0</v>
      </c>
    </row>
    <row r="146" spans="1:14" s="151" customFormat="1" ht="13.5" thickBot="1">
      <c r="A146" s="355" t="s">
        <v>1020</v>
      </c>
      <c r="B146" s="464" t="s">
        <v>1022</v>
      </c>
      <c r="C146" s="357">
        <f>SUM(C147:C150)</f>
        <v>0</v>
      </c>
      <c r="D146" s="357">
        <f aca="true" t="shared" si="32" ref="D146:K146">SUM(D147:D150)</f>
        <v>0</v>
      </c>
      <c r="E146" s="511">
        <f t="shared" si="32"/>
        <v>0</v>
      </c>
      <c r="F146" s="564">
        <f t="shared" si="32"/>
        <v>0</v>
      </c>
      <c r="G146" s="357">
        <f t="shared" si="32"/>
        <v>0</v>
      </c>
      <c r="H146" s="394">
        <f t="shared" si="32"/>
        <v>0</v>
      </c>
      <c r="I146" s="484">
        <f t="shared" si="32"/>
        <v>0</v>
      </c>
      <c r="J146" s="357">
        <f t="shared" si="32"/>
        <v>0</v>
      </c>
      <c r="K146" s="511">
        <f t="shared" si="32"/>
        <v>0</v>
      </c>
      <c r="L146" s="577">
        <f t="shared" si="23"/>
        <v>0</v>
      </c>
      <c r="M146" s="357">
        <f t="shared" si="24"/>
        <v>0</v>
      </c>
      <c r="N146" s="604">
        <f t="shared" si="25"/>
        <v>0</v>
      </c>
    </row>
    <row r="147" spans="1:14" s="151" customFormat="1" ht="12.75">
      <c r="A147" s="358" t="s">
        <v>1023</v>
      </c>
      <c r="B147" s="465" t="s">
        <v>886</v>
      </c>
      <c r="C147" s="363">
        <v>0</v>
      </c>
      <c r="D147" s="363">
        <v>0</v>
      </c>
      <c r="E147" s="386">
        <v>0</v>
      </c>
      <c r="F147" s="566">
        <v>0</v>
      </c>
      <c r="G147" s="363">
        <v>0</v>
      </c>
      <c r="H147" s="448">
        <v>0</v>
      </c>
      <c r="I147" s="482">
        <v>0</v>
      </c>
      <c r="J147" s="363">
        <v>0</v>
      </c>
      <c r="K147" s="386">
        <v>0</v>
      </c>
      <c r="L147" s="581">
        <f t="shared" si="23"/>
        <v>0</v>
      </c>
      <c r="M147" s="363">
        <f t="shared" si="24"/>
        <v>0</v>
      </c>
      <c r="N147" s="582">
        <f t="shared" si="25"/>
        <v>0</v>
      </c>
    </row>
    <row r="148" spans="1:14" s="151" customFormat="1" ht="12.75">
      <c r="A148" s="358" t="s">
        <v>1024</v>
      </c>
      <c r="B148" s="465" t="s">
        <v>887</v>
      </c>
      <c r="C148" s="363">
        <v>0</v>
      </c>
      <c r="D148" s="363">
        <v>0</v>
      </c>
      <c r="E148" s="386">
        <v>0</v>
      </c>
      <c r="F148" s="566">
        <v>0</v>
      </c>
      <c r="G148" s="363">
        <v>0</v>
      </c>
      <c r="H148" s="448">
        <v>0</v>
      </c>
      <c r="I148" s="482">
        <v>0</v>
      </c>
      <c r="J148" s="363">
        <v>0</v>
      </c>
      <c r="K148" s="386">
        <v>0</v>
      </c>
      <c r="L148" s="581">
        <f t="shared" si="23"/>
        <v>0</v>
      </c>
      <c r="M148" s="363">
        <f t="shared" si="24"/>
        <v>0</v>
      </c>
      <c r="N148" s="582">
        <f t="shared" si="25"/>
        <v>0</v>
      </c>
    </row>
    <row r="149" spans="1:14" s="151" customFormat="1" ht="12.75">
      <c r="A149" s="358" t="s">
        <v>1025</v>
      </c>
      <c r="B149" s="465" t="s">
        <v>888</v>
      </c>
      <c r="C149" s="363"/>
      <c r="D149" s="363"/>
      <c r="E149" s="386"/>
      <c r="F149" s="566"/>
      <c r="G149" s="363"/>
      <c r="H149" s="448"/>
      <c r="I149" s="482"/>
      <c r="J149" s="363">
        <v>0</v>
      </c>
      <c r="K149" s="386">
        <v>0</v>
      </c>
      <c r="L149" s="581">
        <f t="shared" si="23"/>
        <v>0</v>
      </c>
      <c r="M149" s="363">
        <f t="shared" si="24"/>
        <v>0</v>
      </c>
      <c r="N149" s="582">
        <f t="shared" si="25"/>
        <v>0</v>
      </c>
    </row>
    <row r="150" spans="1:14" s="5" customFormat="1" ht="13.5" thickBot="1">
      <c r="A150" s="454" t="s">
        <v>1026</v>
      </c>
      <c r="B150" s="466" t="s">
        <v>889</v>
      </c>
      <c r="C150" s="363"/>
      <c r="D150" s="363"/>
      <c r="E150" s="386"/>
      <c r="F150" s="566"/>
      <c r="G150" s="363"/>
      <c r="H150" s="448"/>
      <c r="I150" s="482"/>
      <c r="J150" s="363">
        <v>0</v>
      </c>
      <c r="K150" s="386">
        <v>0</v>
      </c>
      <c r="L150" s="581">
        <f t="shared" si="23"/>
        <v>0</v>
      </c>
      <c r="M150" s="363">
        <f t="shared" si="24"/>
        <v>0</v>
      </c>
      <c r="N150" s="582">
        <f t="shared" si="25"/>
        <v>0</v>
      </c>
    </row>
    <row r="151" spans="1:14" ht="13.5" thickBot="1">
      <c r="A151" s="355" t="s">
        <v>1027</v>
      </c>
      <c r="B151" s="464" t="s">
        <v>1042</v>
      </c>
      <c r="C151" s="369">
        <f>SUM(C152:C156)</f>
        <v>375342</v>
      </c>
      <c r="D151" s="369">
        <f aca="true" t="shared" si="33" ref="D151:K151">SUM(D152:D156)</f>
        <v>359996</v>
      </c>
      <c r="E151" s="531">
        <f t="shared" si="33"/>
        <v>359995</v>
      </c>
      <c r="F151" s="568">
        <f t="shared" si="33"/>
        <v>6245</v>
      </c>
      <c r="G151" s="369">
        <f t="shared" si="33"/>
        <v>6925</v>
      </c>
      <c r="H151" s="636">
        <f t="shared" si="33"/>
        <v>6925</v>
      </c>
      <c r="I151" s="486">
        <f t="shared" si="33"/>
        <v>0</v>
      </c>
      <c r="J151" s="369">
        <f t="shared" si="33"/>
        <v>0</v>
      </c>
      <c r="K151" s="531">
        <f t="shared" si="33"/>
        <v>0</v>
      </c>
      <c r="L151" s="585">
        <f t="shared" si="23"/>
        <v>381587</v>
      </c>
      <c r="M151" s="369">
        <f t="shared" si="24"/>
        <v>366921</v>
      </c>
      <c r="N151" s="637">
        <f t="shared" si="25"/>
        <v>366920</v>
      </c>
    </row>
    <row r="152" spans="1:14" s="5" customFormat="1" ht="12.75">
      <c r="A152" s="358" t="s">
        <v>1028</v>
      </c>
      <c r="B152" s="465" t="s">
        <v>890</v>
      </c>
      <c r="C152" s="363">
        <v>0</v>
      </c>
      <c r="D152" s="363">
        <v>0</v>
      </c>
      <c r="E152" s="386">
        <v>0</v>
      </c>
      <c r="F152" s="566">
        <v>0</v>
      </c>
      <c r="G152" s="363">
        <v>0</v>
      </c>
      <c r="H152" s="448">
        <v>0</v>
      </c>
      <c r="I152" s="482">
        <v>0</v>
      </c>
      <c r="J152" s="363">
        <v>0</v>
      </c>
      <c r="K152" s="386">
        <v>0</v>
      </c>
      <c r="L152" s="581">
        <f t="shared" si="23"/>
        <v>0</v>
      </c>
      <c r="M152" s="363">
        <f t="shared" si="24"/>
        <v>0</v>
      </c>
      <c r="N152" s="582">
        <f t="shared" si="25"/>
        <v>0</v>
      </c>
    </row>
    <row r="153" spans="1:14" s="5" customFormat="1" ht="15.75" customHeight="1">
      <c r="A153" s="358" t="s">
        <v>1029</v>
      </c>
      <c r="B153" s="465" t="s">
        <v>891</v>
      </c>
      <c r="C153" s="363">
        <v>0</v>
      </c>
      <c r="D153" s="363">
        <v>16238</v>
      </c>
      <c r="E153" s="386">
        <v>16238</v>
      </c>
      <c r="F153" s="566">
        <v>0</v>
      </c>
      <c r="G153" s="363">
        <v>0</v>
      </c>
      <c r="H153" s="448">
        <v>0</v>
      </c>
      <c r="I153" s="482">
        <v>0</v>
      </c>
      <c r="J153" s="363">
        <v>0</v>
      </c>
      <c r="K153" s="386">
        <v>0</v>
      </c>
      <c r="L153" s="583">
        <f t="shared" si="23"/>
        <v>0</v>
      </c>
      <c r="M153" s="366">
        <f t="shared" si="24"/>
        <v>16238</v>
      </c>
      <c r="N153" s="584">
        <f t="shared" si="25"/>
        <v>16238</v>
      </c>
    </row>
    <row r="154" spans="1:14" s="5" customFormat="1" ht="15.75" customHeight="1">
      <c r="A154" s="358" t="s">
        <v>1030</v>
      </c>
      <c r="B154" s="465" t="s">
        <v>1043</v>
      </c>
      <c r="C154" s="363">
        <v>375342</v>
      </c>
      <c r="D154" s="363">
        <v>343758</v>
      </c>
      <c r="E154" s="386">
        <v>343757</v>
      </c>
      <c r="F154" s="566">
        <v>6245</v>
      </c>
      <c r="G154" s="363">
        <v>6925</v>
      </c>
      <c r="H154" s="448">
        <v>6925</v>
      </c>
      <c r="I154" s="482"/>
      <c r="J154" s="363"/>
      <c r="K154" s="386"/>
      <c r="L154" s="844">
        <f>SUM(C154+F154+I154)</f>
        <v>381587</v>
      </c>
      <c r="M154" s="845">
        <f>SUM(D154+G154+J154)</f>
        <v>350683</v>
      </c>
      <c r="N154" s="846">
        <f>SUM(E154+H154+K154)</f>
        <v>350682</v>
      </c>
    </row>
    <row r="155" spans="1:14" ht="12.75">
      <c r="A155" s="358" t="s">
        <v>1031</v>
      </c>
      <c r="B155" s="465" t="s">
        <v>892</v>
      </c>
      <c r="C155" s="363">
        <v>0</v>
      </c>
      <c r="D155" s="363">
        <v>0</v>
      </c>
      <c r="E155" s="386">
        <v>0</v>
      </c>
      <c r="F155" s="566">
        <v>0</v>
      </c>
      <c r="G155" s="363">
        <v>0</v>
      </c>
      <c r="H155" s="448">
        <v>0</v>
      </c>
      <c r="I155" s="482">
        <v>0</v>
      </c>
      <c r="J155" s="363">
        <v>0</v>
      </c>
      <c r="K155" s="386">
        <v>0</v>
      </c>
      <c r="L155" s="579">
        <f t="shared" si="23"/>
        <v>0</v>
      </c>
      <c r="M155" s="360">
        <f t="shared" si="24"/>
        <v>0</v>
      </c>
      <c r="N155" s="580">
        <f t="shared" si="25"/>
        <v>0</v>
      </c>
    </row>
    <row r="156" spans="1:14" ht="12" customHeight="1" thickBot="1">
      <c r="A156" s="454" t="s">
        <v>1044</v>
      </c>
      <c r="B156" s="466" t="s">
        <v>893</v>
      </c>
      <c r="C156" s="363">
        <v>0</v>
      </c>
      <c r="D156" s="363">
        <v>0</v>
      </c>
      <c r="E156" s="386">
        <v>0</v>
      </c>
      <c r="F156" s="566">
        <v>0</v>
      </c>
      <c r="G156" s="363">
        <v>0</v>
      </c>
      <c r="H156" s="448">
        <v>0</v>
      </c>
      <c r="I156" s="482">
        <v>0</v>
      </c>
      <c r="J156" s="363">
        <v>0</v>
      </c>
      <c r="K156" s="386">
        <v>0</v>
      </c>
      <c r="L156" s="581">
        <f t="shared" si="23"/>
        <v>0</v>
      </c>
      <c r="M156" s="363">
        <f t="shared" si="24"/>
        <v>0</v>
      </c>
      <c r="N156" s="582">
        <f t="shared" si="25"/>
        <v>0</v>
      </c>
    </row>
    <row r="157" spans="1:14" s="151" customFormat="1" ht="11.25" customHeight="1" thickBot="1">
      <c r="A157" s="355" t="s">
        <v>1032</v>
      </c>
      <c r="B157" s="464" t="s">
        <v>1033</v>
      </c>
      <c r="C157" s="467">
        <f>SUM(C158:C161)</f>
        <v>0</v>
      </c>
      <c r="D157" s="467">
        <f aca="true" t="shared" si="34" ref="D157:K157">SUM(D158:D161)</f>
        <v>0</v>
      </c>
      <c r="E157" s="638">
        <f t="shared" si="34"/>
        <v>0</v>
      </c>
      <c r="F157" s="640">
        <f t="shared" si="34"/>
        <v>0</v>
      </c>
      <c r="G157" s="467">
        <f t="shared" si="34"/>
        <v>0</v>
      </c>
      <c r="H157" s="641">
        <f t="shared" si="34"/>
        <v>0</v>
      </c>
      <c r="I157" s="639">
        <f t="shared" si="34"/>
        <v>0</v>
      </c>
      <c r="J157" s="467">
        <f t="shared" si="34"/>
        <v>0</v>
      </c>
      <c r="K157" s="638">
        <f t="shared" si="34"/>
        <v>0</v>
      </c>
      <c r="L157" s="600">
        <f t="shared" si="23"/>
        <v>0</v>
      </c>
      <c r="M157" s="467">
        <f t="shared" si="24"/>
        <v>0</v>
      </c>
      <c r="N157" s="643">
        <f t="shared" si="25"/>
        <v>0</v>
      </c>
    </row>
    <row r="158" spans="1:14" ht="11.25" customHeight="1">
      <c r="A158" s="358" t="s">
        <v>1034</v>
      </c>
      <c r="B158" s="465" t="s">
        <v>894</v>
      </c>
      <c r="C158" s="363">
        <v>0</v>
      </c>
      <c r="D158" s="363">
        <v>0</v>
      </c>
      <c r="E158" s="386">
        <v>0</v>
      </c>
      <c r="F158" s="566">
        <v>0</v>
      </c>
      <c r="G158" s="363">
        <v>0</v>
      </c>
      <c r="H158" s="448">
        <v>0</v>
      </c>
      <c r="I158" s="482">
        <v>0</v>
      </c>
      <c r="J158" s="363">
        <v>0</v>
      </c>
      <c r="K158" s="386">
        <v>0</v>
      </c>
      <c r="L158" s="581">
        <f t="shared" si="23"/>
        <v>0</v>
      </c>
      <c r="M158" s="363">
        <f t="shared" si="24"/>
        <v>0</v>
      </c>
      <c r="N158" s="582">
        <f t="shared" si="25"/>
        <v>0</v>
      </c>
    </row>
    <row r="159" spans="1:14" ht="12.75">
      <c r="A159" s="358" t="s">
        <v>1035</v>
      </c>
      <c r="B159" s="465" t="s">
        <v>895</v>
      </c>
      <c r="C159" s="363">
        <v>0</v>
      </c>
      <c r="D159" s="363">
        <v>0</v>
      </c>
      <c r="E159" s="386">
        <v>0</v>
      </c>
      <c r="F159" s="566">
        <v>0</v>
      </c>
      <c r="G159" s="363">
        <v>0</v>
      </c>
      <c r="H159" s="448">
        <v>0</v>
      </c>
      <c r="I159" s="482">
        <v>0</v>
      </c>
      <c r="J159" s="363">
        <v>0</v>
      </c>
      <c r="K159" s="386">
        <v>0</v>
      </c>
      <c r="L159" s="581">
        <f t="shared" si="23"/>
        <v>0</v>
      </c>
      <c r="M159" s="363">
        <f t="shared" si="24"/>
        <v>0</v>
      </c>
      <c r="N159" s="582">
        <f t="shared" si="25"/>
        <v>0</v>
      </c>
    </row>
    <row r="160" spans="1:14" s="151" customFormat="1" ht="12.75">
      <c r="A160" s="358" t="s">
        <v>1036</v>
      </c>
      <c r="B160" s="465" t="s">
        <v>896</v>
      </c>
      <c r="C160" s="363">
        <v>0</v>
      </c>
      <c r="D160" s="363">
        <v>0</v>
      </c>
      <c r="E160" s="386">
        <v>0</v>
      </c>
      <c r="F160" s="566">
        <v>0</v>
      </c>
      <c r="G160" s="363">
        <v>0</v>
      </c>
      <c r="H160" s="448">
        <v>0</v>
      </c>
      <c r="I160" s="482">
        <v>0</v>
      </c>
      <c r="J160" s="363">
        <v>0</v>
      </c>
      <c r="K160" s="386">
        <v>0</v>
      </c>
      <c r="L160" s="581">
        <f t="shared" si="23"/>
        <v>0</v>
      </c>
      <c r="M160" s="363">
        <f t="shared" si="24"/>
        <v>0</v>
      </c>
      <c r="N160" s="582">
        <f t="shared" si="25"/>
        <v>0</v>
      </c>
    </row>
    <row r="161" spans="1:14" ht="13.5" thickBot="1">
      <c r="A161" s="358" t="s">
        <v>1037</v>
      </c>
      <c r="B161" s="465" t="s">
        <v>897</v>
      </c>
      <c r="C161" s="363">
        <v>0</v>
      </c>
      <c r="D161" s="363">
        <v>0</v>
      </c>
      <c r="E161" s="386">
        <v>0</v>
      </c>
      <c r="F161" s="566">
        <v>0</v>
      </c>
      <c r="G161" s="363">
        <v>0</v>
      </c>
      <c r="H161" s="448">
        <v>0</v>
      </c>
      <c r="I161" s="482">
        <v>0</v>
      </c>
      <c r="J161" s="363">
        <v>0</v>
      </c>
      <c r="K161" s="386">
        <v>0</v>
      </c>
      <c r="L161" s="581">
        <f t="shared" si="23"/>
        <v>0</v>
      </c>
      <c r="M161" s="363">
        <f t="shared" si="24"/>
        <v>0</v>
      </c>
      <c r="N161" s="582">
        <f t="shared" si="25"/>
        <v>0</v>
      </c>
    </row>
    <row r="162" spans="1:14" ht="13.5" thickBot="1">
      <c r="A162" s="355" t="s">
        <v>1038</v>
      </c>
      <c r="B162" s="464" t="s">
        <v>1041</v>
      </c>
      <c r="C162" s="468">
        <f>SUM(C142+C146+C151+C157)</f>
        <v>375342</v>
      </c>
      <c r="D162" s="468">
        <f aca="true" t="shared" si="35" ref="D162:K162">SUM(D142+D146+D151+D157)</f>
        <v>359996</v>
      </c>
      <c r="E162" s="518">
        <f t="shared" si="35"/>
        <v>359995</v>
      </c>
      <c r="F162" s="629">
        <f t="shared" si="35"/>
        <v>6245</v>
      </c>
      <c r="G162" s="518">
        <f t="shared" si="35"/>
        <v>130569</v>
      </c>
      <c r="H162" s="642">
        <f t="shared" si="35"/>
        <v>130569</v>
      </c>
      <c r="I162" s="624">
        <f t="shared" si="35"/>
        <v>0</v>
      </c>
      <c r="J162" s="468">
        <f t="shared" si="35"/>
        <v>0</v>
      </c>
      <c r="K162" s="518">
        <f t="shared" si="35"/>
        <v>0</v>
      </c>
      <c r="L162" s="601">
        <f t="shared" si="23"/>
        <v>381587</v>
      </c>
      <c r="M162" s="468">
        <f t="shared" si="24"/>
        <v>490565</v>
      </c>
      <c r="N162" s="644">
        <f t="shared" si="25"/>
        <v>490564</v>
      </c>
    </row>
    <row r="163" spans="1:14" s="151" customFormat="1" ht="21.75" thickBot="1">
      <c r="A163" s="470" t="s">
        <v>1039</v>
      </c>
      <c r="B163" s="381" t="s">
        <v>1040</v>
      </c>
      <c r="C163" s="468">
        <f>SUM(C137+C162)</f>
        <v>2149724</v>
      </c>
      <c r="D163" s="468">
        <f aca="true" t="shared" si="36" ref="D163:K163">SUM(D137+D162)</f>
        <v>2104690</v>
      </c>
      <c r="E163" s="518">
        <f t="shared" si="36"/>
        <v>1852265</v>
      </c>
      <c r="F163" s="629">
        <f t="shared" si="36"/>
        <v>482681</v>
      </c>
      <c r="G163" s="468">
        <f t="shared" si="36"/>
        <v>574040</v>
      </c>
      <c r="H163" s="642">
        <f t="shared" si="36"/>
        <v>519524</v>
      </c>
      <c r="I163" s="624">
        <f t="shared" si="36"/>
        <v>37532</v>
      </c>
      <c r="J163" s="468">
        <f t="shared" si="36"/>
        <v>37955</v>
      </c>
      <c r="K163" s="518">
        <f t="shared" si="36"/>
        <v>36721</v>
      </c>
      <c r="L163" s="601">
        <f t="shared" si="23"/>
        <v>2669937</v>
      </c>
      <c r="M163" s="468">
        <f t="shared" si="24"/>
        <v>2716685</v>
      </c>
      <c r="N163" s="644">
        <f t="shared" si="25"/>
        <v>2408510</v>
      </c>
    </row>
    <row r="164" spans="1:14" ht="15.75">
      <c r="A164" s="549"/>
      <c r="B164" s="549"/>
      <c r="C164" s="550"/>
      <c r="D164" s="550"/>
      <c r="E164" s="550"/>
      <c r="F164" s="550"/>
      <c r="G164" s="550"/>
      <c r="H164" s="550"/>
      <c r="I164" s="550"/>
      <c r="J164" s="550"/>
      <c r="K164" s="550"/>
      <c r="L164" s="550"/>
      <c r="M164" s="550"/>
      <c r="N164" s="550"/>
    </row>
    <row r="165" spans="1:14" ht="15.75">
      <c r="A165" s="549"/>
      <c r="B165" s="549"/>
      <c r="C165" s="550"/>
      <c r="D165" s="550"/>
      <c r="E165" s="550"/>
      <c r="F165" s="550"/>
      <c r="G165" s="550"/>
      <c r="H165" s="550"/>
      <c r="I165" s="550"/>
      <c r="J165" s="550"/>
      <c r="K165" s="550"/>
      <c r="L165" s="550"/>
      <c r="M165" s="550"/>
      <c r="N165" s="550"/>
    </row>
    <row r="166" spans="1:14" ht="15.75">
      <c r="A166" s="549"/>
      <c r="B166" s="549"/>
      <c r="C166" s="550"/>
      <c r="D166" s="550"/>
      <c r="E166" s="550"/>
      <c r="F166" s="550"/>
      <c r="G166" s="550"/>
      <c r="H166" s="550"/>
      <c r="I166" s="550"/>
      <c r="J166" s="550"/>
      <c r="K166" s="550"/>
      <c r="L166" s="550"/>
      <c r="M166" s="550"/>
      <c r="N166" s="550"/>
    </row>
    <row r="167" spans="1:14" ht="15.75">
      <c r="A167" s="1213" t="s">
        <v>928</v>
      </c>
      <c r="B167" s="1213"/>
      <c r="C167" s="1213"/>
      <c r="D167" s="1213"/>
      <c r="E167" s="1213"/>
      <c r="F167" s="1213"/>
      <c r="G167" s="1213"/>
      <c r="H167" s="1213"/>
      <c r="I167" s="1213"/>
      <c r="J167" s="1213"/>
      <c r="K167" s="1213"/>
      <c r="L167" s="1213"/>
      <c r="M167" s="1213"/>
      <c r="N167" s="1213"/>
    </row>
    <row r="168" spans="1:14" s="151" customFormat="1" ht="16.5" thickBot="1">
      <c r="A168" s="551"/>
      <c r="B168" s="551"/>
      <c r="C168" s="552"/>
      <c r="D168" s="550"/>
      <c r="E168" s="541"/>
      <c r="F168" s="552"/>
      <c r="G168" s="550"/>
      <c r="H168" s="541"/>
      <c r="I168" s="552"/>
      <c r="J168" s="550"/>
      <c r="K168" s="541"/>
      <c r="L168" s="552"/>
      <c r="M168" s="550"/>
      <c r="N168" s="541" t="s">
        <v>926</v>
      </c>
    </row>
    <row r="169" spans="1:14" s="151" customFormat="1" ht="25.5" customHeight="1" thickBot="1">
      <c r="A169" s="355">
        <v>28</v>
      </c>
      <c r="B169" s="459" t="s">
        <v>929</v>
      </c>
      <c r="C169" s="394">
        <f>C70-C137</f>
        <v>367033</v>
      </c>
      <c r="D169" s="394">
        <f aca="true" t="shared" si="37" ref="D169:N169">D70-D137</f>
        <v>161586</v>
      </c>
      <c r="E169" s="394">
        <f t="shared" si="37"/>
        <v>225955</v>
      </c>
      <c r="F169" s="394">
        <f t="shared" si="37"/>
        <v>18985</v>
      </c>
      <c r="G169" s="394">
        <f t="shared" si="37"/>
        <v>88043</v>
      </c>
      <c r="H169" s="394">
        <f t="shared" si="37"/>
        <v>113897</v>
      </c>
      <c r="I169" s="394">
        <f t="shared" si="37"/>
        <v>-8000</v>
      </c>
      <c r="J169" s="394">
        <f t="shared" si="37"/>
        <v>-8423</v>
      </c>
      <c r="K169" s="394">
        <f t="shared" si="37"/>
        <v>-7187</v>
      </c>
      <c r="L169" s="394">
        <f t="shared" si="37"/>
        <v>378018</v>
      </c>
      <c r="M169" s="394">
        <f t="shared" si="37"/>
        <v>241206</v>
      </c>
      <c r="N169" s="394">
        <f t="shared" si="37"/>
        <v>332665</v>
      </c>
    </row>
    <row r="170" spans="1:14" s="5" customFormat="1" ht="24.75" customHeight="1" thickBot="1">
      <c r="A170" s="355">
        <v>29</v>
      </c>
      <c r="B170" s="459" t="s">
        <v>930</v>
      </c>
      <c r="C170" s="394">
        <f>C93-C162</f>
        <v>-371773</v>
      </c>
      <c r="D170" s="394">
        <f aca="true" t="shared" si="38" ref="D170:N170">D93-D162</f>
        <v>-234281</v>
      </c>
      <c r="E170" s="394">
        <f t="shared" si="38"/>
        <v>-216644</v>
      </c>
      <c r="F170" s="394">
        <f t="shared" si="38"/>
        <v>-6245</v>
      </c>
      <c r="G170" s="394">
        <f t="shared" si="38"/>
        <v>-6925</v>
      </c>
      <c r="H170" s="394">
        <f t="shared" si="38"/>
        <v>-6925</v>
      </c>
      <c r="I170" s="394">
        <f t="shared" si="38"/>
        <v>0</v>
      </c>
      <c r="J170" s="394">
        <f t="shared" si="38"/>
        <v>0</v>
      </c>
      <c r="K170" s="394">
        <f t="shared" si="38"/>
        <v>0</v>
      </c>
      <c r="L170" s="394">
        <f t="shared" si="38"/>
        <v>-378018</v>
      </c>
      <c r="M170" s="394">
        <f t="shared" si="38"/>
        <v>-241206</v>
      </c>
      <c r="N170" s="394">
        <f t="shared" si="38"/>
        <v>-223569</v>
      </c>
    </row>
    <row r="174" spans="1:14" ht="15.75">
      <c r="A174" s="1213" t="s">
        <v>937</v>
      </c>
      <c r="B174" s="1213"/>
      <c r="C174" s="1213"/>
      <c r="D174" s="1213"/>
      <c r="E174" s="1213"/>
      <c r="F174" s="1213"/>
      <c r="G174" s="1213"/>
      <c r="H174" s="1213"/>
      <c r="I174" s="1213"/>
      <c r="J174" s="1213"/>
      <c r="K174" s="1213"/>
      <c r="L174" s="1213"/>
      <c r="M174" s="1213"/>
      <c r="N174" s="1213"/>
    </row>
    <row r="175" spans="1:14" ht="16.5" thickBot="1">
      <c r="A175" s="551"/>
      <c r="B175" s="551"/>
      <c r="C175" s="552"/>
      <c r="D175" s="550"/>
      <c r="E175" s="541"/>
      <c r="F175" s="552"/>
      <c r="G175" s="550"/>
      <c r="H175" s="541"/>
      <c r="I175" s="552"/>
      <c r="J175" s="550"/>
      <c r="K175" s="541"/>
      <c r="L175" s="552"/>
      <c r="M175" s="550"/>
      <c r="N175" s="541"/>
    </row>
    <row r="176" spans="1:14" s="843" customFormat="1" ht="13.5" thickBot="1">
      <c r="A176" s="838">
        <v>30</v>
      </c>
      <c r="B176" s="839" t="s">
        <v>935</v>
      </c>
      <c r="C176" s="836">
        <v>37</v>
      </c>
      <c r="D176" s="836">
        <v>39</v>
      </c>
      <c r="E176" s="836">
        <v>38</v>
      </c>
      <c r="F176" s="836">
        <v>0</v>
      </c>
      <c r="G176" s="836">
        <v>0</v>
      </c>
      <c r="H176" s="836">
        <v>0</v>
      </c>
      <c r="I176" s="836">
        <v>12</v>
      </c>
      <c r="J176" s="836">
        <v>12</v>
      </c>
      <c r="K176" s="836">
        <v>12</v>
      </c>
      <c r="L176" s="840">
        <f aca="true" t="shared" si="39" ref="L176:N177">SUM(C176+F176+I176)</f>
        <v>49</v>
      </c>
      <c r="M176" s="841">
        <f t="shared" si="39"/>
        <v>51</v>
      </c>
      <c r="N176" s="842">
        <f t="shared" si="39"/>
        <v>50</v>
      </c>
    </row>
    <row r="177" spans="1:14" s="843" customFormat="1" ht="13.5" thickBot="1">
      <c r="A177" s="838">
        <v>31</v>
      </c>
      <c r="B177" s="839" t="s">
        <v>936</v>
      </c>
      <c r="C177" s="836">
        <v>111</v>
      </c>
      <c r="D177" s="836">
        <v>73</v>
      </c>
      <c r="E177" s="836">
        <v>28</v>
      </c>
      <c r="F177" s="836">
        <v>0</v>
      </c>
      <c r="G177" s="836">
        <v>0</v>
      </c>
      <c r="H177" s="836">
        <v>0</v>
      </c>
      <c r="I177" s="836">
        <v>0</v>
      </c>
      <c r="J177" s="836">
        <v>0</v>
      </c>
      <c r="K177" s="836">
        <v>0</v>
      </c>
      <c r="L177" s="840">
        <f t="shared" si="39"/>
        <v>111</v>
      </c>
      <c r="M177" s="841">
        <f t="shared" si="39"/>
        <v>73</v>
      </c>
      <c r="N177" s="842">
        <f t="shared" si="39"/>
        <v>28</v>
      </c>
    </row>
  </sheetData>
  <sheetProtection/>
  <mergeCells count="46">
    <mergeCell ref="C101:E101"/>
    <mergeCell ref="F101:H101"/>
    <mergeCell ref="I101:K101"/>
    <mergeCell ref="L101:N101"/>
    <mergeCell ref="A138:A140"/>
    <mergeCell ref="B138:B140"/>
    <mergeCell ref="C138:E138"/>
    <mergeCell ref="F138:H138"/>
    <mergeCell ref="C139:E139"/>
    <mergeCell ref="F139:H139"/>
    <mergeCell ref="I139:K139"/>
    <mergeCell ref="L139:N139"/>
    <mergeCell ref="A174:N174"/>
    <mergeCell ref="A167:N167"/>
    <mergeCell ref="F50:H50"/>
    <mergeCell ref="I50:K50"/>
    <mergeCell ref="L50:N50"/>
    <mergeCell ref="F51:H51"/>
    <mergeCell ref="I138:K138"/>
    <mergeCell ref="L138:N138"/>
    <mergeCell ref="B3:N3"/>
    <mergeCell ref="B5:N5"/>
    <mergeCell ref="F7:H7"/>
    <mergeCell ref="C51:E51"/>
    <mergeCell ref="F100:H100"/>
    <mergeCell ref="I7:K7"/>
    <mergeCell ref="I100:K100"/>
    <mergeCell ref="L7:N7"/>
    <mergeCell ref="L100:N100"/>
    <mergeCell ref="F8:H8"/>
    <mergeCell ref="B4:E4"/>
    <mergeCell ref="B7:B9"/>
    <mergeCell ref="C7:E7"/>
    <mergeCell ref="A50:A52"/>
    <mergeCell ref="B50:B52"/>
    <mergeCell ref="C50:E50"/>
    <mergeCell ref="A98:N98"/>
    <mergeCell ref="C8:E8"/>
    <mergeCell ref="A100:A102"/>
    <mergeCell ref="B100:B102"/>
    <mergeCell ref="C100:E100"/>
    <mergeCell ref="A7:A9"/>
    <mergeCell ref="I51:K51"/>
    <mergeCell ref="L51:N51"/>
    <mergeCell ref="I8:K8"/>
    <mergeCell ref="L8:N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rowBreaks count="3" manualBreakCount="3">
    <brk id="49" max="13" man="1"/>
    <brk id="97" max="13" man="1"/>
    <brk id="1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2016-04-25T08:42:29Z</cp:lastPrinted>
  <dcterms:created xsi:type="dcterms:W3CDTF">2000-09-06T06:53:57Z</dcterms:created>
  <dcterms:modified xsi:type="dcterms:W3CDTF">2016-04-25T08:42:47Z</dcterms:modified>
  <cp:category/>
  <cp:version/>
  <cp:contentType/>
  <cp:contentStatus/>
</cp:coreProperties>
</file>