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1"/>
  </bookViews>
  <sheets>
    <sheet name="bor." sheetId="1" r:id="rId1"/>
    <sheet name="1.Mérleg" sheetId="2" r:id="rId2"/>
    <sheet name="2.Bevételek" sheetId="3" r:id="rId3"/>
    <sheet name="3.Köt.önként v. bevétel " sheetId="4" r:id="rId4"/>
    <sheet name="4.Korm.funkciók" sheetId="5" r:id="rId5"/>
    <sheet name="5.Köt. önként v. kiadás" sheetId="6" r:id="rId6"/>
    <sheet name="6. Ellátottak juttatásai " sheetId="7" r:id="rId7"/>
    <sheet name="7.Egyéb működési" sheetId="8" r:id="rId8"/>
    <sheet name="8.Beruházás" sheetId="9" r:id="rId9"/>
    <sheet name="9.Felújítás" sheetId="10" r:id="rId10"/>
    <sheet name="10.Közgazd. mérleg" sheetId="11" r:id="rId11"/>
    <sheet name="11.Előirányzat felh.ü." sheetId="12" r:id="rId12"/>
    <sheet name="12.Részvények" sheetId="13" r:id="rId13"/>
    <sheet name="13.Közvtett tám." sheetId="14" r:id="rId14"/>
    <sheet name="14.Adósságot" sheetId="15" r:id="rId15"/>
    <sheet name="Munka1" sheetId="16" r:id="rId16"/>
  </sheets>
  <definedNames>
    <definedName name="_xlnm.Print_Area" localSheetId="3">'3.Köt.önként v. bevétel '!$A$1:$G$23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7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<sst xmlns="http://schemas.openxmlformats.org/spreadsheetml/2006/main" count="910" uniqueCount="514">
  <si>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</si>
  <si>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</si>
  <si>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</si>
  <si>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</si>
  <si>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</si>
  <si>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</si>
  <si>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</si>
  <si>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</si>
  <si>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</si>
  <si>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</si>
  <si>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</si>
  <si>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</si>
  <si>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</si>
  <si>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</si>
  <si>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</si>
  <si>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</si>
  <si>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</si>
  <si>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</si>
  <si>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</si>
  <si>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</si>
  <si>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</si>
  <si>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</si>
  <si>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</si>
  <si>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</si>
  <si>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</si>
  <si>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</si>
  <si>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</si>
  <si>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</si>
  <si>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</si>
  <si>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</si>
  <si>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</si>
  <si>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</si>
  <si>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</si>
  <si>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</si>
  <si>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</si>
  <si>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</si>
  <si>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</si>
  <si>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</si>
  <si>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</si>
  <si>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</si>
  <si>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</si>
  <si>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</si>
  <si>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</si>
  <si>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</si>
  <si>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</si>
  <si>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</si>
  <si>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</si>
  <si>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</si>
  <si>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</si>
  <si>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</si>
  <si>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</si>
  <si>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</si>
  <si>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</si>
  <si>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</si>
  <si>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</si>
  <si>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</si>
  <si>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</si>
  <si>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</si>
  <si>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</si>
  <si>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</si>
  <si>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</si>
  <si>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</si>
  <si>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</si>
  <si>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</si>
  <si>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</si>
  <si>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</si>
  <si>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</si>
  <si>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</si>
  <si>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</si>
  <si>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</si>
  <si>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</si>
  <si>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</si>
  <si>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</si>
  <si>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</si>
  <si>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</si>
  <si>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</si>
  <si>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</si>
  <si>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</si>
  <si>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</si>
  <si>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</si>
  <si>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</si>
  <si>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</si>
  <si>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</si>
  <si>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</si>
  <si>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</si>
  <si>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</si>
  <si>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</si>
  <si>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</si>
  <si>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</si>
  <si>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</si>
  <si>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</si>
  <si>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</si>
  <si>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</si>
  <si>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</si>
  <si>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</si>
  <si>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</si>
  <si>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</si>
  <si>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</si>
  <si>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</si>
  <si>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</si>
  <si>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</si>
  <si>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</si>
  <si>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</si>
  <si>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</si>
  <si>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</si>
  <si>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</si>
  <si>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</si>
  <si>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</si>
  <si>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</si>
  <si>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</si>
  <si>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</si>
  <si>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</si>
  <si>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</si>
  <si>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</si>
  <si>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</si>
  <si>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</si>
  <si>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</si>
  <si>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</si>
  <si>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</si>
  <si>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</si>
  <si>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</si>
  <si>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</si>
  <si>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</si>
  <si>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</si>
  <si>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</si>
  <si>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</si>
  <si>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</si>
  <si>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</si>
  <si>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</si>
  <si>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</si>
  <si>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</si>
  <si>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</si>
  <si>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</si>
  <si>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</si>
  <si>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</si>
  <si>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</si>
  <si>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</si>
  <si>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</si>
  <si>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</si>
  <si>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</si>
  <si>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</si>
  <si>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</si>
  <si>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</si>
  <si>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</si>
  <si>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</si>
  <si>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</si>
  <si>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</si>
  <si>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</si>
  <si>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</si>
  <si>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</si>
  <si>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</si>
  <si>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</si>
  <si>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</si>
  <si>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</si>
  <si>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</si>
  <si>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</si>
  <si>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</si>
  <si>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</si>
  <si>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</si>
  <si>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</si>
  <si>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</si>
  <si>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</si>
  <si>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</si>
  <si>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</si>
  <si>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</si>
  <si>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</si>
  <si>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</si>
  <si>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</si>
  <si>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</si>
  <si>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</si>
  <si>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</si>
  <si>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</si>
  <si>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</si>
  <si>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</si>
  <si>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</si>
  <si>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</si>
  <si>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</si>
  <si>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</si>
  <si>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</si>
  <si>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</si>
  <si>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</si>
  <si>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</si>
  <si>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</si>
  <si>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</si>
  <si>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</si>
  <si>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</si>
  <si>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</si>
  <si>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</si>
  <si>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</si>
  <si>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</si>
  <si>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</si>
  <si>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</si>
  <si>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</si>
  <si>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</si>
  <si>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</si>
  <si>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</si>
  <si>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</si>
  <si>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</si>
  <si>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</si>
  <si>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</si>
  <si>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</si>
  <si>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</si>
  <si>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</si>
  <si>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</si>
  <si>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</si>
  <si>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</si>
  <si>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</si>
  <si>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</si>
  <si>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</si>
  <si>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</si>
  <si>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</si>
  <si>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</si>
  <si>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</si>
  <si>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</si>
  <si>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</si>
  <si>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</si>
  <si>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</si>
  <si>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</si>
  <si>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</si>
  <si>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</si>
  <si>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</si>
  <si>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</si>
  <si>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</si>
  <si>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</si>
  <si>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</si>
  <si>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</si>
  <si>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</si>
  <si>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</si>
  <si>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</si>
  <si>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</si>
  <si>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</si>
  <si>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</si>
  <si>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</si>
  <si>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</si>
  <si>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</si>
  <si>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</si>
  <si>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</si>
  <si>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</si>
  <si>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</si>
  <si>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</si>
  <si>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</si>
  <si>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</si>
  <si>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</si>
  <si>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</si>
  <si>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</si>
  <si>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</si>
  <si>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</si>
  <si>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</si>
  <si>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</si>
  <si>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</si>
  <si>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</si>
  <si>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</si>
  <si>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</si>
  <si>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</si>
  <si>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</si>
  <si>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</si>
  <si>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</si>
  <si>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</si>
  <si>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</si>
  <si>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</si>
  <si>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</si>
  <si>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</si>
  <si>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</si>
  <si>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</si>
  <si>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</si>
  <si>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</si>
  <si>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</si>
  <si>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</si>
  <si>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</si>
  <si>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</si>
  <si>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</si>
  <si>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</si>
  <si>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</si>
  <si>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</si>
  <si>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</si>
  <si>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</si>
  <si>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</si>
  <si>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</si>
  <si>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</si>
  <si>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</si>
  <si>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</si>
  <si>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</si>
  <si>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</si>
  <si>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</si>
  <si>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</si>
  <si>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</si>
  <si>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</si>
  <si>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</si>
  <si>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</si>
  <si>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</si>
  <si>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</si>
  <si>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</si>
  <si>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</si>
  <si>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</si>
  <si>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</si>
  <si>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</si>
  <si>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</si>
  <si>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</si>
  <si>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</si>
  <si>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</si>
  <si>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</si>
  <si>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</si>
  <si>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</si>
  <si>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</si>
  <si>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</si>
  <si>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</si>
  <si>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</si>
  <si>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</si>
  <si>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</si>
  <si>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</si>
  <si>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</si>
  <si>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</si>
  <si>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</si>
  <si>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</si>
  <si>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</si>
  <si>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</si>
  <si>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</si>
  <si>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</si>
  <si>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</si>
  <si>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</si>
  <si>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</si>
  <si>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</si>
  <si>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</si>
  <si>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</si>
  <si>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</si>
  <si>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</si>
  <si>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</si>
  <si>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</si>
  <si>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</si>
  <si>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</si>
  <si>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</si>
  <si>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</si>
  <si>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</si>
  <si>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</si>
  <si>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</si>
  <si>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</si>
  <si>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</si>
  <si>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</si>
  <si>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</si>
  <si>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</si>
  <si>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</si>
  <si>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</si>
  <si>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</si>
  <si>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</si>
  <si>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</si>
  <si>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</si>
  <si>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</si>
  <si>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</si>
  <si>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</si>
  <si>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</si>
  <si>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</si>
  <si>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</si>
  <si>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</si>
  <si>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</si>
  <si>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</si>
  <si>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</si>
  <si>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</si>
  <si>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</si>
  <si>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</si>
  <si>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</si>
  <si>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</si>
  <si>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</si>
  <si>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</si>
  <si>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</si>
  <si>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</si>
  <si>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</si>
  <si>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</si>
  <si>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</si>
  <si>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</si>
  <si>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</si>
  <si>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</si>
  <si>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</si>
  <si>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</si>
  <si>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</si>
  <si>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</si>
  <si>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</si>
  <si>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</si>
  <si>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</si>
  <si>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</si>
  <si>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</si>
  <si>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 Ft </t>
  </si>
  <si>
    <t>adatok  Ft-ban</t>
  </si>
  <si>
    <t>(  Ft-ban)</t>
  </si>
  <si>
    <t>( Ft-ban)</t>
  </si>
  <si>
    <t>Települési tanévkedési támogatás</t>
  </si>
  <si>
    <t>Gyermekek egyszeri támogatása ( év végi)</t>
  </si>
  <si>
    <t>Időskorúak egyszeri támogatása( év végi)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</si>
  <si>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</si>
  <si>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</si>
  <si>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</si>
  <si>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</si>
  <si>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</si>
  <si>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</si>
  <si>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</si>
  <si>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</si>
  <si>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</si>
  <si>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</si>
  <si>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</si>
  <si>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</si>
  <si>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</si>
  <si>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</si>
  <si>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FELÚJÍTÁSOK ÖSSZESEN:</t>
  </si>
  <si>
    <t>1.1.1.</t>
  </si>
  <si>
    <t>tervezett  előirányzat            ( Ft)</t>
  </si>
  <si>
    <t>1.1.</t>
  </si>
  <si>
    <t>066020 Város és községgazdálkodási egyéb szolgáltatások</t>
  </si>
  <si>
    <t>2.2.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</si>
  <si>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</si>
  <si>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</si>
  <si>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</si>
  <si>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</si>
  <si>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</si>
  <si>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</si>
  <si>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</si>
  <si>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</si>
  <si>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</si>
  <si>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</si>
  <si>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</si>
  <si>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</si>
  <si>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</si>
  <si>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</si>
  <si>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</si>
  <si>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</si>
  <si>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</si>
  <si>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</si>
  <si>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</si>
  <si>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</si>
  <si>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</si>
  <si>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</si>
  <si>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</si>
  <si>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</si>
  <si>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</si>
  <si>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</si>
  <si>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</si>
  <si>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</si>
  <si>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</si>
  <si>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</si>
  <si>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</si>
  <si>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</si>
  <si>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</si>
  <si>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</si>
  <si>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1.1.2.</t>
  </si>
  <si>
    <t>1.1.2.2.</t>
  </si>
  <si>
    <t>1.1.2.3.</t>
  </si>
  <si>
    <t xml:space="preserve">  Kistérségi tagdíj</t>
  </si>
  <si>
    <t xml:space="preserve">  Sághegy LEADER tagdíj</t>
  </si>
  <si>
    <t>1.7.</t>
  </si>
  <si>
    <t>1.6.</t>
  </si>
  <si>
    <t>1.5.</t>
  </si>
  <si>
    <t>2018.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</si>
  <si>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</si>
  <si>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</si>
  <si>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</si>
  <si>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</si>
  <si>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</si>
  <si>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</si>
  <si>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BURSA Hungarica ösztöndíj pályázat támogatása</t>
  </si>
  <si>
    <t>Intézményen kívüli gyermekétkeztetés</t>
  </si>
  <si>
    <t xml:space="preserve">2019. évi </t>
  </si>
  <si>
    <t>2019. év</t>
  </si>
  <si>
    <t>2019.év</t>
  </si>
  <si>
    <t>1.1.2.4</t>
  </si>
  <si>
    <t>TÖOSZ tagdíj</t>
  </si>
  <si>
    <t>Megvásárolt ingatlan  (Művelődési ház) felújítására</t>
  </si>
  <si>
    <t>Felújítási célú előzetesen felszámított általános forgalmi adó</t>
  </si>
  <si>
    <t>2018. december 31.</t>
  </si>
  <si>
    <t>2019. évre</t>
  </si>
  <si>
    <t xml:space="preserve"> 2019. évi előirányzat-felhasználási ütemterve</t>
  </si>
  <si>
    <t>2020-2022. év</t>
  </si>
  <si>
    <t>2022.</t>
  </si>
  <si>
    <t>2021.</t>
  </si>
  <si>
    <t>2020.</t>
  </si>
  <si>
    <t>6. sz. melléklet a 2/2019.(II.13.) sz. önkormányzati rendelethez</t>
  </si>
  <si>
    <t>12. melléklet a 2/2019.(II.13.)  önkormányzati rendelethez</t>
  </si>
  <si>
    <t>13. melléklet  a  2/2019.(II.13.) önkormányzati rendelethez</t>
  </si>
  <si>
    <t>14. melléklet  a 2/2019.(II.13.) önkormányzati rendelethez</t>
  </si>
  <si>
    <t>2.1.6.</t>
  </si>
  <si>
    <t>Szociális ágazati összevont pótlék</t>
  </si>
  <si>
    <t>Működési célú költségvetési és kiegészítő támogatás</t>
  </si>
  <si>
    <t>Szociális célú tűzifavásárlás támogatása</t>
  </si>
  <si>
    <t>Működési célú költségvetési és kiegészítő támogatása</t>
  </si>
  <si>
    <t>egyszeri gyermekvédelmi  pénzbeni támogatás</t>
  </si>
  <si>
    <t>Poprác Község Önkéntes Tűzoltó Egyesülete vissza térítendő támogatás visszafizetése</t>
  </si>
  <si>
    <t>-3-</t>
  </si>
  <si>
    <t>1.1.1</t>
  </si>
  <si>
    <t>1.1.3</t>
  </si>
  <si>
    <t>EGYÉB MŰKÖDÉSI CÉLÚ TÁMOGATÁSOK ÁLLAMHÁZTARTÁSON BELÜLRE</t>
  </si>
  <si>
    <t>2.2</t>
  </si>
  <si>
    <t>2017. évi állami támogatások elszámolás utáni visszafizetési kötelezettség</t>
  </si>
  <si>
    <t>EGYÉB MŰKÖDÉSI CÉLÚ TÁMOGATÁSOK ÁLLAMHÁZTARTÁSON BELÜLRE ÖSSZESEN:</t>
  </si>
  <si>
    <t>TARTALÉK</t>
  </si>
  <si>
    <t>BERUHÁZÁSi KIADÁSOK</t>
  </si>
  <si>
    <t>tervezett  előirányzat              ( Ft)</t>
  </si>
  <si>
    <t xml:space="preserve"> 066020 Város- és községgazdálkodási egyéb szolgáltatások</t>
  </si>
  <si>
    <t>3.1</t>
  </si>
  <si>
    <t>Kisértékű eszközbeszerzés ( fűnyíró )</t>
  </si>
  <si>
    <t xml:space="preserve"> - előző évi elszámolások kiadása államháztartáson belülre</t>
  </si>
  <si>
    <t>Magyar Falu Program Közösségi ház felújítása</t>
  </si>
  <si>
    <t>" Porpác útrakél" Kirándulás támogatása</t>
  </si>
  <si>
    <t>4.2.</t>
  </si>
  <si>
    <t>4.1.</t>
  </si>
  <si>
    <t>107055 Falugondnoki szolgálat</t>
  </si>
  <si>
    <t>1. sz. melléklet a 2/2019.(II.13.) önkormányzati rendelethez</t>
  </si>
  <si>
    <t>2. sz. melléklet a 2/2019.(II.13.) önkormányzati rendelethez</t>
  </si>
  <si>
    <t>3. sz. melléklet a 2/2019.(II.13.) önkormányzati rendelethez</t>
  </si>
  <si>
    <t>4. sz. melléklet  a 2/2019.( II.13.) önkormányzati rendelethez</t>
  </si>
  <si>
    <t>5. sz. melléklet a 2/2019.(II.13.) sz. önkormányzati rendelethez</t>
  </si>
  <si>
    <t>7. sz . melléklet a  2./2019.(II.13.) sz. önkormányzati rendelethez</t>
  </si>
  <si>
    <t>Kisértékű eszközbeszerzés ( fűnyíró, fa virágládák,permetező )</t>
  </si>
  <si>
    <t>8 sz. melléklet a 2/2019.(II.13.) sz. önkormányzati rendelethez</t>
  </si>
  <si>
    <t>Falugondnoki szolgálat  helyiségének villamossági felújítása</t>
  </si>
  <si>
    <t>9 sz. melléklet a 2/2019.(II.13.) sz. önkormányzati rendelethez</t>
  </si>
  <si>
    <t>10. melléklet a 2/2019.(II.13.) sz. önkormányzati rendelethez</t>
  </si>
  <si>
    <t>11. melléklet a 2/2019. (II.13.)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</si>
</sst>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[$¥€-2]\ #\ ##,000_);[Red]\([$€-2]\ #\ ##,000\)"/>
  </numFmts>
  <fonts count="8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i/>
      <sz val="12"/>
      <name val="Times Bold Italic"/>
      <family val="1"/>
    </font>
    <font>
      <sz val="12"/>
      <name val="Times Bold Italic"/>
      <family val="1"/>
    </font>
    <font>
      <b/>
      <sz val="12"/>
      <name val="Times Bold Italic"/>
      <family val="1"/>
    </font>
    <font>
      <sz val="12"/>
      <color indexed="8"/>
      <name val="Times Bold Italic"/>
      <family val="1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4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7" applyFont="1" applyAlignment="1">
      <alignment/>
      <protection/>
    </xf>
    <xf numFmtId="0" fontId="16" fillId="0" borderId="0" xfId="0" applyFont="1" applyAlignment="1">
      <alignment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59" applyFont="1">
      <alignment/>
      <protection/>
    </xf>
    <xf numFmtId="0" fontId="16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6" applyFont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6" fillId="0" borderId="0" xfId="66" applyFont="1">
      <alignment/>
      <protection/>
    </xf>
    <xf numFmtId="0" fontId="8" fillId="0" borderId="0" xfId="66" applyFont="1">
      <alignment/>
      <protection/>
    </xf>
    <xf numFmtId="0" fontId="18" fillId="0" borderId="0" xfId="66" applyFont="1" applyAlignment="1">
      <alignment horizontal="center"/>
      <protection/>
    </xf>
    <xf numFmtId="0" fontId="11" fillId="0" borderId="0" xfId="66" applyFont="1" applyBorder="1">
      <alignment/>
      <protection/>
    </xf>
    <xf numFmtId="0" fontId="12" fillId="0" borderId="0" xfId="66" applyFont="1">
      <alignment/>
      <protection/>
    </xf>
    <xf numFmtId="0" fontId="4" fillId="0" borderId="0" xfId="64" applyFont="1">
      <alignment/>
      <protection/>
    </xf>
    <xf numFmtId="168" fontId="8" fillId="0" borderId="0" xfId="64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4" applyFont="1" applyAlignment="1">
      <alignment wrapText="1"/>
      <protection/>
    </xf>
    <xf numFmtId="0" fontId="8" fillId="0" borderId="0" xfId="64" applyFont="1" applyAlignment="1">
      <alignment wrapText="1"/>
      <protection/>
    </xf>
    <xf numFmtId="0" fontId="16" fillId="0" borderId="0" xfId="59" applyFont="1" applyBorder="1" applyAlignment="1">
      <alignment horizontal="center"/>
      <protection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3" fillId="0" borderId="0" xfId="40" applyNumberFormat="1" applyFont="1" applyAlignment="1">
      <alignment horizontal="center"/>
    </xf>
    <xf numFmtId="168" fontId="34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4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3" fillId="0" borderId="0" xfId="4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24" fillId="0" borderId="0" xfId="58" applyFont="1" applyAlignment="1">
      <alignment/>
      <protection/>
    </xf>
    <xf numFmtId="41" fontId="14" fillId="0" borderId="0" xfId="58" applyNumberFormat="1" applyFont="1" applyAlignment="1">
      <alignment horizontal="centerContinuous"/>
      <protection/>
    </xf>
    <xf numFmtId="0" fontId="35" fillId="0" borderId="0" xfId="58" applyFont="1" applyAlignment="1">
      <alignment/>
      <protection/>
    </xf>
    <xf numFmtId="41" fontId="19" fillId="0" borderId="0" xfId="58" applyNumberFormat="1" applyFont="1" applyAlignment="1">
      <alignment horizontal="centerContinuous"/>
      <protection/>
    </xf>
    <xf numFmtId="0" fontId="18" fillId="0" borderId="0" xfId="58" applyFont="1">
      <alignment/>
      <protection/>
    </xf>
    <xf numFmtId="41" fontId="36" fillId="0" borderId="0" xfId="58" applyNumberFormat="1" applyFont="1">
      <alignment/>
      <protection/>
    </xf>
    <xf numFmtId="41" fontId="14" fillId="0" borderId="0" xfId="58" applyNumberFormat="1" applyFont="1">
      <alignment/>
      <protection/>
    </xf>
    <xf numFmtId="0" fontId="24" fillId="0" borderId="0" xfId="58" applyFont="1">
      <alignment/>
      <protection/>
    </xf>
    <xf numFmtId="41" fontId="36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1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3" fillId="0" borderId="2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33" fillId="0" borderId="25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center" vertical="center"/>
      <protection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39" fillId="0" borderId="20" xfId="0" applyFont="1" applyBorder="1" applyAlignment="1">
      <alignment horizontal="center"/>
    </xf>
    <xf numFmtId="0" fontId="0" fillId="0" borderId="26" xfId="0" applyBorder="1" applyAlignment="1">
      <alignment/>
    </xf>
    <xf numFmtId="0" fontId="39" fillId="0" borderId="26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168" fontId="8" fillId="0" borderId="14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4" xfId="0" applyNumberFormat="1" applyBorder="1" applyAlignment="1">
      <alignment/>
    </xf>
    <xf numFmtId="41" fontId="40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41" fontId="41" fillId="0" borderId="0" xfId="0" applyNumberFormat="1" applyFont="1" applyAlignment="1">
      <alignment horizontal="center"/>
    </xf>
    <xf numFmtId="41" fontId="0" fillId="0" borderId="27" xfId="0" applyNumberFormat="1" applyBorder="1" applyAlignment="1">
      <alignment horizontal="center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3" xfId="0" applyBorder="1" applyAlignment="1">
      <alignment horizontal="center" vertical="center"/>
    </xf>
    <xf numFmtId="49" fontId="11" fillId="0" borderId="0" xfId="66" applyNumberFormat="1" applyFont="1">
      <alignment/>
      <protection/>
    </xf>
    <xf numFmtId="49" fontId="8" fillId="0" borderId="0" xfId="66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6" applyNumberFormat="1" applyFont="1" applyAlignment="1">
      <alignment horizontal="center" vertical="center"/>
      <protection/>
    </xf>
    <xf numFmtId="49" fontId="11" fillId="0" borderId="0" xfId="66" applyNumberFormat="1" applyFont="1" applyBorder="1" applyAlignment="1">
      <alignment horizontal="center" vertical="center"/>
      <protection/>
    </xf>
    <xf numFmtId="49" fontId="12" fillId="0" borderId="0" xfId="66" applyNumberFormat="1" applyFont="1" applyAlignment="1">
      <alignment horizontal="center" vertical="center"/>
      <protection/>
    </xf>
    <xf numFmtId="49" fontId="16" fillId="0" borderId="0" xfId="58" applyNumberFormat="1" applyFont="1">
      <alignment/>
      <protection/>
    </xf>
    <xf numFmtId="49" fontId="14" fillId="0" borderId="0" xfId="58" applyNumberFormat="1" applyFont="1" applyAlignment="1">
      <alignment horizontal="center" vertical="center"/>
      <protection/>
    </xf>
    <xf numFmtId="49" fontId="19" fillId="0" borderId="0" xfId="58" applyNumberFormat="1" applyFont="1" applyAlignment="1">
      <alignment horizontal="center" vertical="center"/>
      <protection/>
    </xf>
    <xf numFmtId="49" fontId="16" fillId="0" borderId="0" xfId="58" applyNumberFormat="1" applyFont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0" fontId="28" fillId="0" borderId="0" xfId="0" applyFont="1" applyAlignment="1">
      <alignment horizontal="left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8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Alignment="1">
      <alignment wrapText="1"/>
    </xf>
    <xf numFmtId="168" fontId="8" fillId="0" borderId="0" xfId="42" applyNumberFormat="1" applyFont="1" applyAlignment="1">
      <alignment horizontal="right"/>
    </xf>
    <xf numFmtId="0" fontId="4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65" applyFont="1">
      <alignment/>
      <protection/>
    </xf>
    <xf numFmtId="168" fontId="4" fillId="0" borderId="0" xfId="42" applyNumberFormat="1" applyFont="1" applyAlignment="1">
      <alignment horizontal="right"/>
    </xf>
    <xf numFmtId="168" fontId="11" fillId="0" borderId="0" xfId="42" applyNumberFormat="1" applyFont="1" applyAlignment="1">
      <alignment/>
    </xf>
    <xf numFmtId="168" fontId="11" fillId="0" borderId="10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center"/>
    </xf>
    <xf numFmtId="168" fontId="9" fillId="0" borderId="0" xfId="42" applyNumberFormat="1" applyFont="1" applyAlignment="1">
      <alignment wrapText="1"/>
    </xf>
    <xf numFmtId="168" fontId="9" fillId="0" borderId="0" xfId="42" applyNumberFormat="1" applyFont="1" applyAlignment="1">
      <alignment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28" fillId="0" borderId="0" xfId="42" applyNumberFormat="1" applyFont="1" applyAlignment="1">
      <alignment wrapText="1"/>
    </xf>
    <xf numFmtId="168" fontId="28" fillId="0" borderId="0" xfId="42" applyNumberFormat="1" applyFont="1" applyAlignment="1">
      <alignment/>
    </xf>
    <xf numFmtId="168" fontId="26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168" fontId="11" fillId="0" borderId="0" xfId="0" applyNumberFormat="1" applyFont="1" applyAlignment="1">
      <alignment/>
    </xf>
    <xf numFmtId="0" fontId="8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17" fillId="0" borderId="0" xfId="65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11" fillId="0" borderId="28" xfId="65" applyFont="1" applyBorder="1" applyAlignment="1" quotePrefix="1">
      <alignment horizontal="center" vertical="center" wrapText="1"/>
      <protection/>
    </xf>
    <xf numFmtId="0" fontId="11" fillId="0" borderId="29" xfId="65" applyFont="1" applyBorder="1" applyAlignment="1">
      <alignment horizontal="left" wrapText="1"/>
      <protection/>
    </xf>
    <xf numFmtId="41" fontId="8" fillId="0" borderId="30" xfId="65" applyNumberFormat="1" applyFont="1" applyBorder="1" applyAlignment="1">
      <alignment horizontal="right" vertical="center"/>
      <protection/>
    </xf>
    <xf numFmtId="41" fontId="8" fillId="0" borderId="29" xfId="65" applyNumberFormat="1" applyFont="1" applyBorder="1" applyAlignment="1">
      <alignment horizontal="right" vertical="center"/>
      <protection/>
    </xf>
    <xf numFmtId="41" fontId="8" fillId="0" borderId="31" xfId="65" applyNumberFormat="1" applyFont="1" applyBorder="1" applyAlignment="1">
      <alignment horizontal="right" vertical="center"/>
      <protection/>
    </xf>
    <xf numFmtId="0" fontId="16" fillId="0" borderId="0" xfId="65" applyFont="1" applyBorder="1" applyAlignment="1">
      <alignment horizontal="right"/>
      <protection/>
    </xf>
    <xf numFmtId="0" fontId="17" fillId="0" borderId="0" xfId="65" applyFont="1" applyBorder="1">
      <alignment/>
      <protection/>
    </xf>
    <xf numFmtId="0" fontId="16" fillId="0" borderId="0" xfId="65" applyFont="1" applyBorder="1" applyAlignment="1">
      <alignment/>
      <protection/>
    </xf>
    <xf numFmtId="0" fontId="16" fillId="0" borderId="0" xfId="65" applyFont="1" applyBorder="1">
      <alignment/>
      <protection/>
    </xf>
    <xf numFmtId="0" fontId="5" fillId="0" borderId="32" xfId="0" applyFont="1" applyBorder="1" applyAlignment="1">
      <alignment horizontal="center" vertical="center"/>
    </xf>
    <xf numFmtId="0" fontId="8" fillId="0" borderId="33" xfId="65" applyFont="1" applyBorder="1" applyAlignment="1" quotePrefix="1">
      <alignment horizontal="center" vertical="center" wrapText="1"/>
      <protection/>
    </xf>
    <xf numFmtId="0" fontId="8" fillId="0" borderId="32" xfId="65" applyFont="1" applyBorder="1" applyAlignment="1">
      <alignment horizontal="left" wrapText="1"/>
      <protection/>
    </xf>
    <xf numFmtId="41" fontId="8" fillId="0" borderId="34" xfId="65" applyNumberFormat="1" applyFont="1" applyBorder="1" applyAlignment="1">
      <alignment horizontal="right" vertical="center"/>
      <protection/>
    </xf>
    <xf numFmtId="41" fontId="8" fillId="0" borderId="32" xfId="65" applyNumberFormat="1" applyFont="1" applyBorder="1" applyAlignment="1">
      <alignment horizontal="right" vertical="center"/>
      <protection/>
    </xf>
    <xf numFmtId="41" fontId="8" fillId="0" borderId="35" xfId="65" applyNumberFormat="1" applyFont="1" applyBorder="1" applyAlignment="1">
      <alignment horizontal="right" vertical="center"/>
      <protection/>
    </xf>
    <xf numFmtId="0" fontId="11" fillId="0" borderId="33" xfId="65" applyFont="1" applyBorder="1" applyAlignment="1" quotePrefix="1">
      <alignment horizontal="center" vertical="center" wrapText="1"/>
      <protection/>
    </xf>
    <xf numFmtId="0" fontId="11" fillId="0" borderId="32" xfId="65" applyFont="1" applyBorder="1">
      <alignment/>
      <protection/>
    </xf>
    <xf numFmtId="0" fontId="8" fillId="0" borderId="34" xfId="65" applyFont="1" applyBorder="1" applyAlignment="1" quotePrefix="1">
      <alignment horizontal="center" vertical="center" wrapText="1"/>
      <protection/>
    </xf>
    <xf numFmtId="41" fontId="8" fillId="0" borderId="36" xfId="65" applyNumberFormat="1" applyFont="1" applyBorder="1" applyAlignment="1">
      <alignment horizontal="right" vertical="center"/>
      <protection/>
    </xf>
    <xf numFmtId="41" fontId="8" fillId="0" borderId="37" xfId="65" applyNumberFormat="1" applyFont="1" applyBorder="1" applyAlignment="1">
      <alignment horizontal="right" vertical="center"/>
      <protection/>
    </xf>
    <xf numFmtId="0" fontId="5" fillId="0" borderId="37" xfId="0" applyFont="1" applyBorder="1" applyAlignment="1">
      <alignment horizontal="center" vertical="center"/>
    </xf>
    <xf numFmtId="0" fontId="8" fillId="0" borderId="25" xfId="65" applyFont="1" applyBorder="1">
      <alignment/>
      <protection/>
    </xf>
    <xf numFmtId="0" fontId="4" fillId="0" borderId="23" xfId="65" applyFont="1" applyBorder="1">
      <alignment/>
      <protection/>
    </xf>
    <xf numFmtId="41" fontId="4" fillId="0" borderId="38" xfId="65" applyNumberFormat="1" applyFont="1" applyBorder="1" applyAlignment="1">
      <alignment horizontal="right"/>
      <protection/>
    </xf>
    <xf numFmtId="41" fontId="4" fillId="0" borderId="39" xfId="65" applyNumberFormat="1" applyFont="1" applyBorder="1" applyAlignment="1">
      <alignment horizontal="right"/>
      <protection/>
    </xf>
    <xf numFmtId="41" fontId="4" fillId="0" borderId="23" xfId="65" applyNumberFormat="1" applyFont="1" applyBorder="1" applyAlignment="1">
      <alignment horizontal="right"/>
      <protection/>
    </xf>
    <xf numFmtId="0" fontId="17" fillId="0" borderId="0" xfId="65" applyFont="1" applyBorder="1" applyAlignment="1">
      <alignment horizontal="right"/>
      <protection/>
    </xf>
    <xf numFmtId="0" fontId="5" fillId="0" borderId="0" xfId="0" applyFont="1" applyBorder="1" applyAlignment="1">
      <alignment horizontal="center" vertical="center"/>
    </xf>
    <xf numFmtId="0" fontId="16" fillId="0" borderId="0" xfId="65" applyFont="1">
      <alignment/>
      <protection/>
    </xf>
    <xf numFmtId="0" fontId="11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11" fillId="0" borderId="0" xfId="65" applyFont="1">
      <alignment/>
      <protection/>
    </xf>
    <xf numFmtId="0" fontId="5" fillId="0" borderId="40" xfId="0" applyFont="1" applyBorder="1" applyAlignment="1">
      <alignment horizontal="center" vertical="center"/>
    </xf>
    <xf numFmtId="0" fontId="11" fillId="0" borderId="41" xfId="65" applyFont="1" applyBorder="1" applyAlignment="1" quotePrefix="1">
      <alignment horizontal="center" vertical="center" wrapText="1"/>
      <protection/>
    </xf>
    <xf numFmtId="0" fontId="11" fillId="0" borderId="40" xfId="65" applyFont="1" applyBorder="1" applyAlignment="1">
      <alignment horizontal="left" wrapText="1"/>
      <protection/>
    </xf>
    <xf numFmtId="3" fontId="9" fillId="0" borderId="14" xfId="65" applyNumberFormat="1" applyFont="1" applyBorder="1" applyAlignment="1">
      <alignment horizontal="right"/>
      <protection/>
    </xf>
    <xf numFmtId="3" fontId="11" fillId="0" borderId="19" xfId="65" applyNumberFormat="1" applyFont="1" applyBorder="1" applyAlignment="1">
      <alignment horizontal="right"/>
      <protection/>
    </xf>
    <xf numFmtId="3" fontId="11" fillId="0" borderId="20" xfId="65" applyNumberFormat="1" applyFont="1" applyBorder="1" applyAlignment="1">
      <alignment horizontal="right"/>
      <protection/>
    </xf>
    <xf numFmtId="3" fontId="28" fillId="0" borderId="42" xfId="65" applyNumberFormat="1" applyFont="1" applyBorder="1">
      <alignment/>
      <protection/>
    </xf>
    <xf numFmtId="3" fontId="11" fillId="0" borderId="19" xfId="65" applyNumberFormat="1" applyFont="1" applyBorder="1">
      <alignment/>
      <protection/>
    </xf>
    <xf numFmtId="3" fontId="11" fillId="0" borderId="20" xfId="65" applyNumberFormat="1" applyFont="1" applyBorder="1">
      <alignment/>
      <protection/>
    </xf>
    <xf numFmtId="3" fontId="26" fillId="0" borderId="34" xfId="65" applyNumberFormat="1" applyFont="1" applyBorder="1">
      <alignment/>
      <protection/>
    </xf>
    <xf numFmtId="3" fontId="11" fillId="0" borderId="43" xfId="65" applyNumberFormat="1" applyFont="1" applyBorder="1">
      <alignment/>
      <protection/>
    </xf>
    <xf numFmtId="3" fontId="11" fillId="0" borderId="41" xfId="65" applyNumberFormat="1" applyFont="1" applyBorder="1">
      <alignment/>
      <protection/>
    </xf>
    <xf numFmtId="3" fontId="5" fillId="0" borderId="32" xfId="0" applyNumberFormat="1" applyFont="1" applyBorder="1" applyAlignment="1">
      <alignment/>
    </xf>
    <xf numFmtId="0" fontId="11" fillId="0" borderId="32" xfId="65" applyFont="1" applyBorder="1" applyAlignment="1">
      <alignment horizontal="left" wrapText="1"/>
      <protection/>
    </xf>
    <xf numFmtId="3" fontId="9" fillId="0" borderId="34" xfId="65" applyNumberFormat="1" applyFont="1" applyBorder="1" applyAlignment="1">
      <alignment horizontal="right"/>
      <protection/>
    </xf>
    <xf numFmtId="3" fontId="11" fillId="0" borderId="28" xfId="65" applyNumberFormat="1" applyFont="1" applyBorder="1">
      <alignment/>
      <protection/>
    </xf>
    <xf numFmtId="0" fontId="86" fillId="0" borderId="32" xfId="0" applyFont="1" applyBorder="1" applyAlignment="1">
      <alignment horizontal="center" vertical="center"/>
    </xf>
    <xf numFmtId="0" fontId="11" fillId="0" borderId="32" xfId="65" applyFont="1" applyBorder="1" applyAlignment="1">
      <alignment horizontal="left" vertical="center" wrapText="1"/>
      <protection/>
    </xf>
    <xf numFmtId="3" fontId="9" fillId="0" borderId="34" xfId="65" applyNumberFormat="1" applyFont="1" applyBorder="1" applyAlignment="1">
      <alignment horizontal="right" vertical="center"/>
      <protection/>
    </xf>
    <xf numFmtId="3" fontId="11" fillId="0" borderId="19" xfId="65" applyNumberFormat="1" applyFont="1" applyBorder="1" applyAlignment="1">
      <alignment horizontal="right" vertical="center"/>
      <protection/>
    </xf>
    <xf numFmtId="3" fontId="11" fillId="0" borderId="20" xfId="65" applyNumberFormat="1" applyFont="1" applyBorder="1" applyAlignment="1">
      <alignment horizontal="right" vertical="center"/>
      <protection/>
    </xf>
    <xf numFmtId="3" fontId="28" fillId="0" borderId="42" xfId="65" applyNumberFormat="1" applyFont="1" applyBorder="1" applyAlignment="1">
      <alignment vertical="center"/>
      <protection/>
    </xf>
    <xf numFmtId="3" fontId="11" fillId="0" borderId="19" xfId="65" applyNumberFormat="1" applyFont="1" applyBorder="1" applyAlignment="1">
      <alignment vertical="center"/>
      <protection/>
    </xf>
    <xf numFmtId="3" fontId="11" fillId="0" borderId="20" xfId="65" applyNumberFormat="1" applyFont="1" applyBorder="1" applyAlignment="1">
      <alignment vertical="center"/>
      <protection/>
    </xf>
    <xf numFmtId="3" fontId="26" fillId="0" borderId="34" xfId="65" applyNumberFormat="1" applyFont="1" applyBorder="1" applyAlignment="1">
      <alignment vertical="center"/>
      <protection/>
    </xf>
    <xf numFmtId="3" fontId="11" fillId="0" borderId="43" xfId="65" applyNumberFormat="1" applyFont="1" applyBorder="1" applyAlignment="1">
      <alignment vertical="center"/>
      <protection/>
    </xf>
    <xf numFmtId="3" fontId="11" fillId="0" borderId="33" xfId="65" applyNumberFormat="1" applyFont="1" applyBorder="1" applyAlignment="1">
      <alignment vertical="center"/>
      <protection/>
    </xf>
    <xf numFmtId="3" fontId="5" fillId="0" borderId="32" xfId="0" applyNumberFormat="1" applyFont="1" applyBorder="1" applyAlignment="1">
      <alignment vertical="center"/>
    </xf>
    <xf numFmtId="3" fontId="11" fillId="0" borderId="33" xfId="65" applyNumberFormat="1" applyFont="1" applyBorder="1">
      <alignment/>
      <protection/>
    </xf>
    <xf numFmtId="0" fontId="11" fillId="0" borderId="32" xfId="65" applyFont="1" applyBorder="1" applyAlignment="1">
      <alignment wrapText="1"/>
      <protection/>
    </xf>
    <xf numFmtId="3" fontId="26" fillId="0" borderId="44" xfId="65" applyNumberFormat="1" applyFont="1" applyBorder="1">
      <alignment/>
      <protection/>
    </xf>
    <xf numFmtId="3" fontId="11" fillId="0" borderId="21" xfId="65" applyNumberFormat="1" applyFont="1" applyBorder="1" applyAlignment="1">
      <alignment horizontal="right"/>
      <protection/>
    </xf>
    <xf numFmtId="3" fontId="11" fillId="0" borderId="22" xfId="65" applyNumberFormat="1" applyFont="1" applyBorder="1" applyAlignment="1">
      <alignment horizontal="right"/>
      <protection/>
    </xf>
    <xf numFmtId="3" fontId="11" fillId="0" borderId="21" xfId="65" applyNumberFormat="1" applyFont="1" applyBorder="1">
      <alignment/>
      <protection/>
    </xf>
    <xf numFmtId="3" fontId="11" fillId="0" borderId="22" xfId="65" applyNumberFormat="1" applyFont="1" applyBorder="1">
      <alignment/>
      <protection/>
    </xf>
    <xf numFmtId="3" fontId="5" fillId="0" borderId="36" xfId="0" applyNumberFormat="1" applyFont="1" applyBorder="1" applyAlignment="1">
      <alignment/>
    </xf>
    <xf numFmtId="0" fontId="11" fillId="0" borderId="45" xfId="65" applyFont="1" applyBorder="1" applyAlignment="1" quotePrefix="1">
      <alignment horizontal="center" vertical="center" wrapText="1"/>
      <protection/>
    </xf>
    <xf numFmtId="0" fontId="11" fillId="0" borderId="37" xfId="65" applyFont="1" applyBorder="1" applyAlignment="1">
      <alignment wrapText="1"/>
      <protection/>
    </xf>
    <xf numFmtId="3" fontId="9" fillId="0" borderId="27" xfId="65" applyNumberFormat="1" applyFont="1" applyBorder="1" applyAlignment="1">
      <alignment horizontal="right"/>
      <protection/>
    </xf>
    <xf numFmtId="3" fontId="11" fillId="0" borderId="46" xfId="65" applyNumberFormat="1" applyFont="1" applyBorder="1" applyAlignment="1">
      <alignment horizontal="right"/>
      <protection/>
    </xf>
    <xf numFmtId="3" fontId="11" fillId="0" borderId="26" xfId="65" applyNumberFormat="1" applyFont="1" applyBorder="1" applyAlignment="1">
      <alignment horizontal="right"/>
      <protection/>
    </xf>
    <xf numFmtId="3" fontId="28" fillId="0" borderId="47" xfId="65" applyNumberFormat="1" applyFont="1" applyBorder="1">
      <alignment/>
      <protection/>
    </xf>
    <xf numFmtId="3" fontId="11" fillId="0" borderId="46" xfId="65" applyNumberFormat="1" applyFont="1" applyBorder="1">
      <alignment/>
      <protection/>
    </xf>
    <xf numFmtId="3" fontId="11" fillId="0" borderId="26" xfId="65" applyNumberFormat="1" applyFont="1" applyBorder="1">
      <alignment/>
      <protection/>
    </xf>
    <xf numFmtId="0" fontId="5" fillId="0" borderId="23" xfId="0" applyFont="1" applyBorder="1" applyAlignment="1">
      <alignment horizontal="center" vertical="center"/>
    </xf>
    <xf numFmtId="0" fontId="8" fillId="0" borderId="17" xfId="65" applyFont="1" applyBorder="1">
      <alignment/>
      <protection/>
    </xf>
    <xf numFmtId="0" fontId="4" fillId="0" borderId="12" xfId="65" applyFont="1" applyBorder="1">
      <alignment/>
      <protection/>
    </xf>
    <xf numFmtId="3" fontId="4" fillId="0" borderId="38" xfId="65" applyNumberFormat="1" applyFont="1" applyBorder="1" applyAlignment="1">
      <alignment horizontal="right"/>
      <protection/>
    </xf>
    <xf numFmtId="3" fontId="4" fillId="0" borderId="25" xfId="65" applyNumberFormat="1" applyFont="1" applyBorder="1" applyAlignment="1">
      <alignment horizontal="right"/>
      <protection/>
    </xf>
    <xf numFmtId="3" fontId="31" fillId="0" borderId="23" xfId="65" applyNumberFormat="1" applyFont="1" applyBorder="1">
      <alignment/>
      <protection/>
    </xf>
    <xf numFmtId="3" fontId="4" fillId="0" borderId="23" xfId="0" applyNumberFormat="1" applyFont="1" applyBorder="1" applyAlignment="1">
      <alignment/>
    </xf>
    <xf numFmtId="0" fontId="25" fillId="0" borderId="0" xfId="65" applyFont="1" applyFill="1" applyBorder="1">
      <alignment/>
      <protection/>
    </xf>
    <xf numFmtId="0" fontId="8" fillId="0" borderId="40" xfId="65" applyFont="1" applyBorder="1" applyAlignment="1" quotePrefix="1">
      <alignment horizontal="center" vertical="center" wrapText="1"/>
      <protection/>
    </xf>
    <xf numFmtId="0" fontId="8" fillId="0" borderId="48" xfId="65" applyFont="1" applyBorder="1" applyAlignment="1">
      <alignment horizontal="left" wrapText="1"/>
      <protection/>
    </xf>
    <xf numFmtId="41" fontId="8" fillId="0" borderId="40" xfId="65" applyNumberFormat="1" applyFont="1" applyBorder="1" applyAlignment="1">
      <alignment horizontal="right"/>
      <protection/>
    </xf>
    <xf numFmtId="41" fontId="8" fillId="0" borderId="49" xfId="65" applyNumberFormat="1" applyFont="1" applyBorder="1" applyAlignment="1">
      <alignment horizontal="right"/>
      <protection/>
    </xf>
    <xf numFmtId="41" fontId="8" fillId="0" borderId="24" xfId="65" applyNumberFormat="1" applyFont="1" applyBorder="1" applyAlignment="1">
      <alignment horizontal="right"/>
      <protection/>
    </xf>
    <xf numFmtId="41" fontId="8" fillId="0" borderId="50" xfId="65" applyNumberFormat="1" applyFont="1" applyBorder="1" applyAlignment="1">
      <alignment horizontal="right"/>
      <protection/>
    </xf>
    <xf numFmtId="0" fontId="8" fillId="0" borderId="32" xfId="65" applyFont="1" applyBorder="1" applyAlignment="1" quotePrefix="1">
      <alignment horizontal="center" vertical="center" wrapText="1"/>
      <protection/>
    </xf>
    <xf numFmtId="41" fontId="8" fillId="0" borderId="32" xfId="65" applyNumberFormat="1" applyFont="1" applyBorder="1" applyAlignment="1">
      <alignment horizontal="right"/>
      <protection/>
    </xf>
    <xf numFmtId="41" fontId="8" fillId="0" borderId="44" xfId="65" applyNumberFormat="1" applyFont="1" applyBorder="1" applyAlignment="1">
      <alignment horizontal="right"/>
      <protection/>
    </xf>
    <xf numFmtId="41" fontId="8" fillId="0" borderId="20" xfId="65" applyNumberFormat="1" applyFont="1" applyBorder="1" applyAlignment="1">
      <alignment horizontal="right"/>
      <protection/>
    </xf>
    <xf numFmtId="41" fontId="8" fillId="0" borderId="42" xfId="65" applyNumberFormat="1" applyFont="1" applyBorder="1" applyAlignment="1">
      <alignment horizontal="right"/>
      <protection/>
    </xf>
    <xf numFmtId="0" fontId="8" fillId="0" borderId="33" xfId="65" applyFont="1" applyBorder="1" applyAlignment="1">
      <alignment wrapText="1"/>
      <protection/>
    </xf>
    <xf numFmtId="41" fontId="8" fillId="0" borderId="51" xfId="65" applyNumberFormat="1" applyFont="1" applyBorder="1" applyAlignment="1">
      <alignment horizontal="right"/>
      <protection/>
    </xf>
    <xf numFmtId="41" fontId="8" fillId="0" borderId="22" xfId="65" applyNumberFormat="1" applyFont="1" applyBorder="1" applyAlignment="1">
      <alignment horizontal="right"/>
      <protection/>
    </xf>
    <xf numFmtId="41" fontId="8" fillId="0" borderId="52" xfId="65" applyNumberFormat="1" applyFont="1" applyBorder="1" applyAlignment="1">
      <alignment horizontal="right"/>
      <protection/>
    </xf>
    <xf numFmtId="41" fontId="8" fillId="0" borderId="37" xfId="65" applyNumberFormat="1" applyFont="1" applyBorder="1" applyAlignment="1">
      <alignment horizontal="right"/>
      <protection/>
    </xf>
    <xf numFmtId="0" fontId="4" fillId="0" borderId="25" xfId="65" applyFont="1" applyBorder="1">
      <alignment/>
      <protection/>
    </xf>
    <xf numFmtId="41" fontId="4" fillId="0" borderId="25" xfId="65" applyNumberFormat="1" applyFont="1" applyBorder="1" applyAlignment="1">
      <alignment horizontal="right"/>
      <protection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39" fillId="0" borderId="0" xfId="0" applyFont="1" applyAlignment="1">
      <alignment wrapText="1"/>
    </xf>
    <xf numFmtId="0" fontId="39" fillId="0" borderId="0" xfId="0" applyFont="1" applyAlignment="1" quotePrefix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6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68" fontId="8" fillId="0" borderId="0" xfId="42" applyNumberFormat="1" applyFont="1" applyAlignment="1">
      <alignment/>
    </xf>
    <xf numFmtId="0" fontId="46" fillId="0" borderId="0" xfId="59" applyFont="1">
      <alignment/>
      <protection/>
    </xf>
    <xf numFmtId="168" fontId="46" fillId="0" borderId="0" xfId="42" applyNumberFormat="1" applyFont="1" applyAlignment="1">
      <alignment/>
    </xf>
    <xf numFmtId="0" fontId="46" fillId="0" borderId="0" xfId="59" applyFont="1" applyAlignment="1">
      <alignment horizontal="right"/>
      <protection/>
    </xf>
    <xf numFmtId="0" fontId="45" fillId="0" borderId="0" xfId="0" applyFont="1" applyAlignment="1">
      <alignment/>
    </xf>
    <xf numFmtId="0" fontId="47" fillId="0" borderId="0" xfId="59" applyFont="1" applyAlignment="1">
      <alignment/>
      <protection/>
    </xf>
    <xf numFmtId="0" fontId="47" fillId="0" borderId="10" xfId="59" applyFont="1" applyBorder="1" applyAlignment="1">
      <alignment/>
      <protection/>
    </xf>
    <xf numFmtId="0" fontId="47" fillId="0" borderId="10" xfId="59" applyFont="1" applyBorder="1" applyAlignment="1">
      <alignment horizontal="center"/>
      <protection/>
    </xf>
    <xf numFmtId="168" fontId="47" fillId="0" borderId="10" xfId="42" applyNumberFormat="1" applyFont="1" applyBorder="1" applyAlignment="1">
      <alignment horizontal="center"/>
    </xf>
    <xf numFmtId="0" fontId="47" fillId="0" borderId="11" xfId="59" applyFont="1" applyBorder="1">
      <alignment/>
      <protection/>
    </xf>
    <xf numFmtId="0" fontId="47" fillId="0" borderId="11" xfId="59" applyFont="1" applyBorder="1" applyAlignment="1">
      <alignment horizontal="center"/>
      <protection/>
    </xf>
    <xf numFmtId="168" fontId="47" fillId="0" borderId="11" xfId="42" applyNumberFormat="1" applyFont="1" applyBorder="1" applyAlignment="1">
      <alignment horizontal="center"/>
    </xf>
    <xf numFmtId="0" fontId="47" fillId="0" borderId="12" xfId="59" applyFont="1" applyBorder="1">
      <alignment/>
      <protection/>
    </xf>
    <xf numFmtId="0" fontId="47" fillId="0" borderId="12" xfId="59" applyFont="1" applyBorder="1" applyAlignment="1">
      <alignment horizontal="center"/>
      <protection/>
    </xf>
    <xf numFmtId="168" fontId="47" fillId="0" borderId="12" xfId="42" applyNumberFormat="1" applyFont="1" applyBorder="1" applyAlignment="1">
      <alignment horizontal="center"/>
    </xf>
    <xf numFmtId="0" fontId="46" fillId="0" borderId="0" xfId="59" applyFont="1" applyBorder="1" applyAlignment="1">
      <alignment horizontal="right"/>
      <protection/>
    </xf>
    <xf numFmtId="0" fontId="46" fillId="0" borderId="0" xfId="59" applyFont="1" applyBorder="1" applyAlignment="1">
      <alignment/>
      <protection/>
    </xf>
    <xf numFmtId="168" fontId="46" fillId="0" borderId="0" xfId="42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59" applyFont="1" applyBorder="1" applyAlignment="1">
      <alignment wrapText="1"/>
      <protection/>
    </xf>
    <xf numFmtId="0" fontId="47" fillId="0" borderId="20" xfId="59" applyFont="1" applyBorder="1" applyAlignment="1">
      <alignment horizontal="right"/>
      <protection/>
    </xf>
    <xf numFmtId="0" fontId="47" fillId="0" borderId="20" xfId="59" applyFont="1" applyBorder="1" applyAlignment="1">
      <alignment/>
      <protection/>
    </xf>
    <xf numFmtId="168" fontId="47" fillId="0" borderId="20" xfId="42" applyNumberFormat="1" applyFont="1" applyBorder="1" applyAlignment="1">
      <alignment/>
    </xf>
    <xf numFmtId="168" fontId="46" fillId="0" borderId="0" xfId="42" applyNumberFormat="1" applyFont="1" applyAlignment="1">
      <alignment/>
    </xf>
    <xf numFmtId="0" fontId="48" fillId="0" borderId="0" xfId="0" applyFont="1" applyAlignment="1">
      <alignment/>
    </xf>
    <xf numFmtId="168" fontId="46" fillId="0" borderId="0" xfId="42" applyNumberFormat="1" applyFont="1" applyAlignment="1">
      <alignment horizontal="right"/>
    </xf>
    <xf numFmtId="0" fontId="46" fillId="0" borderId="0" xfId="59" applyFont="1" applyAlignment="1">
      <alignment/>
      <protection/>
    </xf>
    <xf numFmtId="0" fontId="48" fillId="0" borderId="0" xfId="0" applyFont="1" applyAlignment="1" quotePrefix="1">
      <alignment/>
    </xf>
    <xf numFmtId="0" fontId="46" fillId="0" borderId="20" xfId="59" applyFont="1" applyBorder="1" applyAlignment="1">
      <alignment horizontal="right"/>
      <protection/>
    </xf>
    <xf numFmtId="0" fontId="47" fillId="0" borderId="23" xfId="59" applyFont="1" applyBorder="1" applyAlignment="1">
      <alignment horizontal="right"/>
      <protection/>
    </xf>
    <xf numFmtId="0" fontId="47" fillId="0" borderId="23" xfId="59" applyFont="1" applyBorder="1">
      <alignment/>
      <protection/>
    </xf>
    <xf numFmtId="168" fontId="47" fillId="0" borderId="23" xfId="42" applyNumberFormat="1" applyFont="1" applyBorder="1" applyAlignment="1">
      <alignment/>
    </xf>
    <xf numFmtId="0" fontId="47" fillId="0" borderId="0" xfId="59" applyFont="1" applyBorder="1" applyAlignment="1">
      <alignment horizontal="right"/>
      <protection/>
    </xf>
    <xf numFmtId="0" fontId="47" fillId="0" borderId="0" xfId="59" applyFont="1" applyBorder="1">
      <alignment/>
      <protection/>
    </xf>
    <xf numFmtId="168" fontId="47" fillId="0" borderId="0" xfId="42" applyNumberFormat="1" applyFont="1" applyBorder="1" applyAlignment="1">
      <alignment/>
    </xf>
    <xf numFmtId="0" fontId="47" fillId="0" borderId="0" xfId="60" applyFont="1" applyBorder="1" applyAlignment="1">
      <alignment horizontal="center"/>
      <protection/>
    </xf>
    <xf numFmtId="0" fontId="48" fillId="0" borderId="20" xfId="0" applyFont="1" applyBorder="1" applyAlignment="1">
      <alignment/>
    </xf>
    <xf numFmtId="168" fontId="46" fillId="0" borderId="20" xfId="42" applyNumberFormat="1" applyFont="1" applyBorder="1" applyAlignment="1">
      <alignment/>
    </xf>
    <xf numFmtId="0" fontId="47" fillId="0" borderId="23" xfId="60" applyFont="1" applyBorder="1" applyAlignment="1">
      <alignment horizontal="right"/>
      <protection/>
    </xf>
    <xf numFmtId="0" fontId="47" fillId="0" borderId="23" xfId="60" applyFont="1" applyBorder="1">
      <alignment/>
      <protection/>
    </xf>
    <xf numFmtId="168" fontId="47" fillId="0" borderId="23" xfId="60" applyNumberFormat="1" applyFont="1" applyBorder="1" applyAlignment="1">
      <alignment/>
      <protection/>
    </xf>
    <xf numFmtId="168" fontId="16" fillId="0" borderId="0" xfId="42" applyNumberFormat="1" applyFont="1" applyAlignment="1">
      <alignment/>
    </xf>
    <xf numFmtId="168" fontId="33" fillId="0" borderId="0" xfId="42" applyNumberFormat="1" applyFont="1" applyAlignment="1">
      <alignment/>
    </xf>
    <xf numFmtId="168" fontId="33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0" xfId="42" applyNumberFormat="1" applyFont="1" applyAlignment="1">
      <alignment horizontal="center"/>
    </xf>
    <xf numFmtId="168" fontId="33" fillId="0" borderId="10" xfId="42" applyNumberFormat="1" applyFont="1" applyBorder="1" applyAlignment="1">
      <alignment/>
    </xf>
    <xf numFmtId="168" fontId="33" fillId="0" borderId="53" xfId="42" applyNumberFormat="1" applyFont="1" applyBorder="1" applyAlignment="1">
      <alignment/>
    </xf>
    <xf numFmtId="168" fontId="33" fillId="0" borderId="54" xfId="42" applyNumberFormat="1" applyFont="1" applyBorder="1" applyAlignment="1">
      <alignment/>
    </xf>
    <xf numFmtId="168" fontId="33" fillId="0" borderId="55" xfId="42" applyNumberFormat="1" applyFont="1" applyBorder="1" applyAlignment="1">
      <alignment/>
    </xf>
    <xf numFmtId="168" fontId="5" fillId="0" borderId="55" xfId="42" applyNumberFormat="1" applyFont="1" applyBorder="1" applyAlignment="1">
      <alignment/>
    </xf>
    <xf numFmtId="168" fontId="5" fillId="0" borderId="54" xfId="42" applyNumberFormat="1" applyFont="1" applyBorder="1" applyAlignment="1">
      <alignment/>
    </xf>
    <xf numFmtId="168" fontId="5" fillId="0" borderId="10" xfId="42" applyNumberFormat="1" applyFont="1" applyBorder="1" applyAlignment="1">
      <alignment/>
    </xf>
    <xf numFmtId="168" fontId="5" fillId="0" borderId="11" xfId="42" applyNumberFormat="1" applyFont="1" applyBorder="1" applyAlignment="1">
      <alignment horizontal="center"/>
    </xf>
    <xf numFmtId="168" fontId="5" fillId="0" borderId="56" xfId="42" applyNumberFormat="1" applyFont="1" applyBorder="1" applyAlignment="1">
      <alignment horizontal="center"/>
    </xf>
    <xf numFmtId="168" fontId="5" fillId="0" borderId="57" xfId="42" applyNumberFormat="1" applyFont="1" applyBorder="1" applyAlignment="1">
      <alignment horizontal="center"/>
    </xf>
    <xf numFmtId="168" fontId="5" fillId="0" borderId="58" xfId="42" applyNumberFormat="1" applyFont="1" applyBorder="1" applyAlignment="1">
      <alignment horizontal="center"/>
    </xf>
    <xf numFmtId="168" fontId="33" fillId="0" borderId="11" xfId="42" applyNumberFormat="1" applyFont="1" applyBorder="1" applyAlignment="1">
      <alignment horizontal="center"/>
    </xf>
    <xf numFmtId="168" fontId="5" fillId="0" borderId="12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6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62" xfId="42" applyNumberFormat="1" applyFont="1" applyBorder="1" applyAlignment="1">
      <alignment/>
    </xf>
    <xf numFmtId="168" fontId="5" fillId="0" borderId="20" xfId="42" applyNumberFormat="1" applyFont="1" applyBorder="1" applyAlignment="1">
      <alignment/>
    </xf>
    <xf numFmtId="168" fontId="5" fillId="0" borderId="42" xfId="42" applyNumberFormat="1" applyFont="1" applyBorder="1" applyAlignment="1">
      <alignment/>
    </xf>
    <xf numFmtId="168" fontId="5" fillId="0" borderId="20" xfId="42" applyNumberFormat="1" applyFont="1" applyBorder="1" applyAlignment="1">
      <alignment/>
    </xf>
    <xf numFmtId="168" fontId="0" fillId="0" borderId="20" xfId="42" applyNumberFormat="1" applyFont="1" applyFill="1" applyBorder="1" applyAlignment="1">
      <alignment/>
    </xf>
    <xf numFmtId="168" fontId="0" fillId="0" borderId="43" xfId="42" applyNumberFormat="1" applyFont="1" applyFill="1" applyBorder="1" applyAlignment="1">
      <alignment/>
    </xf>
    <xf numFmtId="168" fontId="5" fillId="0" borderId="20" xfId="42" applyNumberFormat="1" applyFont="1" applyFill="1" applyBorder="1" applyAlignment="1">
      <alignment/>
    </xf>
    <xf numFmtId="168" fontId="5" fillId="0" borderId="43" xfId="42" applyNumberFormat="1" applyFont="1" applyFill="1" applyBorder="1" applyAlignment="1">
      <alignment/>
    </xf>
    <xf numFmtId="168" fontId="33" fillId="0" borderId="63" xfId="42" applyNumberFormat="1" applyFont="1" applyBorder="1" applyAlignment="1">
      <alignment/>
    </xf>
    <xf numFmtId="168" fontId="33" fillId="0" borderId="23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5" fillId="0" borderId="43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168" fontId="5" fillId="0" borderId="66" xfId="42" applyNumberFormat="1" applyFont="1" applyBorder="1" applyAlignment="1">
      <alignment/>
    </xf>
    <xf numFmtId="0" fontId="4" fillId="0" borderId="0" xfId="61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 wrapText="1"/>
      <protection/>
    </xf>
    <xf numFmtId="0" fontId="8" fillId="0" borderId="0" xfId="61" applyFont="1">
      <alignment/>
      <protection/>
    </xf>
    <xf numFmtId="0" fontId="43" fillId="0" borderId="0" xfId="61" applyFont="1">
      <alignment/>
      <protection/>
    </xf>
    <xf numFmtId="0" fontId="8" fillId="0" borderId="0" xfId="61" applyFont="1" applyAlignment="1">
      <alignment wrapText="1"/>
      <protection/>
    </xf>
    <xf numFmtId="0" fontId="8" fillId="0" borderId="0" xfId="61" applyFont="1" applyAlignment="1">
      <alignment horizontal="left"/>
      <protection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0" fontId="11" fillId="0" borderId="0" xfId="62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16" fillId="0" borderId="0" xfId="63" applyFont="1" applyBorder="1">
      <alignment/>
      <protection/>
    </xf>
    <xf numFmtId="0" fontId="16" fillId="0" borderId="0" xfId="63" applyFont="1">
      <alignment/>
      <protection/>
    </xf>
    <xf numFmtId="0" fontId="16" fillId="0" borderId="0" xfId="63" applyFont="1" applyAlignment="1">
      <alignment horizontal="left" indent="14"/>
      <protection/>
    </xf>
    <xf numFmtId="0" fontId="39" fillId="0" borderId="0" xfId="0" applyFont="1" applyAlignment="1">
      <alignment horizontal="right"/>
    </xf>
    <xf numFmtId="3" fontId="4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0" fillId="0" borderId="0" xfId="0" applyFont="1" applyAlignment="1">
      <alignment/>
    </xf>
    <xf numFmtId="0" fontId="22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4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8" fillId="0" borderId="0" xfId="63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11" fillId="0" borderId="0" xfId="59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9" fillId="0" borderId="0" xfId="59" applyFont="1" applyAlignment="1">
      <alignment horizontal="center"/>
      <protection/>
    </xf>
    <xf numFmtId="0" fontId="11" fillId="0" borderId="13" xfId="59" applyFont="1" applyBorder="1" applyAlignment="1">
      <alignment horizontal="right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67" xfId="59" applyFont="1" applyBorder="1" applyAlignment="1">
      <alignment horizontal="center" vertical="center"/>
      <protection/>
    </xf>
    <xf numFmtId="0" fontId="11" fillId="0" borderId="68" xfId="59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69" xfId="59" applyFont="1" applyBorder="1" applyAlignment="1">
      <alignment horizontal="center" vertical="center"/>
      <protection/>
    </xf>
    <xf numFmtId="0" fontId="11" fillId="0" borderId="17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center" vertical="center"/>
      <protection/>
    </xf>
    <xf numFmtId="0" fontId="26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9" fillId="0" borderId="0" xfId="62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 quotePrefix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1" fillId="0" borderId="0" xfId="59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11" fillId="0" borderId="0" xfId="62" applyFont="1" applyAlignment="1">
      <alignment horizontal="left" wrapText="1"/>
      <protection/>
    </xf>
    <xf numFmtId="0" fontId="8" fillId="0" borderId="25" xfId="59" applyFont="1" applyBorder="1" applyAlignment="1">
      <alignment horizontal="center"/>
      <protection/>
    </xf>
    <xf numFmtId="0" fontId="8" fillId="0" borderId="39" xfId="59" applyFont="1" applyBorder="1" applyAlignment="1">
      <alignment horizontal="center"/>
      <protection/>
    </xf>
    <xf numFmtId="0" fontId="8" fillId="0" borderId="38" xfId="59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63" applyFont="1" applyAlignment="1">
      <alignment horizontal="right"/>
      <protection/>
    </xf>
    <xf numFmtId="0" fontId="44" fillId="0" borderId="10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" fillId="0" borderId="0" xfId="65" applyFont="1" applyAlignment="1">
      <alignment horizontal="center"/>
      <protection/>
    </xf>
    <xf numFmtId="0" fontId="4" fillId="0" borderId="0" xfId="65" applyFont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2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11" fillId="0" borderId="0" xfId="65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0" fillId="0" borderId="0" xfId="65" applyFont="1" applyAlignment="1">
      <alignment horizont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25" xfId="70" applyFont="1" applyBorder="1" applyAlignment="1">
      <alignment horizontal="center"/>
    </xf>
    <xf numFmtId="44" fontId="11" fillId="0" borderId="39" xfId="70" applyFont="1" applyBorder="1" applyAlignment="1">
      <alignment horizontal="center"/>
    </xf>
    <xf numFmtId="44" fontId="11" fillId="0" borderId="38" xfId="70" applyFont="1" applyBorder="1" applyAlignment="1">
      <alignment horizontal="center"/>
    </xf>
    <xf numFmtId="0" fontId="11" fillId="0" borderId="39" xfId="59" applyFont="1" applyBorder="1" applyAlignment="1">
      <alignment horizontal="center" wrapText="1"/>
      <protection/>
    </xf>
    <xf numFmtId="0" fontId="37" fillId="0" borderId="10" xfId="59" applyFont="1" applyBorder="1" applyAlignment="1">
      <alignment horizontal="center" vertical="center" wrapText="1"/>
      <protection/>
    </xf>
    <xf numFmtId="0" fontId="37" fillId="0" borderId="11" xfId="59" applyFont="1" applyBorder="1" applyAlignment="1">
      <alignment horizontal="center" vertical="center" wrapText="1"/>
      <protection/>
    </xf>
    <xf numFmtId="0" fontId="37" fillId="0" borderId="12" xfId="59" applyFont="1" applyBorder="1" applyAlignment="1">
      <alignment horizontal="center" vertical="center" wrapText="1"/>
      <protection/>
    </xf>
    <xf numFmtId="0" fontId="11" fillId="0" borderId="68" xfId="59" applyFont="1" applyBorder="1" applyAlignment="1">
      <alignment horizontal="center" vertical="center" wrapText="1"/>
      <protection/>
    </xf>
    <xf numFmtId="0" fontId="11" fillId="0" borderId="69" xfId="59" applyFont="1" applyBorder="1" applyAlignment="1">
      <alignment horizontal="center" vertical="center" wrapText="1"/>
      <protection/>
    </xf>
    <xf numFmtId="0" fontId="11" fillId="0" borderId="70" xfId="59" applyFont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0" borderId="11" xfId="63" applyFont="1" applyBorder="1" applyAlignment="1">
      <alignment horizontal="center" vertical="center" wrapText="1"/>
      <protection/>
    </xf>
    <xf numFmtId="0" fontId="37" fillId="0" borderId="12" xfId="63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11" fillId="0" borderId="11" xfId="65" applyFont="1" applyBorder="1" applyAlignment="1">
      <alignment horizontal="center" vertical="center" wrapText="1"/>
      <protection/>
    </xf>
    <xf numFmtId="0" fontId="11" fillId="0" borderId="15" xfId="65" applyFont="1" applyBorder="1" applyAlignment="1">
      <alignment horizontal="center"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0" fontId="11" fillId="0" borderId="25" xfId="59" applyFont="1" applyBorder="1" applyAlignment="1">
      <alignment horizontal="center"/>
      <protection/>
    </xf>
    <xf numFmtId="0" fontId="11" fillId="0" borderId="39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38" xfId="59" applyFont="1" applyBorder="1" applyAlignment="1">
      <alignment horizontal="center"/>
      <protection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0" xfId="66" applyNumberFormat="1" applyFont="1" applyBorder="1" applyAlignment="1">
      <alignment horizontal="center" vertical="center"/>
      <protection/>
    </xf>
    <xf numFmtId="49" fontId="9" fillId="0" borderId="11" xfId="66" applyNumberFormat="1" applyFont="1" applyBorder="1" applyAlignment="1">
      <alignment horizontal="center" vertical="center"/>
      <protection/>
    </xf>
    <xf numFmtId="49" fontId="9" fillId="0" borderId="12" xfId="66" applyNumberFormat="1" applyFont="1" applyBorder="1" applyAlignment="1">
      <alignment horizontal="center" vertical="center"/>
      <protection/>
    </xf>
    <xf numFmtId="0" fontId="14" fillId="0" borderId="10" xfId="66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6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6" fillId="0" borderId="0" xfId="59" applyFont="1" applyAlignment="1">
      <alignment horizontal="right"/>
      <protection/>
    </xf>
    <xf numFmtId="0" fontId="45" fillId="0" borderId="0" xfId="59" applyFont="1" applyAlignment="1">
      <alignment horizontal="right"/>
      <protection/>
    </xf>
    <xf numFmtId="0" fontId="46" fillId="0" borderId="0" xfId="0" applyFont="1" applyAlignment="1">
      <alignment horizontal="right"/>
    </xf>
    <xf numFmtId="0" fontId="47" fillId="0" borderId="0" xfId="59" applyFont="1" applyAlignment="1">
      <alignment horizontal="center"/>
      <protection/>
    </xf>
    <xf numFmtId="0" fontId="47" fillId="0" borderId="67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7" fillId="0" borderId="0" xfId="59" applyFont="1" applyBorder="1" applyAlignment="1">
      <alignment horizontal="center"/>
      <protection/>
    </xf>
    <xf numFmtId="0" fontId="47" fillId="0" borderId="0" xfId="60" applyFont="1" applyBorder="1" applyAlignment="1">
      <alignment horizontal="center"/>
      <protection/>
    </xf>
    <xf numFmtId="0" fontId="3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14" fillId="0" borderId="0" xfId="58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24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8" fontId="8" fillId="0" borderId="22" xfId="40" applyNumberFormat="1" applyFont="1" applyBorder="1" applyAlignment="1">
      <alignment horizontal="center"/>
    </xf>
    <xf numFmtId="168" fontId="8" fillId="0" borderId="58" xfId="40" applyNumberFormat="1" applyFont="1" applyBorder="1" applyAlignment="1">
      <alignment horizontal="center"/>
    </xf>
    <xf numFmtId="168" fontId="8" fillId="0" borderId="24" xfId="4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8" fontId="8" fillId="0" borderId="20" xfId="40" applyNumberFormat="1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8" fontId="8" fillId="0" borderId="15" xfId="40" applyNumberFormat="1" applyFont="1" applyBorder="1" applyAlignment="1">
      <alignment horizontal="center"/>
    </xf>
    <xf numFmtId="168" fontId="8" fillId="0" borderId="68" xfId="40" applyNumberFormat="1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70" xfId="40" applyNumberFormat="1" applyFont="1" applyBorder="1" applyAlignment="1">
      <alignment horizontal="center"/>
    </xf>
    <xf numFmtId="168" fontId="4" fillId="0" borderId="15" xfId="40" applyNumberFormat="1" applyFont="1" applyBorder="1" applyAlignment="1">
      <alignment horizontal="center"/>
    </xf>
    <xf numFmtId="168" fontId="4" fillId="0" borderId="68" xfId="40" applyNumberFormat="1" applyFont="1" applyBorder="1" applyAlignment="1">
      <alignment horizontal="center"/>
    </xf>
    <xf numFmtId="168" fontId="4" fillId="0" borderId="17" xfId="40" applyNumberFormat="1" applyFont="1" applyBorder="1" applyAlignment="1">
      <alignment horizontal="center"/>
    </xf>
    <xf numFmtId="168" fontId="4" fillId="0" borderId="70" xfId="40" applyNumberFormat="1" applyFont="1" applyBorder="1" applyAlignment="1">
      <alignment horizontal="center"/>
    </xf>
    <xf numFmtId="168" fontId="8" fillId="0" borderId="73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67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40" fillId="0" borderId="27" xfId="0" applyNumberFormat="1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75" xfId="0" applyBorder="1" applyAlignment="1">
      <alignment horizont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76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39" fillId="0" borderId="77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46" xfId="0" applyFont="1" applyBorder="1" applyAlignment="1">
      <alignment vertical="top" wrapText="1"/>
    </xf>
    <xf numFmtId="41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1" fontId="0" fillId="0" borderId="27" xfId="0" applyNumberFormat="1" applyBorder="1" applyAlignment="1">
      <alignment horizontal="center"/>
    </xf>
    <xf numFmtId="41" fontId="41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" xfId="61"/>
    <cellStyle name="Normál_Munka2" xfId="62"/>
    <cellStyle name="Normál_Munka3" xfId="63"/>
    <cellStyle name="Normál_PHKV99" xfId="64"/>
    <cellStyle name="Normál_PHKV99 2" xfId="65"/>
    <cellStyle name="Normál_PHKV99_P.2015. évi költségvetés - mellékletek" xfId="66"/>
    <cellStyle name="Összesen" xfId="67"/>
    <cellStyle name="Currency" xfId="68"/>
    <cellStyle name="Currency [0]" xfId="69"/>
    <cellStyle name="Pénznem 2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19">
      <selection activeCell="S47" sqref="S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3"/>
      <c r="O38" s="23"/>
      <c r="P38" s="23"/>
      <c r="Q38" s="23"/>
      <c r="R38" s="23"/>
      <c r="S38" s="23"/>
      <c r="T38" s="23"/>
      <c r="U38" s="23"/>
    </row>
    <row r="39" spans="9:21" ht="27.75">
      <c r="I39" s="5"/>
      <c r="J39" s="2"/>
      <c r="N39" s="408" t="s">
        <v>2</v>
      </c>
      <c r="O39" s="408"/>
      <c r="P39" s="408"/>
      <c r="Q39" s="408"/>
      <c r="R39" s="408"/>
      <c r="S39" s="408"/>
      <c r="T39" s="408"/>
      <c r="U39" s="408"/>
    </row>
    <row r="40" spans="9:21" ht="2.25" customHeight="1">
      <c r="I40" s="3"/>
      <c r="J40" s="2"/>
      <c r="N40" s="23"/>
      <c r="O40" s="24"/>
      <c r="P40" s="25"/>
      <c r="Q40" s="25"/>
      <c r="R40" s="25"/>
      <c r="S40" s="25"/>
      <c r="T40" s="25"/>
      <c r="U40" s="25"/>
    </row>
    <row r="41" spans="9:21" ht="27.75">
      <c r="I41" s="4"/>
      <c r="J41" s="2"/>
      <c r="N41" s="408" t="s">
        <v>458</v>
      </c>
      <c r="O41" s="408"/>
      <c r="P41" s="408"/>
      <c r="Q41" s="408"/>
      <c r="R41" s="408"/>
      <c r="S41" s="408"/>
      <c r="T41" s="408"/>
      <c r="U41" s="408"/>
    </row>
    <row r="42" spans="9:21" ht="12.75" customHeight="1" hidden="1">
      <c r="I42" s="3"/>
      <c r="J42" s="2"/>
      <c r="N42" s="23"/>
      <c r="O42" s="24"/>
      <c r="P42" s="25"/>
      <c r="Q42" s="25"/>
      <c r="R42" s="25"/>
      <c r="S42" s="25"/>
      <c r="T42" s="25"/>
      <c r="U42" s="25"/>
    </row>
    <row r="43" spans="9:21" ht="27.75">
      <c r="I43" s="4"/>
      <c r="J43" s="2"/>
      <c r="N43" s="408" t="s">
        <v>339</v>
      </c>
      <c r="O43" s="408"/>
      <c r="P43" s="408"/>
      <c r="Q43" s="408"/>
      <c r="R43" s="408"/>
      <c r="S43" s="408"/>
      <c r="T43" s="408"/>
      <c r="U43" s="408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2"/>
      <c r="O44" s="22"/>
      <c r="P44" s="22"/>
      <c r="Q44" s="22"/>
      <c r="R44" s="22"/>
      <c r="S44" s="22"/>
      <c r="T44" s="22"/>
      <c r="U44" s="22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2"/>
      <c r="O45" s="409"/>
      <c r="P45" s="409"/>
      <c r="Q45" s="409"/>
      <c r="R45" s="409"/>
      <c r="S45" s="409"/>
      <c r="T45" s="409"/>
      <c r="U45" s="22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C2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8.125" style="0" customWidth="1"/>
    <col min="2" max="2" width="56.00390625" style="0" customWidth="1"/>
    <col min="3" max="3" width="13.125" style="0" customWidth="1"/>
  </cols>
  <sheetData>
    <row r="2" spans="1:3" ht="12.75">
      <c r="A2" s="415" t="s">
        <v>511</v>
      </c>
      <c r="B2" s="415"/>
      <c r="C2" s="415"/>
    </row>
    <row r="5" spans="1:3" ht="18.75" customHeight="1">
      <c r="A5" s="534" t="s">
        <v>8</v>
      </c>
      <c r="B5" s="534"/>
      <c r="C5" s="534"/>
    </row>
    <row r="6" spans="1:3" ht="18" customHeight="1">
      <c r="A6" s="534" t="s">
        <v>400</v>
      </c>
      <c r="B6" s="534"/>
      <c r="C6" s="534"/>
    </row>
    <row r="7" spans="1:3" ht="19.5" customHeight="1">
      <c r="A7" s="534" t="s">
        <v>459</v>
      </c>
      <c r="B7" s="534"/>
      <c r="C7" s="534"/>
    </row>
    <row r="9" ht="13.5" thickBot="1"/>
    <row r="10" spans="1:3" ht="42" customHeight="1" thickBot="1">
      <c r="A10" s="153" t="s">
        <v>392</v>
      </c>
      <c r="B10" s="153" t="s">
        <v>3</v>
      </c>
      <c r="C10" s="299" t="s">
        <v>403</v>
      </c>
    </row>
    <row r="13" spans="1:2" ht="12.75">
      <c r="A13" t="s">
        <v>18</v>
      </c>
      <c r="B13" s="407" t="s">
        <v>405</v>
      </c>
    </row>
    <row r="15" spans="1:3" ht="17.25" customHeight="1">
      <c r="A15" s="146" t="s">
        <v>404</v>
      </c>
      <c r="B15" t="s">
        <v>463</v>
      </c>
      <c r="C15" s="130">
        <f>1000000+11060431</f>
        <v>12060431</v>
      </c>
    </row>
    <row r="16" spans="1:3" ht="18.75" customHeight="1">
      <c r="A16" s="147" t="s">
        <v>410</v>
      </c>
      <c r="B16" t="s">
        <v>464</v>
      </c>
      <c r="C16" s="151">
        <f>270000+2986317</f>
        <v>3256317</v>
      </c>
    </row>
    <row r="17" spans="2:3" ht="16.5" customHeight="1">
      <c r="B17" s="404" t="s">
        <v>245</v>
      </c>
      <c r="C17" s="149">
        <f>C15+C16</f>
        <v>15316748</v>
      </c>
    </row>
    <row r="18" spans="2:3" ht="16.5" customHeight="1">
      <c r="B18" s="404"/>
      <c r="C18" s="149"/>
    </row>
    <row r="19" spans="1:3" ht="16.5" customHeight="1">
      <c r="A19" t="s">
        <v>19</v>
      </c>
      <c r="B19" s="407" t="s">
        <v>501</v>
      </c>
      <c r="C19" s="149"/>
    </row>
    <row r="20" spans="2:3" ht="16.5" customHeight="1">
      <c r="B20" s="404"/>
      <c r="C20" s="149"/>
    </row>
    <row r="21" spans="1:3" ht="16.5" customHeight="1">
      <c r="A21" s="146" t="s">
        <v>413</v>
      </c>
      <c r="B21" s="406" t="s">
        <v>510</v>
      </c>
      <c r="C21" s="165">
        <v>471216</v>
      </c>
    </row>
    <row r="22" spans="1:3" ht="16.5" customHeight="1">
      <c r="A22" s="146" t="s">
        <v>406</v>
      </c>
      <c r="B22" t="s">
        <v>464</v>
      </c>
      <c r="C22" s="405">
        <v>127230</v>
      </c>
    </row>
    <row r="23" spans="1:3" ht="16.5" customHeight="1">
      <c r="A23" s="146"/>
      <c r="B23" s="404" t="s">
        <v>245</v>
      </c>
      <c r="C23" s="149">
        <f>C21+C22</f>
        <v>598446</v>
      </c>
    </row>
    <row r="25" spans="2:3" ht="12.75">
      <c r="B25" s="148" t="s">
        <v>401</v>
      </c>
      <c r="C25" s="149">
        <f>C17+C23</f>
        <v>15915194</v>
      </c>
    </row>
  </sheetData>
  <sheetProtection/>
  <mergeCells count="4">
    <mergeCell ref="A5:C5"/>
    <mergeCell ref="A6:C6"/>
    <mergeCell ref="A7:C7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C87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26"/>
      <c r="B2" s="26"/>
      <c r="C2" s="309"/>
    </row>
    <row r="3" spans="1:3" ht="15.75">
      <c r="A3" s="174"/>
      <c r="B3" s="310"/>
      <c r="C3" s="311"/>
    </row>
    <row r="4" spans="1:3" ht="7.5" customHeight="1">
      <c r="A4" s="537"/>
      <c r="B4" s="537"/>
      <c r="C4" s="537"/>
    </row>
    <row r="5" spans="1:3" ht="15.75">
      <c r="A5" s="538" t="s">
        <v>512</v>
      </c>
      <c r="B5" s="539"/>
      <c r="C5" s="539"/>
    </row>
    <row r="6" spans="1:3" ht="15.75">
      <c r="A6" s="540"/>
      <c r="B6" s="540"/>
      <c r="C6" s="540"/>
    </row>
    <row r="7" spans="1:3" ht="3" customHeight="1">
      <c r="A7" s="313"/>
      <c r="B7" s="314"/>
      <c r="C7" s="314"/>
    </row>
    <row r="8" spans="1:3" ht="6.75" customHeight="1">
      <c r="A8" s="313"/>
      <c r="B8" s="314"/>
      <c r="C8" s="314"/>
    </row>
    <row r="9" spans="1:3" ht="15.75">
      <c r="A9" s="540" t="s">
        <v>8</v>
      </c>
      <c r="B9" s="540"/>
      <c r="C9" s="540"/>
    </row>
    <row r="10" spans="1:3" ht="15.75">
      <c r="A10" s="540" t="s">
        <v>44</v>
      </c>
      <c r="B10" s="540"/>
      <c r="C10" s="540"/>
    </row>
    <row r="11" spans="1:3" ht="15.75">
      <c r="A11" s="540" t="s">
        <v>45</v>
      </c>
      <c r="B11" s="540"/>
      <c r="C11" s="540"/>
    </row>
    <row r="12" spans="1:3" ht="15.75">
      <c r="A12" s="540" t="s">
        <v>459</v>
      </c>
      <c r="B12" s="540"/>
      <c r="C12" s="540"/>
    </row>
    <row r="13" spans="1:3" ht="16.5" thickBot="1">
      <c r="A13" s="310"/>
      <c r="B13" s="310"/>
      <c r="C13" s="311"/>
    </row>
    <row r="14" spans="1:3" ht="15.75">
      <c r="A14" s="315" t="s">
        <v>16</v>
      </c>
      <c r="B14" s="316"/>
      <c r="C14" s="317" t="s">
        <v>0</v>
      </c>
    </row>
    <row r="15" spans="1:3" ht="15.75">
      <c r="A15" s="318"/>
      <c r="B15" s="319" t="s">
        <v>3</v>
      </c>
      <c r="C15" s="320"/>
    </row>
    <row r="16" spans="1:3" ht="16.5" thickBot="1">
      <c r="A16" s="321" t="s">
        <v>17</v>
      </c>
      <c r="B16" s="322"/>
      <c r="C16" s="323" t="s">
        <v>46</v>
      </c>
    </row>
    <row r="17" spans="1:3" ht="20.25" customHeight="1">
      <c r="A17" s="541" t="s">
        <v>47</v>
      </c>
      <c r="B17" s="541"/>
      <c r="C17" s="541"/>
    </row>
    <row r="18" spans="1:3" ht="22.5" customHeight="1">
      <c r="A18" s="324" t="s">
        <v>18</v>
      </c>
      <c r="B18" s="325" t="s">
        <v>48</v>
      </c>
      <c r="C18" s="326"/>
    </row>
    <row r="19" spans="1:3" ht="22.5" customHeight="1">
      <c r="A19" s="324"/>
      <c r="B19" s="327" t="s">
        <v>49</v>
      </c>
      <c r="C19" s="326">
        <f>'2.Bevételek'!H43</f>
        <v>17019436</v>
      </c>
    </row>
    <row r="20" spans="1:3" ht="29.25" customHeight="1">
      <c r="A20" s="324"/>
      <c r="B20" s="328" t="s">
        <v>50</v>
      </c>
      <c r="C20" s="326">
        <f>'2.Bevételek'!H52</f>
        <v>1665860</v>
      </c>
    </row>
    <row r="21" spans="1:3" ht="22.5" customHeight="1">
      <c r="A21" s="324" t="s">
        <v>19</v>
      </c>
      <c r="B21" s="325" t="s">
        <v>51</v>
      </c>
      <c r="C21" s="326">
        <f>'2.Bevételek'!H74</f>
        <v>1320000</v>
      </c>
    </row>
    <row r="22" spans="1:3" ht="22.5" customHeight="1">
      <c r="A22" s="324" t="s">
        <v>20</v>
      </c>
      <c r="B22" s="325" t="s">
        <v>52</v>
      </c>
      <c r="C22" s="326">
        <f>'2.Bevételek'!H83</f>
        <v>17992809</v>
      </c>
    </row>
    <row r="23" spans="1:3" ht="22.5" customHeight="1">
      <c r="A23" s="324" t="s">
        <v>21</v>
      </c>
      <c r="B23" s="329" t="s">
        <v>24</v>
      </c>
      <c r="C23" s="326"/>
    </row>
    <row r="24" spans="1:3" ht="32.25" customHeight="1">
      <c r="A24" s="324"/>
      <c r="B24" s="328" t="s">
        <v>53</v>
      </c>
      <c r="C24" s="326"/>
    </row>
    <row r="25" spans="1:3" ht="22.5" customHeight="1">
      <c r="A25" s="324"/>
      <c r="B25" s="327" t="s">
        <v>54</v>
      </c>
      <c r="C25" s="326"/>
    </row>
    <row r="26" spans="1:3" ht="28.5" customHeight="1">
      <c r="A26" s="330"/>
      <c r="B26" s="331" t="s">
        <v>55</v>
      </c>
      <c r="C26" s="332">
        <f>SUM(C19:C25)</f>
        <v>37998105</v>
      </c>
    </row>
    <row r="27" spans="1:3" ht="22.5" customHeight="1">
      <c r="A27" s="312" t="s">
        <v>22</v>
      </c>
      <c r="B27" s="325" t="s">
        <v>56</v>
      </c>
      <c r="C27" s="333">
        <f>'4.Korm.funkciók'!E32</f>
        <v>9178949</v>
      </c>
    </row>
    <row r="28" spans="1:3" ht="22.5" customHeight="1">
      <c r="A28" s="312" t="s">
        <v>23</v>
      </c>
      <c r="B28" s="325" t="s">
        <v>57</v>
      </c>
      <c r="C28" s="333">
        <f>'4.Korm.funkciók'!F32</f>
        <v>1919909</v>
      </c>
    </row>
    <row r="29" spans="1:3" ht="22.5" customHeight="1">
      <c r="A29" s="312" t="s">
        <v>25</v>
      </c>
      <c r="B29" s="334" t="s">
        <v>58</v>
      </c>
      <c r="C29" s="333">
        <f>'4.Korm.funkciók'!G32</f>
        <v>26291432</v>
      </c>
    </row>
    <row r="30" spans="1:3" ht="22.5" customHeight="1">
      <c r="A30" s="312" t="s">
        <v>26</v>
      </c>
      <c r="B30" s="334" t="s">
        <v>59</v>
      </c>
      <c r="C30" s="333">
        <f>'4.Korm.funkciók'!H32</f>
        <v>1485000</v>
      </c>
    </row>
    <row r="31" spans="1:3" ht="22.5" customHeight="1">
      <c r="A31" s="312" t="s">
        <v>27</v>
      </c>
      <c r="B31" s="334" t="s">
        <v>60</v>
      </c>
      <c r="C31" s="333"/>
    </row>
    <row r="32" spans="1:3" ht="22.5" customHeight="1">
      <c r="A32" s="312"/>
      <c r="B32" s="334" t="s">
        <v>496</v>
      </c>
      <c r="C32" s="333">
        <v>34478</v>
      </c>
    </row>
    <row r="33" spans="1:3" ht="29.25" customHeight="1">
      <c r="A33" s="312"/>
      <c r="B33" s="328" t="s">
        <v>61</v>
      </c>
      <c r="C33" s="335"/>
    </row>
    <row r="34" spans="1:3" ht="22.5" customHeight="1">
      <c r="A34" s="312"/>
      <c r="B34" s="334" t="s">
        <v>62</v>
      </c>
      <c r="C34" s="333">
        <f>'4.Korm.funkciók'!I32-C35-C32</f>
        <v>184425</v>
      </c>
    </row>
    <row r="35" spans="1:3" ht="22.5" customHeight="1">
      <c r="A35" s="312"/>
      <c r="B35" s="334" t="s">
        <v>63</v>
      </c>
      <c r="C35" s="311">
        <f>'1.Mérleg'!C32</f>
        <v>9897396</v>
      </c>
    </row>
    <row r="36" spans="1:3" ht="32.25" customHeight="1">
      <c r="A36" s="330"/>
      <c r="B36" s="331" t="s">
        <v>64</v>
      </c>
      <c r="C36" s="332">
        <f>SUM(C27:C35)</f>
        <v>48991589</v>
      </c>
    </row>
    <row r="37" spans="1:3" ht="15.75">
      <c r="A37" s="324"/>
      <c r="B37" s="325"/>
      <c r="C37" s="326"/>
    </row>
    <row r="38" spans="1:3" ht="15.75">
      <c r="A38" s="324"/>
      <c r="B38" s="325"/>
      <c r="C38" s="326"/>
    </row>
    <row r="39" spans="1:3" ht="15.75">
      <c r="A39" s="324"/>
      <c r="B39" s="325"/>
      <c r="C39" s="326"/>
    </row>
    <row r="40" spans="1:3" ht="15.75">
      <c r="A40" s="542">
        <v>2</v>
      </c>
      <c r="B40" s="542"/>
      <c r="C40" s="542"/>
    </row>
    <row r="41" spans="1:3" ht="16.5" thickBot="1">
      <c r="A41" s="324"/>
      <c r="B41" s="325"/>
      <c r="C41" s="326"/>
    </row>
    <row r="42" spans="1:3" ht="15.75">
      <c r="A42" s="315" t="s">
        <v>16</v>
      </c>
      <c r="B42" s="316"/>
      <c r="C42" s="317" t="s">
        <v>0</v>
      </c>
    </row>
    <row r="43" spans="1:3" ht="15.75">
      <c r="A43" s="318"/>
      <c r="B43" s="319" t="s">
        <v>3</v>
      </c>
      <c r="C43" s="320"/>
    </row>
    <row r="44" spans="1:3" ht="16.5" thickBot="1">
      <c r="A44" s="321" t="s">
        <v>17</v>
      </c>
      <c r="B44" s="322"/>
      <c r="C44" s="323" t="s">
        <v>46</v>
      </c>
    </row>
    <row r="45" spans="1:3" ht="15.75">
      <c r="A45" s="543" t="s">
        <v>65</v>
      </c>
      <c r="B45" s="543"/>
      <c r="C45" s="543"/>
    </row>
    <row r="46" spans="1:3" ht="22.5" customHeight="1">
      <c r="A46" s="312" t="s">
        <v>28</v>
      </c>
      <c r="B46" s="336" t="s">
        <v>66</v>
      </c>
      <c r="C46" s="311">
        <f>'2.Bevételek'!H63</f>
        <v>74618628</v>
      </c>
    </row>
    <row r="47" spans="1:3" ht="22.5" customHeight="1">
      <c r="A47" s="312" t="s">
        <v>30</v>
      </c>
      <c r="B47" s="336" t="s">
        <v>67</v>
      </c>
      <c r="C47" s="311"/>
    </row>
    <row r="48" spans="1:3" ht="22.5" customHeight="1">
      <c r="A48" s="312" t="s">
        <v>31</v>
      </c>
      <c r="B48" s="329" t="s">
        <v>68</v>
      </c>
      <c r="C48" s="311"/>
    </row>
    <row r="49" spans="1:3" ht="31.5" customHeight="1">
      <c r="A49" s="312"/>
      <c r="B49" s="328" t="s">
        <v>69</v>
      </c>
      <c r="C49" s="311">
        <f>'2.Bevételek'!H89</f>
        <v>0</v>
      </c>
    </row>
    <row r="50" spans="1:3" ht="22.5" customHeight="1">
      <c r="A50" s="312"/>
      <c r="B50" s="327" t="s">
        <v>70</v>
      </c>
      <c r="C50" s="311"/>
    </row>
    <row r="51" spans="1:3" ht="24.75" customHeight="1">
      <c r="A51" s="330"/>
      <c r="B51" s="331" t="s">
        <v>71</v>
      </c>
      <c r="C51" s="332">
        <f>SUM(C46:C50)</f>
        <v>74618628</v>
      </c>
    </row>
    <row r="52" spans="1:3" ht="22.5" customHeight="1">
      <c r="A52" s="312" t="s">
        <v>33</v>
      </c>
      <c r="B52" s="336" t="s">
        <v>72</v>
      </c>
      <c r="C52" s="311">
        <f>'4.Korm.funkciók'!K32</f>
        <v>61399732</v>
      </c>
    </row>
    <row r="53" spans="1:3" ht="22.5" customHeight="1">
      <c r="A53" s="312" t="s">
        <v>35</v>
      </c>
      <c r="B53" s="336" t="s">
        <v>73</v>
      </c>
      <c r="C53" s="311">
        <f>'4.Korm.funkciók'!L32</f>
        <v>15915194</v>
      </c>
    </row>
    <row r="54" spans="1:3" ht="22.5" customHeight="1">
      <c r="A54" s="312" t="s">
        <v>36</v>
      </c>
      <c r="B54" s="329" t="s">
        <v>41</v>
      </c>
      <c r="C54" s="311"/>
    </row>
    <row r="55" spans="1:3" ht="33.75" customHeight="1">
      <c r="A55" s="312"/>
      <c r="B55" s="328" t="s">
        <v>74</v>
      </c>
      <c r="C55" s="311"/>
    </row>
    <row r="56" spans="1:3" ht="22.5" customHeight="1">
      <c r="A56" s="312"/>
      <c r="B56" s="337" t="s">
        <v>338</v>
      </c>
      <c r="C56" s="311"/>
    </row>
    <row r="57" spans="1:3" ht="16.5" thickBot="1">
      <c r="A57" s="338"/>
      <c r="B57" s="331" t="s">
        <v>75</v>
      </c>
      <c r="C57" s="332">
        <f>SUM(C52:C56)</f>
        <v>77314926</v>
      </c>
    </row>
    <row r="58" spans="1:3" ht="28.5" customHeight="1" thickBot="1">
      <c r="A58" s="339"/>
      <c r="B58" s="340" t="s">
        <v>76</v>
      </c>
      <c r="C58" s="341">
        <f>C26+C51</f>
        <v>112616733</v>
      </c>
    </row>
    <row r="59" spans="1:3" ht="27" customHeight="1" thickBot="1">
      <c r="A59" s="339"/>
      <c r="B59" s="340" t="s">
        <v>77</v>
      </c>
      <c r="C59" s="341">
        <f>C36+C57</f>
        <v>126306515</v>
      </c>
    </row>
    <row r="60" spans="1:3" ht="15.75">
      <c r="A60" s="342"/>
      <c r="B60" s="343"/>
      <c r="C60" s="344"/>
    </row>
    <row r="61" spans="1:3" ht="15.75">
      <c r="A61" s="310"/>
      <c r="B61" s="310"/>
      <c r="C61" s="311"/>
    </row>
    <row r="62" spans="1:3" ht="15.75">
      <c r="A62" s="544" t="s">
        <v>78</v>
      </c>
      <c r="B62" s="544"/>
      <c r="C62" s="544"/>
    </row>
    <row r="63" spans="1:3" ht="15.75">
      <c r="A63" s="345"/>
      <c r="B63" s="345"/>
      <c r="C63" s="345"/>
    </row>
    <row r="64" spans="1:3" ht="22.5" customHeight="1">
      <c r="A64" s="338" t="s">
        <v>38</v>
      </c>
      <c r="B64" s="346" t="s">
        <v>79</v>
      </c>
      <c r="C64" s="347">
        <f>'2.Bevételek'!H98</f>
        <v>14301974</v>
      </c>
    </row>
    <row r="65" spans="1:3" ht="22.5" customHeight="1">
      <c r="A65" s="338"/>
      <c r="B65" s="331" t="s">
        <v>80</v>
      </c>
      <c r="C65" s="332">
        <f>C64</f>
        <v>14301974</v>
      </c>
    </row>
    <row r="66" spans="1:3" ht="22.5" customHeight="1">
      <c r="A66" s="338" t="s">
        <v>40</v>
      </c>
      <c r="B66" s="346" t="s">
        <v>354</v>
      </c>
      <c r="C66" s="347">
        <f>'4.Korm.funkciók'!O32</f>
        <v>612192</v>
      </c>
    </row>
    <row r="67" spans="1:3" ht="22.5" customHeight="1">
      <c r="A67" s="338" t="s">
        <v>42</v>
      </c>
      <c r="B67" s="346" t="s">
        <v>81</v>
      </c>
      <c r="C67" s="347">
        <v>0</v>
      </c>
    </row>
    <row r="68" spans="1:3" ht="22.5" customHeight="1" thickBot="1">
      <c r="A68" s="338"/>
      <c r="B68" s="331" t="s">
        <v>82</v>
      </c>
      <c r="C68" s="332">
        <f>SUM(C66:C67)</f>
        <v>612192</v>
      </c>
    </row>
    <row r="69" spans="1:3" ht="24.75" customHeight="1" thickBot="1">
      <c r="A69" s="348"/>
      <c r="B69" s="349" t="s">
        <v>83</v>
      </c>
      <c r="C69" s="350">
        <f>C58+C65</f>
        <v>126918707</v>
      </c>
    </row>
    <row r="70" spans="1:3" ht="27" customHeight="1" thickBot="1">
      <c r="A70" s="348"/>
      <c r="B70" s="349" t="s">
        <v>84</v>
      </c>
      <c r="C70" s="350">
        <f>C59+C68</f>
        <v>126918707</v>
      </c>
    </row>
    <row r="71" spans="1:3" ht="15.75">
      <c r="A71" s="27"/>
      <c r="B71" s="27"/>
      <c r="C71" s="351"/>
    </row>
    <row r="72" spans="1:3" ht="15.75">
      <c r="A72" s="17"/>
      <c r="B72" s="17"/>
      <c r="C72" s="17"/>
    </row>
    <row r="73" spans="1:3" ht="15.75">
      <c r="A73" s="17"/>
      <c r="B73" s="17"/>
      <c r="C73" s="17"/>
    </row>
    <row r="74" spans="1:3" ht="15.75">
      <c r="A74" s="17"/>
      <c r="B74" s="17"/>
      <c r="C74" s="17"/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</sheetData>
  <sheetProtection/>
  <mergeCells count="11">
    <mergeCell ref="A62:C62"/>
    <mergeCell ref="A9:C9"/>
    <mergeCell ref="A10:C10"/>
    <mergeCell ref="A11:C11"/>
    <mergeCell ref="A12:C12"/>
    <mergeCell ref="A4:C4"/>
    <mergeCell ref="A5:C5"/>
    <mergeCell ref="A6:C6"/>
    <mergeCell ref="A17:C17"/>
    <mergeCell ref="A40:C40"/>
    <mergeCell ref="A45:C45"/>
  </mergeCells>
  <printOptions/>
  <pageMargins left="0.49" right="0.49" top="0.46" bottom="1" header="0.3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58"/>
  <sheetViews>
    <sheetView zoomScale="75" zoomScaleNormal="75" zoomScalePageLayoutView="0" workbookViewId="0" topLeftCell="A1">
      <selection activeCell="A2" sqref="A2:O4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0" width="14.00390625" style="0" customWidth="1"/>
    <col min="11" max="11" width="14.375" style="0" customWidth="1"/>
    <col min="12" max="12" width="14.00390625" style="0" customWidth="1"/>
    <col min="13" max="13" width="13.125" style="0" customWidth="1"/>
    <col min="14" max="14" width="14.25390625" style="0" customWidth="1"/>
    <col min="15" max="15" width="14.875" style="0" customWidth="1"/>
  </cols>
  <sheetData>
    <row r="2" spans="1:15" ht="12.75">
      <c r="A2" s="545" t="s">
        <v>513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15" ht="6" customHeight="1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</row>
    <row r="4" spans="1:15" ht="12.75" customHeight="1" hidden="1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</row>
    <row r="5" spans="1:15" ht="12.75">
      <c r="A5" s="1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</row>
    <row r="6" spans="1:15" ht="12.75">
      <c r="A6" s="1"/>
      <c r="B6" s="547" t="s">
        <v>8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</row>
    <row r="7" spans="1:15" ht="12.75">
      <c r="A7" s="1"/>
      <c r="B7" s="547" t="s">
        <v>467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</row>
    <row r="8" spans="1:15" ht="13.5" thickBot="1">
      <c r="A8" s="1"/>
      <c r="B8" s="1"/>
      <c r="C8" s="352"/>
      <c r="D8" s="352"/>
      <c r="E8" s="352"/>
      <c r="F8" s="353"/>
      <c r="G8" s="352"/>
      <c r="H8" s="352"/>
      <c r="I8" s="352"/>
      <c r="J8" s="352"/>
      <c r="K8" s="354"/>
      <c r="L8" s="354"/>
      <c r="M8" s="354"/>
      <c r="N8" s="354"/>
      <c r="O8" s="355" t="s">
        <v>387</v>
      </c>
    </row>
    <row r="9" spans="1:15" ht="12.75">
      <c r="A9" s="106" t="s">
        <v>16</v>
      </c>
      <c r="B9" s="107"/>
      <c r="C9" s="356"/>
      <c r="D9" s="357"/>
      <c r="E9" s="358"/>
      <c r="F9" s="359"/>
      <c r="G9" s="359"/>
      <c r="H9" s="359"/>
      <c r="I9" s="359"/>
      <c r="J9" s="359"/>
      <c r="K9" s="360"/>
      <c r="L9" s="360"/>
      <c r="M9" s="360"/>
      <c r="N9" s="361"/>
      <c r="O9" s="362"/>
    </row>
    <row r="10" spans="1:15" ht="12.75">
      <c r="A10" s="108"/>
      <c r="B10" s="109" t="s">
        <v>3</v>
      </c>
      <c r="C10" s="363" t="s">
        <v>283</v>
      </c>
      <c r="D10" s="364" t="s">
        <v>284</v>
      </c>
      <c r="E10" s="365" t="s">
        <v>285</v>
      </c>
      <c r="F10" s="366" t="s">
        <v>286</v>
      </c>
      <c r="G10" s="366" t="s">
        <v>287</v>
      </c>
      <c r="H10" s="366" t="s">
        <v>288</v>
      </c>
      <c r="I10" s="366" t="s">
        <v>289</v>
      </c>
      <c r="J10" s="366" t="s">
        <v>290</v>
      </c>
      <c r="K10" s="366" t="s">
        <v>291</v>
      </c>
      <c r="L10" s="366" t="s">
        <v>292</v>
      </c>
      <c r="M10" s="366" t="s">
        <v>293</v>
      </c>
      <c r="N10" s="365" t="s">
        <v>294</v>
      </c>
      <c r="O10" s="367" t="s">
        <v>295</v>
      </c>
    </row>
    <row r="11" spans="1:15" ht="13.5" thickBot="1">
      <c r="A11" s="110" t="s">
        <v>17</v>
      </c>
      <c r="B11" s="111"/>
      <c r="C11" s="368"/>
      <c r="D11" s="369"/>
      <c r="E11" s="370"/>
      <c r="F11" s="371"/>
      <c r="G11" s="371"/>
      <c r="H11" s="371"/>
      <c r="I11" s="371"/>
      <c r="J11" s="371"/>
      <c r="K11" s="371"/>
      <c r="L11" s="371"/>
      <c r="M11" s="371"/>
      <c r="N11" s="370"/>
      <c r="O11" s="368"/>
    </row>
    <row r="12" spans="1:15" ht="12.75">
      <c r="A12" s="112"/>
      <c r="B12" s="113" t="s">
        <v>296</v>
      </c>
      <c r="C12" s="372"/>
      <c r="D12" s="373"/>
      <c r="E12" s="374"/>
      <c r="F12" s="372"/>
      <c r="G12" s="372"/>
      <c r="H12" s="372"/>
      <c r="I12" s="372"/>
      <c r="J12" s="372"/>
      <c r="K12" s="372"/>
      <c r="L12" s="372"/>
      <c r="M12" s="372"/>
      <c r="N12" s="374"/>
      <c r="O12" s="375"/>
    </row>
    <row r="13" spans="1:15" ht="25.5">
      <c r="A13" s="114" t="s">
        <v>18</v>
      </c>
      <c r="B13" s="115" t="s">
        <v>297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/>
    </row>
    <row r="14" spans="1:15" ht="25.5">
      <c r="A14" s="114"/>
      <c r="B14" s="115" t="s">
        <v>298</v>
      </c>
      <c r="C14" s="376">
        <f>1275410+15999</f>
        <v>1291409</v>
      </c>
      <c r="D14" s="376">
        <f>1275400+15998</f>
        <v>1291398</v>
      </c>
      <c r="E14" s="376">
        <f>1275400+15999</f>
        <v>1291399</v>
      </c>
      <c r="F14" s="376">
        <f>1275400+15999</f>
        <v>1291399</v>
      </c>
      <c r="G14" s="376">
        <f>1275400+16000</f>
        <v>1291400</v>
      </c>
      <c r="H14" s="376">
        <f>1275400+15998</f>
        <v>1291398</v>
      </c>
      <c r="I14" s="376">
        <f>1275400+15999</f>
        <v>1291399</v>
      </c>
      <c r="J14" s="376">
        <f>1275400+15731+60000+1150000+345440</f>
        <v>2846571</v>
      </c>
      <c r="K14" s="376">
        <f>1275400+31463</f>
        <v>1306863</v>
      </c>
      <c r="L14" s="376">
        <v>1275400</v>
      </c>
      <c r="M14" s="376">
        <v>1275400</v>
      </c>
      <c r="N14" s="376">
        <v>1275400</v>
      </c>
      <c r="O14" s="377">
        <f aca="true" t="shared" si="0" ref="O14:O23">SUM(C14:N14)</f>
        <v>17019436</v>
      </c>
    </row>
    <row r="15" spans="1:15" ht="25.5">
      <c r="A15" s="114"/>
      <c r="B15" s="116" t="s">
        <v>299</v>
      </c>
      <c r="C15" s="376"/>
      <c r="D15" s="376"/>
      <c r="E15" s="376"/>
      <c r="F15" s="376">
        <v>505557</v>
      </c>
      <c r="G15" s="376"/>
      <c r="H15" s="376">
        <v>400000</v>
      </c>
      <c r="I15" s="376"/>
      <c r="J15" s="376">
        <f>65000+422177</f>
        <v>487177</v>
      </c>
      <c r="K15" s="376">
        <v>273126</v>
      </c>
      <c r="L15" s="376"/>
      <c r="M15" s="376"/>
      <c r="N15" s="376"/>
      <c r="O15" s="377">
        <f t="shared" si="0"/>
        <v>1665860</v>
      </c>
    </row>
    <row r="16" spans="1:15" ht="25.5">
      <c r="A16" s="114" t="s">
        <v>19</v>
      </c>
      <c r="B16" s="116" t="s">
        <v>300</v>
      </c>
      <c r="C16" s="376">
        <f>15697553-1126372-1268000-555490</f>
        <v>12747691</v>
      </c>
      <c r="D16" s="376"/>
      <c r="E16" s="376"/>
      <c r="F16" s="376"/>
      <c r="G16" s="376"/>
      <c r="H16" s="376">
        <f>13735678+9556400</f>
        <v>23292078</v>
      </c>
      <c r="I16" s="376">
        <v>14046748</v>
      </c>
      <c r="J16" s="376"/>
      <c r="K16" s="376"/>
      <c r="L16" s="376"/>
      <c r="M16" s="376"/>
      <c r="N16" s="376">
        <f>24532111</f>
        <v>24532111</v>
      </c>
      <c r="O16" s="377">
        <f t="shared" si="0"/>
        <v>74618628</v>
      </c>
    </row>
    <row r="17" spans="1:15" ht="12.75">
      <c r="A17" s="114" t="s">
        <v>20</v>
      </c>
      <c r="B17" s="116" t="s">
        <v>301</v>
      </c>
      <c r="C17" s="378"/>
      <c r="D17" s="378">
        <v>30000</v>
      </c>
      <c r="E17" s="378">
        <v>300000</v>
      </c>
      <c r="F17" s="378">
        <v>100000</v>
      </c>
      <c r="G17" s="378">
        <v>40000</v>
      </c>
      <c r="H17" s="378">
        <v>30000</v>
      </c>
      <c r="I17" s="378">
        <v>40000</v>
      </c>
      <c r="J17" s="378">
        <v>80000</v>
      </c>
      <c r="K17" s="378">
        <v>420000</v>
      </c>
      <c r="L17" s="378">
        <v>90000</v>
      </c>
      <c r="M17" s="378">
        <v>140000</v>
      </c>
      <c r="N17" s="378">
        <v>50000</v>
      </c>
      <c r="O17" s="377">
        <f t="shared" si="0"/>
        <v>1320000</v>
      </c>
    </row>
    <row r="18" spans="1:15" ht="12.75">
      <c r="A18" s="114" t="s">
        <v>21</v>
      </c>
      <c r="B18" s="117" t="s">
        <v>302</v>
      </c>
      <c r="C18" s="378">
        <v>75630</v>
      </c>
      <c r="D18" s="378">
        <v>75630</v>
      </c>
      <c r="E18" s="378">
        <v>75630</v>
      </c>
      <c r="F18" s="378">
        <v>75630</v>
      </c>
      <c r="G18" s="378">
        <f>630000+263418-54531</f>
        <v>838887</v>
      </c>
      <c r="H18" s="378">
        <f>75630+3708633+3438548</f>
        <v>7222811</v>
      </c>
      <c r="I18" s="378">
        <v>75630</v>
      </c>
      <c r="J18" s="378">
        <f>75630+46991</f>
        <v>122621</v>
      </c>
      <c r="K18" s="378">
        <v>75630</v>
      </c>
      <c r="L18" s="378">
        <v>75630</v>
      </c>
      <c r="M18" s="378">
        <v>75630</v>
      </c>
      <c r="N18" s="378">
        <f>77630+5689255-1982+3438547</f>
        <v>9203450</v>
      </c>
      <c r="O18" s="377">
        <f t="shared" si="0"/>
        <v>17992809</v>
      </c>
    </row>
    <row r="19" spans="1:15" ht="12.75">
      <c r="A19" s="114" t="s">
        <v>22</v>
      </c>
      <c r="B19" s="117" t="s">
        <v>303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7">
        <f t="shared" si="0"/>
        <v>0</v>
      </c>
    </row>
    <row r="20" spans="1:15" ht="12.75">
      <c r="A20" s="114" t="s">
        <v>23</v>
      </c>
      <c r="B20" s="117" t="s">
        <v>24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80"/>
      <c r="O20" s="377">
        <f t="shared" si="0"/>
        <v>0</v>
      </c>
    </row>
    <row r="21" spans="1:15" ht="25.5">
      <c r="A21" s="114"/>
      <c r="B21" s="116" t="s">
        <v>304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2"/>
      <c r="O21" s="377">
        <f t="shared" si="0"/>
        <v>0</v>
      </c>
    </row>
    <row r="22" spans="1:15" ht="12.75">
      <c r="A22" s="114"/>
      <c r="B22" s="116" t="s">
        <v>305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  <c r="O22" s="377">
        <f t="shared" si="0"/>
        <v>0</v>
      </c>
    </row>
    <row r="23" spans="1:15" ht="12.75">
      <c r="A23" s="114" t="s">
        <v>25</v>
      </c>
      <c r="B23" s="117" t="s">
        <v>306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2"/>
      <c r="O23" s="377">
        <f t="shared" si="0"/>
        <v>0</v>
      </c>
    </row>
    <row r="24" spans="1:15" ht="25.5">
      <c r="A24" s="114"/>
      <c r="B24" s="116" t="s">
        <v>307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2"/>
      <c r="O24" s="377"/>
    </row>
    <row r="25" spans="1:15" ht="12.75">
      <c r="A25" s="114"/>
      <c r="B25" s="116" t="s">
        <v>308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2"/>
      <c r="O25" s="377">
        <f>SUM(C25:N25)</f>
        <v>0</v>
      </c>
    </row>
    <row r="26" spans="1:15" ht="12.75">
      <c r="A26" s="114" t="s">
        <v>26</v>
      </c>
      <c r="B26" s="117" t="s">
        <v>309</v>
      </c>
      <c r="C26" s="381">
        <v>498541</v>
      </c>
      <c r="D26" s="381">
        <f>2950000-1162090</f>
        <v>1787910</v>
      </c>
      <c r="E26" s="381">
        <v>812190</v>
      </c>
      <c r="F26" s="381"/>
      <c r="G26" s="381">
        <f>335151+300000+11935438-1367256</f>
        <v>11203333</v>
      </c>
      <c r="H26" s="381"/>
      <c r="I26" s="381"/>
      <c r="J26" s="381"/>
      <c r="K26" s="381"/>
      <c r="L26" s="381"/>
      <c r="M26" s="381"/>
      <c r="N26" s="382"/>
      <c r="O26" s="377">
        <f>SUM(C26:N26)</f>
        <v>14301974</v>
      </c>
    </row>
    <row r="27" spans="1:15" ht="13.5" thickBot="1">
      <c r="A27" s="118" t="s">
        <v>27</v>
      </c>
      <c r="B27" s="119" t="s">
        <v>310</v>
      </c>
      <c r="C27" s="381"/>
      <c r="D27" s="381">
        <f aca="true" t="shared" si="1" ref="D27:N27">C48</f>
        <v>12887014</v>
      </c>
      <c r="E27" s="381">
        <f t="shared" si="1"/>
        <v>14656393</v>
      </c>
      <c r="F27" s="381">
        <f t="shared" si="1"/>
        <v>15514730</v>
      </c>
      <c r="G27" s="381">
        <f t="shared" si="1"/>
        <v>15874553</v>
      </c>
      <c r="H27" s="381">
        <f t="shared" si="1"/>
        <v>15331092</v>
      </c>
      <c r="I27" s="381">
        <f t="shared" si="1"/>
        <v>13340497</v>
      </c>
      <c r="J27" s="381">
        <f t="shared" si="1"/>
        <v>24676402</v>
      </c>
      <c r="K27" s="381">
        <f t="shared" si="1"/>
        <v>24770497</v>
      </c>
      <c r="L27" s="381">
        <f t="shared" si="1"/>
        <v>24458283</v>
      </c>
      <c r="M27" s="381">
        <f t="shared" si="1"/>
        <v>23950344</v>
      </c>
      <c r="N27" s="381">
        <f t="shared" si="1"/>
        <v>8993148</v>
      </c>
      <c r="O27" s="377"/>
    </row>
    <row r="28" spans="1:15" ht="13.5" thickBot="1">
      <c r="A28" s="120"/>
      <c r="B28" s="120" t="s">
        <v>311</v>
      </c>
      <c r="C28" s="383">
        <f aca="true" t="shared" si="2" ref="C28:O28">SUM(C14:C27)</f>
        <v>14613271</v>
      </c>
      <c r="D28" s="383">
        <f t="shared" si="2"/>
        <v>16071952</v>
      </c>
      <c r="E28" s="383">
        <f t="shared" si="2"/>
        <v>17135612</v>
      </c>
      <c r="F28" s="383">
        <f t="shared" si="2"/>
        <v>17487316</v>
      </c>
      <c r="G28" s="383">
        <f t="shared" si="2"/>
        <v>29248173</v>
      </c>
      <c r="H28" s="383">
        <f t="shared" si="2"/>
        <v>47567379</v>
      </c>
      <c r="I28" s="383">
        <f t="shared" si="2"/>
        <v>28794274</v>
      </c>
      <c r="J28" s="383">
        <f t="shared" si="2"/>
        <v>28212771</v>
      </c>
      <c r="K28" s="383">
        <f t="shared" si="2"/>
        <v>26846116</v>
      </c>
      <c r="L28" s="383">
        <f t="shared" si="2"/>
        <v>25899313</v>
      </c>
      <c r="M28" s="383">
        <f t="shared" si="2"/>
        <v>25441374</v>
      </c>
      <c r="N28" s="383">
        <f t="shared" si="2"/>
        <v>44054109</v>
      </c>
      <c r="O28" s="384">
        <f t="shared" si="2"/>
        <v>126918707</v>
      </c>
    </row>
    <row r="29" spans="1:15" ht="12.75">
      <c r="A29" s="121"/>
      <c r="B29" s="122" t="s">
        <v>312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85"/>
    </row>
    <row r="30" spans="1:15" ht="12.75">
      <c r="A30" s="114" t="s">
        <v>28</v>
      </c>
      <c r="B30" s="117" t="s">
        <v>29</v>
      </c>
      <c r="C30" s="376">
        <f>533178+10+12559+20000+111083</f>
        <v>676830</v>
      </c>
      <c r="D30" s="376">
        <f>533178+41457+12559+163061+111084</f>
        <v>861339</v>
      </c>
      <c r="E30" s="376">
        <f>533178+41457+12559+163062+111083</f>
        <v>861339</v>
      </c>
      <c r="F30" s="376">
        <f>533178+41459+12560+163061+111085</f>
        <v>861343</v>
      </c>
      <c r="G30" s="376">
        <f>533178+41457+13389</f>
        <v>588024</v>
      </c>
      <c r="H30" s="376">
        <f>533178+41457+13387+458960</f>
        <v>1046982</v>
      </c>
      <c r="I30" s="376">
        <f>533178+41457+13388+384672-7606</f>
        <v>965089</v>
      </c>
      <c r="J30" s="376">
        <f>533178+41457+13388</f>
        <v>588023</v>
      </c>
      <c r="K30" s="376">
        <f>533178+41457+250924</f>
        <v>825559</v>
      </c>
      <c r="L30" s="376">
        <f>533178+41457</f>
        <v>574635</v>
      </c>
      <c r="M30" s="376">
        <f>533178+41457</f>
        <v>574635</v>
      </c>
      <c r="N30" s="376">
        <f>533178+41457</f>
        <v>574635</v>
      </c>
      <c r="O30" s="377">
        <f>SUM(C30:N30)</f>
        <v>8998433</v>
      </c>
    </row>
    <row r="31" spans="1:15" ht="25.5">
      <c r="A31" s="114" t="s">
        <v>30</v>
      </c>
      <c r="B31" s="116" t="s">
        <v>313</v>
      </c>
      <c r="C31" s="376">
        <f>130703+2449+6844+16239</f>
        <v>156235</v>
      </c>
      <c r="D31" s="376">
        <f>130703-10869+2449+15897+16240</f>
        <v>154420</v>
      </c>
      <c r="E31" s="376">
        <f>130703-10869+2449+15898+16240</f>
        <v>154421</v>
      </c>
      <c r="F31" s="376">
        <f>130703-10869+2449+15897+16240</f>
        <v>154420</v>
      </c>
      <c r="G31" s="376">
        <f>130703-10869</f>
        <v>119834</v>
      </c>
      <c r="H31" s="376">
        <f>130703-10869+2611+219378</f>
        <v>341823</v>
      </c>
      <c r="I31" s="376">
        <f>130703-10869+37505+2611+4954</f>
        <v>164904</v>
      </c>
      <c r="J31" s="376">
        <f>130703-10869</f>
        <v>119834</v>
      </c>
      <c r="K31" s="376">
        <f>130703-10869+26776+22202</f>
        <v>168812</v>
      </c>
      <c r="L31" s="376">
        <f>130703-10869</f>
        <v>119834</v>
      </c>
      <c r="M31" s="376">
        <f>130703-10869</f>
        <v>119834</v>
      </c>
      <c r="N31" s="376">
        <f>130703-10870</f>
        <v>119833</v>
      </c>
      <c r="O31" s="377">
        <f>SUM(C31:N31)</f>
        <v>1894204</v>
      </c>
    </row>
    <row r="32" spans="1:15" ht="12.75">
      <c r="A32" s="114" t="s">
        <v>31</v>
      </c>
      <c r="B32" s="117" t="s">
        <v>32</v>
      </c>
      <c r="C32" s="376">
        <v>210000</v>
      </c>
      <c r="D32" s="376">
        <v>337000</v>
      </c>
      <c r="E32" s="376">
        <f>547000-34478</f>
        <v>512522</v>
      </c>
      <c r="F32" s="376">
        <v>547000</v>
      </c>
      <c r="G32" s="376">
        <f>757000+154775+2611</f>
        <v>914386</v>
      </c>
      <c r="H32" s="376">
        <f>547000+3708633-1154920-104993+3670341+60000+130000+190000</f>
        <v>7046061</v>
      </c>
      <c r="I32" s="376">
        <f>447000+561000+190500+24588+13117+87606+153701+15367</f>
        <v>1492879</v>
      </c>
      <c r="J32" s="376">
        <f>839000+2343+550000+199275</f>
        <v>1590618</v>
      </c>
      <c r="K32" s="376">
        <f>547000+250000+199275+4687</f>
        <v>1000962</v>
      </c>
      <c r="L32" s="376">
        <f>720000+88900+199275</f>
        <v>1008175</v>
      </c>
      <c r="M32" s="376">
        <f>519000+414094+345440+199275</f>
        <v>1477809</v>
      </c>
      <c r="N32" s="376">
        <f>547000+5882171+3670341+199275</f>
        <v>10298787</v>
      </c>
      <c r="O32" s="377">
        <f>SUM(C32:N32)</f>
        <v>26436199</v>
      </c>
    </row>
    <row r="33" spans="1:15" ht="12.75">
      <c r="A33" s="114" t="s">
        <v>33</v>
      </c>
      <c r="B33" s="117" t="s">
        <v>34</v>
      </c>
      <c r="C33" s="376">
        <v>50000</v>
      </c>
      <c r="D33" s="376">
        <f>50000+12800</f>
        <v>62800</v>
      </c>
      <c r="E33" s="376">
        <v>50000</v>
      </c>
      <c r="F33" s="376">
        <v>50000</v>
      </c>
      <c r="G33" s="376">
        <v>50000</v>
      </c>
      <c r="H33" s="376">
        <v>50000</v>
      </c>
      <c r="I33" s="376">
        <v>50000</v>
      </c>
      <c r="J33" s="376">
        <f>220000-50000</f>
        <v>170000</v>
      </c>
      <c r="K33" s="376">
        <v>50000</v>
      </c>
      <c r="L33" s="376">
        <v>200000</v>
      </c>
      <c r="M33" s="376">
        <f>300000-70800</f>
        <v>229200</v>
      </c>
      <c r="N33" s="376">
        <v>473000</v>
      </c>
      <c r="O33" s="377">
        <f>SUM(C33:N33)</f>
        <v>1485000</v>
      </c>
    </row>
    <row r="34" spans="1:15" ht="11.25" customHeight="1">
      <c r="A34" s="114" t="s">
        <v>35</v>
      </c>
      <c r="B34" s="117" t="s">
        <v>314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86"/>
      <c r="O34" s="377"/>
    </row>
    <row r="35" spans="1:15" ht="12.75">
      <c r="A35" s="114"/>
      <c r="B35" s="117" t="s">
        <v>315</v>
      </c>
      <c r="C35" s="376"/>
      <c r="D35" s="376"/>
      <c r="E35" s="376"/>
      <c r="F35" s="376"/>
      <c r="G35" s="376">
        <v>34478</v>
      </c>
      <c r="H35" s="376"/>
      <c r="I35" s="376">
        <v>0</v>
      </c>
      <c r="J35" s="376">
        <v>0</v>
      </c>
      <c r="K35" s="376"/>
      <c r="L35" s="376">
        <v>0</v>
      </c>
      <c r="M35" s="376">
        <v>0</v>
      </c>
      <c r="N35" s="376">
        <v>0</v>
      </c>
      <c r="O35" s="377">
        <f>SUM(C35:N35)</f>
        <v>34478</v>
      </c>
    </row>
    <row r="36" spans="1:15" ht="12.75">
      <c r="A36" s="114"/>
      <c r="B36" s="117" t="s">
        <v>316</v>
      </c>
      <c r="C36" s="376">
        <f>12500+8500</f>
        <v>21000</v>
      </c>
      <c r="D36" s="376"/>
      <c r="E36" s="376">
        <f>43000-400</f>
        <v>42600</v>
      </c>
      <c r="F36" s="376"/>
      <c r="G36" s="376"/>
      <c r="H36" s="376">
        <v>22000</v>
      </c>
      <c r="I36" s="376"/>
      <c r="J36" s="376">
        <f>15000+12500</f>
        <v>27500</v>
      </c>
      <c r="K36" s="376">
        <v>25000</v>
      </c>
      <c r="L36" s="376">
        <v>46325</v>
      </c>
      <c r="M36" s="376"/>
      <c r="N36" s="376"/>
      <c r="O36" s="377">
        <f>SUM(C36:N36)</f>
        <v>184425</v>
      </c>
    </row>
    <row r="37" spans="1:15" ht="12.75">
      <c r="A37" s="114" t="s">
        <v>36</v>
      </c>
      <c r="B37" s="117" t="s">
        <v>37</v>
      </c>
      <c r="C37" s="376"/>
      <c r="D37" s="376"/>
      <c r="E37" s="376"/>
      <c r="F37" s="376"/>
      <c r="G37" s="376">
        <v>2000000</v>
      </c>
      <c r="H37" s="376">
        <f>13735678+11984338</f>
        <v>25720016</v>
      </c>
      <c r="I37" s="376">
        <v>175000</v>
      </c>
      <c r="J37" s="376">
        <f>500000+600000-153701</f>
        <v>946299</v>
      </c>
      <c r="K37" s="376">
        <v>317500</v>
      </c>
      <c r="L37" s="376"/>
      <c r="M37" s="376"/>
      <c r="N37" s="376">
        <f>20796433-192916+11984337</f>
        <v>32587854</v>
      </c>
      <c r="O37" s="377">
        <f>SUM(C37:N37)</f>
        <v>61746669</v>
      </c>
    </row>
    <row r="38" spans="1:15" ht="12.75">
      <c r="A38" s="114" t="s">
        <v>38</v>
      </c>
      <c r="B38" s="117" t="s">
        <v>39</v>
      </c>
      <c r="C38" s="376"/>
      <c r="D38" s="376"/>
      <c r="E38" s="376"/>
      <c r="F38" s="376"/>
      <c r="G38" s="376"/>
      <c r="H38" s="376"/>
      <c r="I38" s="376">
        <v>1270000</v>
      </c>
      <c r="J38" s="376"/>
      <c r="K38" s="376"/>
      <c r="L38" s="376"/>
      <c r="M38" s="376">
        <v>14046748</v>
      </c>
      <c r="N38" s="376"/>
      <c r="O38" s="377">
        <f>SUM(C38:N38)</f>
        <v>15316748</v>
      </c>
    </row>
    <row r="39" spans="1:15" ht="12.75">
      <c r="A39" s="114" t="s">
        <v>40</v>
      </c>
      <c r="B39" s="117" t="s">
        <v>41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7">
        <f>SUM(C39:N39)</f>
        <v>0</v>
      </c>
    </row>
    <row r="40" spans="1:15" ht="12.75">
      <c r="A40" s="114"/>
      <c r="B40" s="117" t="s">
        <v>315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7"/>
    </row>
    <row r="41" spans="1:15" ht="12.75">
      <c r="A41" s="114"/>
      <c r="B41" s="117" t="s">
        <v>316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7"/>
    </row>
    <row r="42" spans="1:15" ht="12.75">
      <c r="A42" s="114" t="s">
        <v>42</v>
      </c>
      <c r="B42" s="117" t="s">
        <v>43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7">
        <f>SUM(C42:N42)</f>
        <v>0</v>
      </c>
    </row>
    <row r="43" spans="1:15" ht="12.75">
      <c r="A43" s="114"/>
      <c r="B43" s="117" t="s">
        <v>355</v>
      </c>
      <c r="C43" s="376">
        <v>612192</v>
      </c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7">
        <f>SUM(C43:N43)</f>
        <v>612192</v>
      </c>
    </row>
    <row r="44" spans="1:15" ht="12.75">
      <c r="A44" s="114"/>
      <c r="B44" s="117" t="s">
        <v>317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7">
        <f>SUM(C44:N44)</f>
        <v>0</v>
      </c>
    </row>
    <row r="45" spans="1:15" ht="12.75">
      <c r="A45" s="114" t="s">
        <v>318</v>
      </c>
      <c r="B45" s="117" t="s">
        <v>319</v>
      </c>
      <c r="C45" s="376"/>
      <c r="D45" s="376"/>
      <c r="E45" s="376"/>
      <c r="F45" s="376"/>
      <c r="G45" s="376">
        <f>12308598+-1081543-996376-20320</f>
        <v>10210359</v>
      </c>
      <c r="H45" s="376"/>
      <c r="I45" s="376"/>
      <c r="J45" s="376"/>
      <c r="K45" s="376"/>
      <c r="L45" s="376"/>
      <c r="M45" s="376"/>
      <c r="N45" s="376"/>
      <c r="O45" s="377">
        <f>SUM(C45:N45)</f>
        <v>10210359</v>
      </c>
    </row>
    <row r="46" spans="1:15" ht="13.5" thickBot="1">
      <c r="A46" s="118" t="s">
        <v>320</v>
      </c>
      <c r="B46" s="119" t="s">
        <v>321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7"/>
    </row>
    <row r="47" spans="1:15" ht="13.5" thickBot="1">
      <c r="A47" s="120"/>
      <c r="B47" s="120" t="s">
        <v>322</v>
      </c>
      <c r="C47" s="383">
        <f aca="true" t="shared" si="3" ref="C47:O47">SUM(C30:C46)</f>
        <v>1726257</v>
      </c>
      <c r="D47" s="383">
        <f t="shared" si="3"/>
        <v>1415559</v>
      </c>
      <c r="E47" s="383">
        <f t="shared" si="3"/>
        <v>1620882</v>
      </c>
      <c r="F47" s="383">
        <f t="shared" si="3"/>
        <v>1612763</v>
      </c>
      <c r="G47" s="383">
        <f t="shared" si="3"/>
        <v>13917081</v>
      </c>
      <c r="H47" s="383">
        <f t="shared" si="3"/>
        <v>34226882</v>
      </c>
      <c r="I47" s="383">
        <f t="shared" si="3"/>
        <v>4117872</v>
      </c>
      <c r="J47" s="383">
        <f t="shared" si="3"/>
        <v>3442274</v>
      </c>
      <c r="K47" s="383">
        <f t="shared" si="3"/>
        <v>2387833</v>
      </c>
      <c r="L47" s="383">
        <f t="shared" si="3"/>
        <v>1948969</v>
      </c>
      <c r="M47" s="383">
        <f t="shared" si="3"/>
        <v>16448226</v>
      </c>
      <c r="N47" s="383">
        <f t="shared" si="3"/>
        <v>44054109</v>
      </c>
      <c r="O47" s="384">
        <f t="shared" si="3"/>
        <v>126918707</v>
      </c>
    </row>
    <row r="48" spans="1:15" ht="13.5" thickBot="1">
      <c r="A48" s="123"/>
      <c r="B48" s="124" t="s">
        <v>323</v>
      </c>
      <c r="C48" s="387">
        <f aca="true" t="shared" si="4" ref="C48:N48">C28-C47</f>
        <v>12887014</v>
      </c>
      <c r="D48" s="387">
        <f t="shared" si="4"/>
        <v>14656393</v>
      </c>
      <c r="E48" s="387">
        <f t="shared" si="4"/>
        <v>15514730</v>
      </c>
      <c r="F48" s="387">
        <f t="shared" si="4"/>
        <v>15874553</v>
      </c>
      <c r="G48" s="387">
        <f t="shared" si="4"/>
        <v>15331092</v>
      </c>
      <c r="H48" s="387">
        <f t="shared" si="4"/>
        <v>13340497</v>
      </c>
      <c r="I48" s="387">
        <f t="shared" si="4"/>
        <v>24676402</v>
      </c>
      <c r="J48" s="387">
        <f t="shared" si="4"/>
        <v>24770497</v>
      </c>
      <c r="K48" s="387">
        <f t="shared" si="4"/>
        <v>24458283</v>
      </c>
      <c r="L48" s="387">
        <f t="shared" si="4"/>
        <v>23950344</v>
      </c>
      <c r="M48" s="387">
        <f t="shared" si="4"/>
        <v>8993148</v>
      </c>
      <c r="N48" s="387">
        <f t="shared" si="4"/>
        <v>0</v>
      </c>
      <c r="O48" s="388"/>
    </row>
    <row r="49" spans="1:15" ht="12.75">
      <c r="A49" s="1"/>
      <c r="B49" s="1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</row>
    <row r="50" spans="1:15" ht="12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1:15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1:15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</row>
    <row r="55" spans="1:15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</row>
    <row r="56" spans="1:15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1:15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</row>
    <row r="58" spans="1:15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</row>
  </sheetData>
  <sheetProtection/>
  <mergeCells count="4">
    <mergeCell ref="A2:O4"/>
    <mergeCell ref="B5:O5"/>
    <mergeCell ref="B6:O6"/>
    <mergeCell ref="B7:O7"/>
  </mergeCells>
  <printOptions/>
  <pageMargins left="0.2362204724409449" right="0.2362204724409449" top="0.35433070866141736" bottom="0.5511811023622047" header="0.2362204724409449" footer="0.35433070866141736"/>
  <pageSetup fitToHeight="1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92"/>
      <c r="B1" s="549" t="s">
        <v>473</v>
      </c>
      <c r="C1" s="549"/>
      <c r="D1" s="549"/>
      <c r="E1" s="443"/>
      <c r="F1" s="443"/>
    </row>
    <row r="2" spans="1:4" ht="15.75">
      <c r="A2" s="93"/>
      <c r="B2" s="93"/>
      <c r="C2" s="93"/>
      <c r="D2" s="94"/>
    </row>
    <row r="3" spans="1:4" ht="15.75">
      <c r="A3" s="94"/>
      <c r="B3" s="94"/>
      <c r="C3" s="94"/>
      <c r="D3" s="94"/>
    </row>
    <row r="4" spans="1:4" ht="15.75">
      <c r="A4" s="548" t="s">
        <v>2</v>
      </c>
      <c r="B4" s="548"/>
      <c r="C4" s="548"/>
      <c r="D4" s="548"/>
    </row>
    <row r="5" spans="1:4" ht="15.75">
      <c r="A5" s="548" t="s">
        <v>277</v>
      </c>
      <c r="B5" s="548"/>
      <c r="C5" s="548"/>
      <c r="D5" s="548"/>
    </row>
    <row r="6" spans="1:4" ht="15.75">
      <c r="A6" s="548" t="s">
        <v>465</v>
      </c>
      <c r="B6" s="548"/>
      <c r="C6" s="548"/>
      <c r="D6" s="548"/>
    </row>
    <row r="7" spans="1:4" ht="15.75">
      <c r="A7" s="93"/>
      <c r="B7" s="93"/>
      <c r="C7" s="93"/>
      <c r="D7" s="92"/>
    </row>
    <row r="8" spans="1:4" ht="15.75">
      <c r="A8" s="93"/>
      <c r="B8" s="93"/>
      <c r="C8" s="93"/>
      <c r="D8" s="92"/>
    </row>
    <row r="9" spans="1:4" ht="15.75">
      <c r="A9" s="93"/>
      <c r="B9" s="93"/>
      <c r="C9" s="93"/>
      <c r="D9" s="92"/>
    </row>
    <row r="10" spans="1:4" ht="15.75">
      <c r="A10" s="93"/>
      <c r="B10" s="93"/>
      <c r="C10" s="93"/>
      <c r="D10" s="92"/>
    </row>
    <row r="11" spans="1:4" ht="15.75">
      <c r="A11" s="162" t="s">
        <v>18</v>
      </c>
      <c r="B11" s="95" t="s">
        <v>278</v>
      </c>
      <c r="C11" s="93"/>
      <c r="D11" s="92"/>
    </row>
    <row r="12" spans="1:4" ht="15.75">
      <c r="A12" s="162"/>
      <c r="B12" s="95"/>
      <c r="C12" s="93"/>
      <c r="D12" s="92"/>
    </row>
    <row r="13" spans="1:4" ht="15.75">
      <c r="A13" s="162"/>
      <c r="B13" s="95"/>
      <c r="C13" s="96"/>
      <c r="D13" s="92"/>
    </row>
    <row r="14" spans="1:4" ht="16.5">
      <c r="A14" s="163" t="s">
        <v>404</v>
      </c>
      <c r="B14" s="97" t="s">
        <v>279</v>
      </c>
      <c r="C14" s="98"/>
      <c r="D14" s="99"/>
    </row>
    <row r="15" spans="1:4" ht="18">
      <c r="A15" s="164" t="s">
        <v>402</v>
      </c>
      <c r="B15" s="92" t="s">
        <v>280</v>
      </c>
      <c r="C15" s="100">
        <v>1599000</v>
      </c>
      <c r="D15" s="92" t="s">
        <v>281</v>
      </c>
    </row>
    <row r="16" spans="1:4" ht="15.75">
      <c r="A16" s="161"/>
      <c r="B16" s="94" t="s">
        <v>282</v>
      </c>
      <c r="C16" s="101">
        <f>SUM(C15)</f>
        <v>1599000</v>
      </c>
      <c r="D16" s="94" t="s">
        <v>281</v>
      </c>
    </row>
    <row r="17" spans="1:4" ht="15.75">
      <c r="A17" s="92"/>
      <c r="B17" s="94"/>
      <c r="C17" s="101"/>
      <c r="D17" s="94"/>
    </row>
    <row r="18" spans="1:4" ht="15.75">
      <c r="A18" s="92"/>
      <c r="B18" s="102"/>
      <c r="C18" s="101"/>
      <c r="D18" s="92"/>
    </row>
    <row r="19" spans="1:4" ht="18">
      <c r="A19" s="92"/>
      <c r="B19" s="92"/>
      <c r="C19" s="103"/>
      <c r="D19" s="92"/>
    </row>
    <row r="20" spans="1:4" ht="15.75">
      <c r="A20" s="94"/>
      <c r="B20" s="94"/>
      <c r="C20" s="101"/>
      <c r="D20" s="94"/>
    </row>
    <row r="21" spans="1:4" ht="15.75">
      <c r="A21" s="104"/>
      <c r="B21" s="104"/>
      <c r="C21" s="104"/>
      <c r="D21" s="104"/>
    </row>
  </sheetData>
  <sheetProtection password="AF00" sheet="1"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PageLayoutView="0" workbookViewId="0" topLeftCell="A1">
      <selection activeCell="Q13" sqref="Q13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557" t="s">
        <v>474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15.7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>
      <c r="A3" s="558" t="s">
        <v>8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</row>
    <row r="4" spans="1:13" ht="15.75">
      <c r="A4" s="558" t="s">
        <v>229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</row>
    <row r="5" spans="1:13" ht="15.75">
      <c r="A5" s="558" t="s">
        <v>459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</row>
    <row r="6" spans="1:13" ht="15.75">
      <c r="A6" s="70" t="s">
        <v>230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8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5.75">
      <c r="A8" s="72" t="s">
        <v>231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9.5" thickBo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6.5" thickBot="1">
      <c r="A10" s="550" t="s">
        <v>232</v>
      </c>
      <c r="B10" s="551"/>
      <c r="C10" s="551"/>
      <c r="D10" s="554" t="s">
        <v>233</v>
      </c>
      <c r="E10" s="555"/>
      <c r="F10" s="556"/>
      <c r="G10" s="554" t="s">
        <v>234</v>
      </c>
      <c r="H10" s="555"/>
      <c r="I10" s="556"/>
      <c r="J10" s="554" t="s">
        <v>235</v>
      </c>
      <c r="K10" s="555"/>
      <c r="L10" s="556"/>
      <c r="M10" s="559" t="s">
        <v>236</v>
      </c>
    </row>
    <row r="11" spans="1:13" ht="15.75">
      <c r="A11" s="552"/>
      <c r="B11" s="553"/>
      <c r="C11" s="553"/>
      <c r="D11" s="74" t="s">
        <v>237</v>
      </c>
      <c r="E11" s="75" t="s">
        <v>238</v>
      </c>
      <c r="F11" s="76" t="s">
        <v>239</v>
      </c>
      <c r="G11" s="75" t="s">
        <v>240</v>
      </c>
      <c r="H11" s="75" t="s">
        <v>238</v>
      </c>
      <c r="I11" s="76" t="s">
        <v>241</v>
      </c>
      <c r="J11" s="75" t="s">
        <v>240</v>
      </c>
      <c r="K11" s="76" t="s">
        <v>238</v>
      </c>
      <c r="L11" s="75" t="s">
        <v>241</v>
      </c>
      <c r="M11" s="560"/>
    </row>
    <row r="12" spans="1:13" ht="16.5" thickBot="1">
      <c r="A12" s="552"/>
      <c r="B12" s="553"/>
      <c r="C12" s="553"/>
      <c r="D12" s="77" t="s">
        <v>242</v>
      </c>
      <c r="E12" s="78" t="s">
        <v>243</v>
      </c>
      <c r="F12" s="79" t="s">
        <v>244</v>
      </c>
      <c r="G12" s="80" t="s">
        <v>242</v>
      </c>
      <c r="H12" s="78" t="s">
        <v>243</v>
      </c>
      <c r="I12" s="79" t="s">
        <v>244</v>
      </c>
      <c r="J12" s="80" t="s">
        <v>242</v>
      </c>
      <c r="K12" s="79" t="s">
        <v>243</v>
      </c>
      <c r="L12" s="78" t="s">
        <v>244</v>
      </c>
      <c r="M12" s="561"/>
    </row>
    <row r="13" spans="1:13" ht="12.75">
      <c r="A13" s="562"/>
      <c r="B13" s="563"/>
      <c r="C13" s="564"/>
      <c r="D13" s="571"/>
      <c r="E13" s="574"/>
      <c r="F13" s="577"/>
      <c r="G13" s="580"/>
      <c r="H13" s="580"/>
      <c r="I13" s="580"/>
      <c r="J13" s="574"/>
      <c r="K13" s="574"/>
      <c r="L13" s="574"/>
      <c r="M13" s="582">
        <f>L13+I13+F13</f>
        <v>0</v>
      </c>
    </row>
    <row r="14" spans="1:13" ht="12.75">
      <c r="A14" s="565"/>
      <c r="B14" s="566"/>
      <c r="C14" s="567"/>
      <c r="D14" s="572"/>
      <c r="E14" s="575"/>
      <c r="F14" s="578"/>
      <c r="G14" s="575"/>
      <c r="H14" s="575"/>
      <c r="I14" s="575"/>
      <c r="J14" s="575"/>
      <c r="K14" s="575"/>
      <c r="L14" s="575"/>
      <c r="M14" s="575"/>
    </row>
    <row r="15" spans="1:13" ht="13.5" thickBot="1">
      <c r="A15" s="568"/>
      <c r="B15" s="569"/>
      <c r="C15" s="570"/>
      <c r="D15" s="573"/>
      <c r="E15" s="576"/>
      <c r="F15" s="579"/>
      <c r="G15" s="581"/>
      <c r="H15" s="581"/>
      <c r="I15" s="581"/>
      <c r="J15" s="576"/>
      <c r="K15" s="576"/>
      <c r="L15" s="576"/>
      <c r="M15" s="576"/>
    </row>
    <row r="16" spans="1:13" ht="12.75">
      <c r="A16" s="583" t="s">
        <v>245</v>
      </c>
      <c r="B16" s="584"/>
      <c r="C16" s="585"/>
      <c r="D16" s="589"/>
      <c r="E16" s="589"/>
      <c r="F16" s="591">
        <f>SUM(F13)</f>
        <v>0</v>
      </c>
      <c r="G16" s="589"/>
      <c r="H16" s="589"/>
      <c r="I16" s="589"/>
      <c r="J16" s="589"/>
      <c r="K16" s="589"/>
      <c r="L16" s="589"/>
      <c r="M16" s="593">
        <f>M13</f>
        <v>0</v>
      </c>
    </row>
    <row r="17" spans="1:13" ht="13.5" thickBot="1">
      <c r="A17" s="586"/>
      <c r="B17" s="587"/>
      <c r="C17" s="588"/>
      <c r="D17" s="590"/>
      <c r="E17" s="590"/>
      <c r="F17" s="592"/>
      <c r="G17" s="590"/>
      <c r="H17" s="590"/>
      <c r="I17" s="590"/>
      <c r="J17" s="590"/>
      <c r="K17" s="590"/>
      <c r="L17" s="590"/>
      <c r="M17" s="590"/>
    </row>
    <row r="18" spans="1:13" ht="18.75">
      <c r="A18" s="71"/>
      <c r="B18" s="71"/>
      <c r="C18" s="71"/>
      <c r="D18" s="71"/>
      <c r="E18" s="71"/>
      <c r="F18" s="81"/>
      <c r="G18" s="71"/>
      <c r="H18" s="71"/>
      <c r="I18" s="71"/>
      <c r="J18" s="71"/>
      <c r="K18" s="71"/>
      <c r="L18" s="71"/>
      <c r="M18" s="71"/>
    </row>
    <row r="19" spans="1:13" ht="15.75">
      <c r="A19" s="72" t="s">
        <v>246</v>
      </c>
      <c r="B19" s="72"/>
      <c r="C19" s="72"/>
      <c r="D19" s="72"/>
      <c r="E19" s="72"/>
      <c r="F19" s="82"/>
      <c r="G19" s="72"/>
      <c r="H19" s="72"/>
      <c r="I19" s="72"/>
      <c r="J19" s="72"/>
      <c r="K19" s="72"/>
      <c r="L19" s="72"/>
      <c r="M19" s="72"/>
    </row>
    <row r="20" spans="1:13" ht="18.75">
      <c r="A20" s="83" t="s">
        <v>247</v>
      </c>
      <c r="B20" s="83"/>
      <c r="C20" s="83"/>
      <c r="D20" s="83"/>
      <c r="E20" s="83"/>
      <c r="F20" s="84" t="s">
        <v>248</v>
      </c>
      <c r="G20" s="85" t="s">
        <v>244</v>
      </c>
      <c r="H20" s="71"/>
      <c r="I20" s="71"/>
      <c r="J20" s="71"/>
      <c r="K20" s="71"/>
      <c r="L20" s="71"/>
      <c r="M20" s="71"/>
    </row>
    <row r="21" spans="1:13" ht="18.75">
      <c r="A21" s="83" t="s">
        <v>249</v>
      </c>
      <c r="B21" s="83"/>
      <c r="C21" s="83"/>
      <c r="D21" s="83"/>
      <c r="E21" s="83"/>
      <c r="F21" s="84"/>
      <c r="G21" s="85" t="s">
        <v>244</v>
      </c>
      <c r="H21" s="71"/>
      <c r="I21" s="71"/>
      <c r="J21" s="71"/>
      <c r="K21" s="71"/>
      <c r="L21" s="71"/>
      <c r="M21" s="71"/>
    </row>
    <row r="22" spans="1:13" ht="18.75">
      <c r="A22" s="83" t="s">
        <v>250</v>
      </c>
      <c r="B22" s="83"/>
      <c r="C22" s="83"/>
      <c r="D22" s="83"/>
      <c r="E22" s="83"/>
      <c r="F22" s="86"/>
      <c r="G22" s="87" t="s">
        <v>244</v>
      </c>
      <c r="H22" s="71"/>
      <c r="I22" s="71"/>
      <c r="J22" s="71"/>
      <c r="K22" s="71"/>
      <c r="L22" s="71"/>
      <c r="M22" s="71"/>
    </row>
    <row r="23" spans="1:13" ht="18.75">
      <c r="A23" s="83" t="s">
        <v>251</v>
      </c>
      <c r="B23" s="83"/>
      <c r="C23" s="83"/>
      <c r="D23" s="83"/>
      <c r="E23" s="83"/>
      <c r="F23" s="88">
        <f>SUM(F20:F22)</f>
        <v>0</v>
      </c>
      <c r="G23" s="89" t="s">
        <v>244</v>
      </c>
      <c r="H23" s="71"/>
      <c r="I23" s="71"/>
      <c r="J23" s="71"/>
      <c r="K23" s="71"/>
      <c r="L23" s="71"/>
      <c r="M23" s="71"/>
    </row>
    <row r="24" spans="1:13" ht="15.75">
      <c r="A24" s="72" t="s">
        <v>252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5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5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5.7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.7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8.75">
      <c r="A32" s="83"/>
      <c r="B32" s="83"/>
      <c r="C32" s="83"/>
      <c r="D32" s="83"/>
      <c r="E32" s="83"/>
      <c r="F32" s="88"/>
      <c r="G32" s="89"/>
      <c r="H32" s="71"/>
      <c r="I32" s="71"/>
      <c r="J32" s="71"/>
      <c r="K32" s="71"/>
      <c r="L32" s="71"/>
      <c r="M32" s="71"/>
    </row>
    <row r="33" spans="1:13" ht="19.5" thickBot="1">
      <c r="A33" s="83"/>
      <c r="B33" s="83"/>
      <c r="C33" s="83"/>
      <c r="D33" s="83"/>
      <c r="E33" s="83"/>
      <c r="F33" s="88"/>
      <c r="G33" s="89"/>
      <c r="H33" s="71"/>
      <c r="I33" s="71"/>
      <c r="J33" s="71"/>
      <c r="K33" s="71"/>
      <c r="L33" s="71"/>
      <c r="M33" s="71"/>
    </row>
    <row r="34" spans="1:13" ht="16.5" thickBot="1">
      <c r="A34" s="550" t="s">
        <v>232</v>
      </c>
      <c r="B34" s="551"/>
      <c r="C34" s="551"/>
      <c r="D34" s="554" t="s">
        <v>233</v>
      </c>
      <c r="E34" s="555"/>
      <c r="F34" s="556"/>
      <c r="G34" s="554" t="s">
        <v>234</v>
      </c>
      <c r="H34" s="555"/>
      <c r="I34" s="556"/>
      <c r="J34" s="554" t="s">
        <v>235</v>
      </c>
      <c r="K34" s="555"/>
      <c r="L34" s="556"/>
      <c r="M34" s="559" t="s">
        <v>253</v>
      </c>
    </row>
    <row r="35" spans="1:13" ht="15.75">
      <c r="A35" s="552"/>
      <c r="B35" s="553"/>
      <c r="C35" s="553"/>
      <c r="D35" s="74" t="s">
        <v>237</v>
      </c>
      <c r="E35" s="75" t="s">
        <v>238</v>
      </c>
      <c r="F35" s="76" t="s">
        <v>239</v>
      </c>
      <c r="G35" s="75" t="s">
        <v>240</v>
      </c>
      <c r="H35" s="75" t="s">
        <v>238</v>
      </c>
      <c r="I35" s="76" t="s">
        <v>241</v>
      </c>
      <c r="J35" s="75" t="s">
        <v>240</v>
      </c>
      <c r="K35" s="76" t="s">
        <v>238</v>
      </c>
      <c r="L35" s="75" t="s">
        <v>241</v>
      </c>
      <c r="M35" s="560"/>
    </row>
    <row r="36" spans="1:13" ht="16.5" thickBot="1">
      <c r="A36" s="552"/>
      <c r="B36" s="553"/>
      <c r="C36" s="553"/>
      <c r="D36" s="77" t="s">
        <v>242</v>
      </c>
      <c r="E36" s="78" t="s">
        <v>243</v>
      </c>
      <c r="F36" s="79" t="s">
        <v>244</v>
      </c>
      <c r="G36" s="80" t="s">
        <v>242</v>
      </c>
      <c r="H36" s="78" t="s">
        <v>243</v>
      </c>
      <c r="I36" s="79" t="s">
        <v>244</v>
      </c>
      <c r="J36" s="80" t="s">
        <v>242</v>
      </c>
      <c r="K36" s="79" t="s">
        <v>243</v>
      </c>
      <c r="L36" s="78" t="s">
        <v>244</v>
      </c>
      <c r="M36" s="561"/>
    </row>
    <row r="37" spans="1:13" ht="12.75">
      <c r="A37" s="562" t="s">
        <v>254</v>
      </c>
      <c r="B37" s="563"/>
      <c r="C37" s="564"/>
      <c r="D37" s="571" t="s">
        <v>255</v>
      </c>
      <c r="E37" s="574"/>
      <c r="F37" s="577">
        <v>84</v>
      </c>
      <c r="G37" s="580"/>
      <c r="H37" s="580"/>
      <c r="I37" s="580"/>
      <c r="J37" s="574"/>
      <c r="K37" s="574"/>
      <c r="L37" s="574"/>
      <c r="M37" s="582">
        <f>L37+I37+F37</f>
        <v>84</v>
      </c>
    </row>
    <row r="38" spans="1:13" ht="12.75">
      <c r="A38" s="565"/>
      <c r="B38" s="566"/>
      <c r="C38" s="567"/>
      <c r="D38" s="572"/>
      <c r="E38" s="575"/>
      <c r="F38" s="578"/>
      <c r="G38" s="575"/>
      <c r="H38" s="575"/>
      <c r="I38" s="575"/>
      <c r="J38" s="575"/>
      <c r="K38" s="575"/>
      <c r="L38" s="575"/>
      <c r="M38" s="575"/>
    </row>
    <row r="39" spans="1:13" ht="12.75">
      <c r="A39" s="568"/>
      <c r="B39" s="569"/>
      <c r="C39" s="570"/>
      <c r="D39" s="573"/>
      <c r="E39" s="576"/>
      <c r="F39" s="579"/>
      <c r="G39" s="575"/>
      <c r="H39" s="575"/>
      <c r="I39" s="575"/>
      <c r="J39" s="576"/>
      <c r="K39" s="576"/>
      <c r="L39" s="576"/>
      <c r="M39" s="576"/>
    </row>
    <row r="40" spans="1:13" ht="12.75">
      <c r="A40" s="562" t="s">
        <v>256</v>
      </c>
      <c r="B40" s="563"/>
      <c r="C40" s="564"/>
      <c r="D40" s="571" t="s">
        <v>257</v>
      </c>
      <c r="E40" s="574"/>
      <c r="F40" s="577"/>
      <c r="G40" s="594"/>
      <c r="H40" s="594"/>
      <c r="I40" s="594"/>
      <c r="J40" s="574"/>
      <c r="K40" s="574"/>
      <c r="L40" s="574"/>
      <c r="M40" s="582">
        <f>L40+I40+F40</f>
        <v>0</v>
      </c>
    </row>
    <row r="41" spans="1:13" ht="12.75">
      <c r="A41" s="565"/>
      <c r="B41" s="566"/>
      <c r="C41" s="567"/>
      <c r="D41" s="572"/>
      <c r="E41" s="575"/>
      <c r="F41" s="578"/>
      <c r="G41" s="594"/>
      <c r="H41" s="594"/>
      <c r="I41" s="594"/>
      <c r="J41" s="575"/>
      <c r="K41" s="575"/>
      <c r="L41" s="575"/>
      <c r="M41" s="575"/>
    </row>
    <row r="42" spans="1:13" ht="12.75">
      <c r="A42" s="568"/>
      <c r="B42" s="569"/>
      <c r="C42" s="570"/>
      <c r="D42" s="573"/>
      <c r="E42" s="576"/>
      <c r="F42" s="579"/>
      <c r="G42" s="594"/>
      <c r="H42" s="594"/>
      <c r="I42" s="594"/>
      <c r="J42" s="576"/>
      <c r="K42" s="576"/>
      <c r="L42" s="576"/>
      <c r="M42" s="576"/>
    </row>
    <row r="43" spans="1:13" ht="12.75">
      <c r="A43" s="562" t="s">
        <v>258</v>
      </c>
      <c r="B43" s="563"/>
      <c r="C43" s="564"/>
      <c r="D43" s="571" t="s">
        <v>259</v>
      </c>
      <c r="E43" s="574"/>
      <c r="F43" s="577"/>
      <c r="G43" s="594"/>
      <c r="H43" s="594"/>
      <c r="I43" s="594"/>
      <c r="J43" s="574"/>
      <c r="K43" s="574"/>
      <c r="L43" s="574"/>
      <c r="M43" s="582">
        <f>L43+I43+F43</f>
        <v>0</v>
      </c>
    </row>
    <row r="44" spans="1:13" ht="12.75">
      <c r="A44" s="565"/>
      <c r="B44" s="566"/>
      <c r="C44" s="567"/>
      <c r="D44" s="572"/>
      <c r="E44" s="575"/>
      <c r="F44" s="578"/>
      <c r="G44" s="594"/>
      <c r="H44" s="594"/>
      <c r="I44" s="594"/>
      <c r="J44" s="575"/>
      <c r="K44" s="575"/>
      <c r="L44" s="575"/>
      <c r="M44" s="575"/>
    </row>
    <row r="45" spans="1:13" ht="12.75">
      <c r="A45" s="568"/>
      <c r="B45" s="569"/>
      <c r="C45" s="570"/>
      <c r="D45" s="573"/>
      <c r="E45" s="576"/>
      <c r="F45" s="579"/>
      <c r="G45" s="594"/>
      <c r="H45" s="594"/>
      <c r="I45" s="594"/>
      <c r="J45" s="576"/>
      <c r="K45" s="576"/>
      <c r="L45" s="576"/>
      <c r="M45" s="576"/>
    </row>
    <row r="46" spans="1:13" ht="12.75">
      <c r="A46" s="562" t="s">
        <v>260</v>
      </c>
      <c r="B46" s="563"/>
      <c r="C46" s="564"/>
      <c r="D46" s="571"/>
      <c r="E46" s="574"/>
      <c r="F46" s="577"/>
      <c r="G46" s="596" t="s">
        <v>261</v>
      </c>
      <c r="H46" s="594"/>
      <c r="I46" s="595"/>
      <c r="J46" s="574"/>
      <c r="K46" s="574"/>
      <c r="L46" s="574"/>
      <c r="M46" s="582">
        <f>L46+I46+F46</f>
        <v>0</v>
      </c>
    </row>
    <row r="47" spans="1:13" ht="12.75">
      <c r="A47" s="565"/>
      <c r="B47" s="566"/>
      <c r="C47" s="567"/>
      <c r="D47" s="572"/>
      <c r="E47" s="575"/>
      <c r="F47" s="578"/>
      <c r="G47" s="596"/>
      <c r="H47" s="594"/>
      <c r="I47" s="595"/>
      <c r="J47" s="575"/>
      <c r="K47" s="575"/>
      <c r="L47" s="575"/>
      <c r="M47" s="575"/>
    </row>
    <row r="48" spans="1:13" ht="12.75">
      <c r="A48" s="568"/>
      <c r="B48" s="569"/>
      <c r="C48" s="570"/>
      <c r="D48" s="573"/>
      <c r="E48" s="576"/>
      <c r="F48" s="579"/>
      <c r="G48" s="596"/>
      <c r="H48" s="594"/>
      <c r="I48" s="595"/>
      <c r="J48" s="576"/>
      <c r="K48" s="576"/>
      <c r="L48" s="576"/>
      <c r="M48" s="576"/>
    </row>
    <row r="49" spans="1:13" ht="12.75">
      <c r="A49" s="562" t="s">
        <v>260</v>
      </c>
      <c r="B49" s="563"/>
      <c r="C49" s="564"/>
      <c r="D49" s="571"/>
      <c r="E49" s="574"/>
      <c r="F49" s="577"/>
      <c r="G49" s="596" t="s">
        <v>262</v>
      </c>
      <c r="H49" s="594"/>
      <c r="I49" s="595"/>
      <c r="J49" s="574"/>
      <c r="K49" s="574"/>
      <c r="L49" s="574"/>
      <c r="M49" s="582">
        <f>L49+I49+F49</f>
        <v>0</v>
      </c>
    </row>
    <row r="50" spans="1:13" ht="12.75">
      <c r="A50" s="565"/>
      <c r="B50" s="566"/>
      <c r="C50" s="567"/>
      <c r="D50" s="572"/>
      <c r="E50" s="575"/>
      <c r="F50" s="578"/>
      <c r="G50" s="596"/>
      <c r="H50" s="594"/>
      <c r="I50" s="595"/>
      <c r="J50" s="575"/>
      <c r="K50" s="575"/>
      <c r="L50" s="575"/>
      <c r="M50" s="575"/>
    </row>
    <row r="51" spans="1:13" ht="12.75">
      <c r="A51" s="568"/>
      <c r="B51" s="569"/>
      <c r="C51" s="570"/>
      <c r="D51" s="573"/>
      <c r="E51" s="576"/>
      <c r="F51" s="579"/>
      <c r="G51" s="596"/>
      <c r="H51" s="594"/>
      <c r="I51" s="595"/>
      <c r="J51" s="576"/>
      <c r="K51" s="576"/>
      <c r="L51" s="576"/>
      <c r="M51" s="576"/>
    </row>
    <row r="52" spans="1:13" ht="12.75">
      <c r="A52" s="562" t="s">
        <v>260</v>
      </c>
      <c r="B52" s="563"/>
      <c r="C52" s="564"/>
      <c r="D52" s="571"/>
      <c r="E52" s="574"/>
      <c r="F52" s="577"/>
      <c r="G52" s="596" t="s">
        <v>263</v>
      </c>
      <c r="H52" s="594"/>
      <c r="I52" s="595">
        <v>7</v>
      </c>
      <c r="J52" s="574"/>
      <c r="K52" s="574"/>
      <c r="L52" s="574"/>
      <c r="M52" s="582">
        <f>L52+I52+F52</f>
        <v>7</v>
      </c>
    </row>
    <row r="53" spans="1:13" ht="12.75">
      <c r="A53" s="565"/>
      <c r="B53" s="566"/>
      <c r="C53" s="567"/>
      <c r="D53" s="572"/>
      <c r="E53" s="575"/>
      <c r="F53" s="578"/>
      <c r="G53" s="596"/>
      <c r="H53" s="594"/>
      <c r="I53" s="595"/>
      <c r="J53" s="575"/>
      <c r="K53" s="575"/>
      <c r="L53" s="575"/>
      <c r="M53" s="575"/>
    </row>
    <row r="54" spans="1:13" ht="12.75">
      <c r="A54" s="568"/>
      <c r="B54" s="569"/>
      <c r="C54" s="570"/>
      <c r="D54" s="573"/>
      <c r="E54" s="576"/>
      <c r="F54" s="579"/>
      <c r="G54" s="596"/>
      <c r="H54" s="594"/>
      <c r="I54" s="595"/>
      <c r="J54" s="576"/>
      <c r="K54" s="576"/>
      <c r="L54" s="576"/>
      <c r="M54" s="576"/>
    </row>
    <row r="55" spans="1:13" ht="12.75">
      <c r="A55" s="562" t="s">
        <v>260</v>
      </c>
      <c r="B55" s="563"/>
      <c r="C55" s="564"/>
      <c r="D55" s="571"/>
      <c r="E55" s="574"/>
      <c r="F55" s="577"/>
      <c r="G55" s="596" t="s">
        <v>264</v>
      </c>
      <c r="H55" s="594"/>
      <c r="I55" s="595"/>
      <c r="J55" s="574"/>
      <c r="K55" s="574"/>
      <c r="L55" s="574"/>
      <c r="M55" s="582">
        <f>L55+I55+F55</f>
        <v>0</v>
      </c>
    </row>
    <row r="56" spans="1:13" ht="12.75">
      <c r="A56" s="565"/>
      <c r="B56" s="566"/>
      <c r="C56" s="567"/>
      <c r="D56" s="572"/>
      <c r="E56" s="575"/>
      <c r="F56" s="578"/>
      <c r="G56" s="596"/>
      <c r="H56" s="594"/>
      <c r="I56" s="595"/>
      <c r="J56" s="575"/>
      <c r="K56" s="575"/>
      <c r="L56" s="575"/>
      <c r="M56" s="575"/>
    </row>
    <row r="57" spans="1:13" ht="13.5" thickBot="1">
      <c r="A57" s="568"/>
      <c r="B57" s="569"/>
      <c r="C57" s="570"/>
      <c r="D57" s="573"/>
      <c r="E57" s="576"/>
      <c r="F57" s="579"/>
      <c r="G57" s="596"/>
      <c r="H57" s="594"/>
      <c r="I57" s="595"/>
      <c r="J57" s="576"/>
      <c r="K57" s="576"/>
      <c r="L57" s="576"/>
      <c r="M57" s="576"/>
    </row>
    <row r="58" spans="1:13" ht="12.75">
      <c r="A58" s="583" t="s">
        <v>245</v>
      </c>
      <c r="B58" s="584"/>
      <c r="C58" s="585"/>
      <c r="D58" s="589"/>
      <c r="E58" s="589"/>
      <c r="F58" s="591">
        <f>SUM(F37:F57)</f>
        <v>84</v>
      </c>
      <c r="G58" s="589"/>
      <c r="H58" s="589"/>
      <c r="I58" s="593">
        <f>SUM(I46:I57)</f>
        <v>7</v>
      </c>
      <c r="J58" s="589"/>
      <c r="K58" s="589"/>
      <c r="L58" s="589"/>
      <c r="M58" s="593">
        <f>SUM(M37:M57)</f>
        <v>91</v>
      </c>
    </row>
    <row r="59" spans="1:13" ht="13.5" thickBot="1">
      <c r="A59" s="586"/>
      <c r="B59" s="587"/>
      <c r="C59" s="588"/>
      <c r="D59" s="590"/>
      <c r="E59" s="590"/>
      <c r="F59" s="592"/>
      <c r="G59" s="590"/>
      <c r="H59" s="590"/>
      <c r="I59" s="590"/>
      <c r="J59" s="590"/>
      <c r="K59" s="590"/>
      <c r="L59" s="590"/>
      <c r="M59" s="590"/>
    </row>
    <row r="60" spans="1:13" ht="15.75">
      <c r="A60" s="90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15.75">
      <c r="A61" s="9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5.75">
      <c r="A62" s="90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5.75">
      <c r="A63" s="90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ht="15.75" customHeight="1">
      <c r="A64" s="90" t="s">
        <v>265</v>
      </c>
      <c r="B64" s="73"/>
      <c r="C64" s="73"/>
      <c r="D64" s="73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5.75">
      <c r="A65" s="90" t="s">
        <v>266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9" customHeight="1" thickBo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550" t="s">
        <v>232</v>
      </c>
      <c r="B67" s="551"/>
      <c r="C67" s="551"/>
      <c r="D67" s="550" t="s">
        <v>267</v>
      </c>
      <c r="E67" s="559"/>
      <c r="F67" s="550" t="s">
        <v>268</v>
      </c>
      <c r="G67" s="559"/>
      <c r="H67" s="550" t="s">
        <v>269</v>
      </c>
      <c r="I67" s="559"/>
      <c r="J67" s="550" t="s">
        <v>270</v>
      </c>
      <c r="K67" s="559"/>
      <c r="L67" s="1"/>
      <c r="M67" s="1"/>
    </row>
    <row r="68" spans="1:13" ht="12.75">
      <c r="A68" s="552"/>
      <c r="B68" s="553"/>
      <c r="C68" s="553"/>
      <c r="D68" s="552"/>
      <c r="E68" s="560"/>
      <c r="F68" s="552"/>
      <c r="G68" s="560"/>
      <c r="H68" s="552"/>
      <c r="I68" s="560"/>
      <c r="J68" s="552"/>
      <c r="K68" s="560"/>
      <c r="L68" s="1"/>
      <c r="M68" s="1"/>
    </row>
    <row r="69" spans="1:13" ht="3.75" customHeight="1" thickBot="1">
      <c r="A69" s="597"/>
      <c r="B69" s="600"/>
      <c r="C69" s="600"/>
      <c r="D69" s="597"/>
      <c r="E69" s="561"/>
      <c r="F69" s="597"/>
      <c r="G69" s="561"/>
      <c r="H69" s="597"/>
      <c r="I69" s="561"/>
      <c r="J69" s="597"/>
      <c r="K69" s="561"/>
      <c r="L69" s="1"/>
      <c r="M69" s="1"/>
    </row>
    <row r="70" spans="1:13" ht="16.5" thickBot="1">
      <c r="A70" s="575" t="s">
        <v>271</v>
      </c>
      <c r="B70" s="575"/>
      <c r="C70" s="575"/>
      <c r="D70" s="575" t="s">
        <v>248</v>
      </c>
      <c r="E70" s="575"/>
      <c r="F70" s="598" t="s">
        <v>248</v>
      </c>
      <c r="G70" s="599"/>
      <c r="H70" s="598" t="s">
        <v>248</v>
      </c>
      <c r="I70" s="599"/>
      <c r="J70" s="575" t="s">
        <v>248</v>
      </c>
      <c r="K70" s="575"/>
      <c r="L70" s="91"/>
      <c r="M70" s="73"/>
    </row>
    <row r="71" spans="1:13" ht="12.75">
      <c r="A71" s="583" t="s">
        <v>245</v>
      </c>
      <c r="B71" s="584"/>
      <c r="C71" s="585"/>
      <c r="D71" s="583"/>
      <c r="E71" s="585"/>
      <c r="F71" s="583"/>
      <c r="G71" s="585"/>
      <c r="H71" s="583"/>
      <c r="I71" s="585"/>
      <c r="J71" s="583" t="s">
        <v>248</v>
      </c>
      <c r="K71" s="585"/>
      <c r="L71" s="601"/>
      <c r="M71" s="601"/>
    </row>
    <row r="72" spans="1:13" ht="3.75" customHeight="1" thickBot="1">
      <c r="A72" s="586"/>
      <c r="B72" s="587"/>
      <c r="C72" s="588"/>
      <c r="D72" s="586"/>
      <c r="E72" s="588"/>
      <c r="F72" s="586"/>
      <c r="G72" s="588"/>
      <c r="H72" s="586"/>
      <c r="I72" s="588"/>
      <c r="J72" s="586"/>
      <c r="K72" s="588"/>
      <c r="L72" s="601"/>
      <c r="M72" s="60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90" t="s">
        <v>272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50" t="s">
        <v>232</v>
      </c>
      <c r="B76" s="551"/>
      <c r="C76" s="551"/>
      <c r="D76" s="550" t="s">
        <v>267</v>
      </c>
      <c r="E76" s="559"/>
      <c r="F76" s="550" t="s">
        <v>273</v>
      </c>
      <c r="G76" s="559"/>
      <c r="H76" s="550" t="s">
        <v>269</v>
      </c>
      <c r="I76" s="559"/>
      <c r="J76" s="550" t="s">
        <v>270</v>
      </c>
      <c r="K76" s="559"/>
      <c r="L76" s="1"/>
      <c r="M76" s="1"/>
    </row>
    <row r="77" spans="1:13" ht="12.75">
      <c r="A77" s="552"/>
      <c r="B77" s="553"/>
      <c r="C77" s="553"/>
      <c r="D77" s="552"/>
      <c r="E77" s="560"/>
      <c r="F77" s="552"/>
      <c r="G77" s="560"/>
      <c r="H77" s="552"/>
      <c r="I77" s="560"/>
      <c r="J77" s="552"/>
      <c r="K77" s="560"/>
      <c r="L77" s="1"/>
      <c r="M77" s="1"/>
    </row>
    <row r="78" spans="1:13" ht="13.5" thickBot="1">
      <c r="A78" s="597"/>
      <c r="B78" s="600"/>
      <c r="C78" s="600"/>
      <c r="D78" s="597"/>
      <c r="E78" s="561"/>
      <c r="F78" s="597"/>
      <c r="G78" s="561"/>
      <c r="H78" s="597"/>
      <c r="I78" s="561"/>
      <c r="J78" s="597"/>
      <c r="K78" s="561"/>
      <c r="L78" s="1"/>
      <c r="M78" s="1"/>
    </row>
    <row r="79" spans="1:13" ht="16.5" thickBot="1">
      <c r="A79" s="575" t="s">
        <v>274</v>
      </c>
      <c r="B79" s="575"/>
      <c r="C79" s="575"/>
      <c r="D79" s="575"/>
      <c r="E79" s="575"/>
      <c r="F79" s="620" t="s">
        <v>248</v>
      </c>
      <c r="G79" s="621"/>
      <c r="H79" s="620"/>
      <c r="I79" s="621"/>
      <c r="J79" s="578"/>
      <c r="K79" s="578"/>
      <c r="L79" s="91"/>
      <c r="M79" s="73"/>
    </row>
    <row r="80" spans="1:13" ht="12.75">
      <c r="A80" s="602" t="s">
        <v>245</v>
      </c>
      <c r="B80" s="603"/>
      <c r="C80" s="604"/>
      <c r="D80" s="608"/>
      <c r="E80" s="609"/>
      <c r="F80" s="612">
        <f>SUM(F79)</f>
        <v>0</v>
      </c>
      <c r="G80" s="613"/>
      <c r="H80" s="616">
        <f>SUM(H79)</f>
        <v>0</v>
      </c>
      <c r="I80" s="617"/>
      <c r="J80" s="616">
        <f>SUM(J79)</f>
        <v>0</v>
      </c>
      <c r="K80" s="617"/>
      <c r="L80" s="622"/>
      <c r="M80" s="622"/>
    </row>
    <row r="81" spans="1:13" ht="6.75" customHeight="1" thickBot="1">
      <c r="A81" s="605"/>
      <c r="B81" s="606"/>
      <c r="C81" s="607"/>
      <c r="D81" s="610"/>
      <c r="E81" s="611"/>
      <c r="F81" s="614"/>
      <c r="G81" s="615"/>
      <c r="H81" s="618"/>
      <c r="I81" s="619"/>
      <c r="J81" s="618"/>
      <c r="K81" s="619"/>
      <c r="L81" s="622"/>
      <c r="M81" s="622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90" t="s">
        <v>275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50" t="s">
        <v>232</v>
      </c>
      <c r="B85" s="551"/>
      <c r="C85" s="551"/>
      <c r="D85" s="550" t="s">
        <v>267</v>
      </c>
      <c r="E85" s="559"/>
      <c r="F85" s="550" t="s">
        <v>268</v>
      </c>
      <c r="G85" s="559"/>
      <c r="H85" s="550" t="s">
        <v>269</v>
      </c>
      <c r="I85" s="559"/>
      <c r="J85" s="550" t="s">
        <v>270</v>
      </c>
      <c r="K85" s="559"/>
      <c r="L85" s="1"/>
      <c r="M85" s="1"/>
    </row>
    <row r="86" spans="1:13" ht="12.75">
      <c r="A86" s="552"/>
      <c r="B86" s="553"/>
      <c r="C86" s="553"/>
      <c r="D86" s="552"/>
      <c r="E86" s="560"/>
      <c r="F86" s="552"/>
      <c r="G86" s="560"/>
      <c r="H86" s="552"/>
      <c r="I86" s="560"/>
      <c r="J86" s="552"/>
      <c r="K86" s="560"/>
      <c r="L86" s="1"/>
      <c r="M86" s="1"/>
    </row>
    <row r="87" spans="1:13" ht="10.5" customHeight="1" thickBot="1">
      <c r="A87" s="597"/>
      <c r="B87" s="600"/>
      <c r="C87" s="600"/>
      <c r="D87" s="597"/>
      <c r="E87" s="561"/>
      <c r="F87" s="597"/>
      <c r="G87" s="561"/>
      <c r="H87" s="597"/>
      <c r="I87" s="561"/>
      <c r="J87" s="597"/>
      <c r="K87" s="561"/>
      <c r="L87" s="1"/>
      <c r="M87" s="1"/>
    </row>
    <row r="88" spans="1:13" ht="16.5" thickBot="1">
      <c r="A88" s="575" t="s">
        <v>274</v>
      </c>
      <c r="B88" s="575"/>
      <c r="C88" s="575"/>
      <c r="D88" s="575"/>
      <c r="E88" s="575"/>
      <c r="F88" s="598" t="s">
        <v>248</v>
      </c>
      <c r="G88" s="599"/>
      <c r="H88" s="598"/>
      <c r="I88" s="599"/>
      <c r="J88" s="575"/>
      <c r="K88" s="575"/>
      <c r="L88" s="91"/>
      <c r="M88" s="73"/>
    </row>
    <row r="89" spans="1:13" ht="12.75">
      <c r="A89" s="602" t="s">
        <v>245</v>
      </c>
      <c r="B89" s="603"/>
      <c r="C89" s="604"/>
      <c r="D89" s="608"/>
      <c r="E89" s="609"/>
      <c r="F89" s="608"/>
      <c r="G89" s="609"/>
      <c r="H89" s="583">
        <f>SUM(H88)</f>
        <v>0</v>
      </c>
      <c r="I89" s="585"/>
      <c r="J89" s="583">
        <f>SUM(J88)</f>
        <v>0</v>
      </c>
      <c r="K89" s="585"/>
      <c r="L89" s="622"/>
      <c r="M89" s="622"/>
    </row>
    <row r="90" spans="1:13" ht="5.25" customHeight="1" thickBot="1">
      <c r="A90" s="605"/>
      <c r="B90" s="606"/>
      <c r="C90" s="607"/>
      <c r="D90" s="610"/>
      <c r="E90" s="611"/>
      <c r="F90" s="610"/>
      <c r="G90" s="611"/>
      <c r="H90" s="586"/>
      <c r="I90" s="588"/>
      <c r="J90" s="586"/>
      <c r="K90" s="588"/>
      <c r="L90" s="622"/>
      <c r="M90" s="622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90" t="s">
        <v>276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50" t="s">
        <v>232</v>
      </c>
      <c r="B94" s="551"/>
      <c r="C94" s="551"/>
      <c r="D94" s="550" t="s">
        <v>267</v>
      </c>
      <c r="E94" s="559"/>
      <c r="F94" s="550" t="s">
        <v>268</v>
      </c>
      <c r="G94" s="559"/>
      <c r="H94" s="550" t="s">
        <v>269</v>
      </c>
      <c r="I94" s="559"/>
      <c r="J94" s="550" t="s">
        <v>270</v>
      </c>
      <c r="K94" s="559"/>
      <c r="L94" s="1"/>
      <c r="M94" s="1"/>
    </row>
    <row r="95" spans="1:13" ht="12.75">
      <c r="A95" s="552"/>
      <c r="B95" s="553"/>
      <c r="C95" s="553"/>
      <c r="D95" s="552"/>
      <c r="E95" s="560"/>
      <c r="F95" s="552"/>
      <c r="G95" s="560"/>
      <c r="H95" s="552"/>
      <c r="I95" s="560"/>
      <c r="J95" s="552"/>
      <c r="K95" s="560"/>
      <c r="L95" s="1"/>
      <c r="M95" s="1"/>
    </row>
    <row r="96" spans="1:13" ht="10.5" customHeight="1" thickBot="1">
      <c r="A96" s="597"/>
      <c r="B96" s="600"/>
      <c r="C96" s="600"/>
      <c r="D96" s="597"/>
      <c r="E96" s="561"/>
      <c r="F96" s="597"/>
      <c r="G96" s="561"/>
      <c r="H96" s="597"/>
      <c r="I96" s="561"/>
      <c r="J96" s="597"/>
      <c r="K96" s="561"/>
      <c r="L96" s="1"/>
      <c r="M96" s="1"/>
    </row>
    <row r="97" spans="1:13" ht="16.5" thickBot="1">
      <c r="A97" s="575" t="s">
        <v>274</v>
      </c>
      <c r="B97" s="575"/>
      <c r="C97" s="575"/>
      <c r="D97" s="575"/>
      <c r="E97" s="575"/>
      <c r="F97" s="598" t="s">
        <v>248</v>
      </c>
      <c r="G97" s="599"/>
      <c r="H97" s="598"/>
      <c r="I97" s="599"/>
      <c r="J97" s="575"/>
      <c r="K97" s="575"/>
      <c r="L97" s="91"/>
      <c r="M97" s="73"/>
    </row>
    <row r="98" spans="1:13" ht="12.75">
      <c r="A98" s="602" t="s">
        <v>245</v>
      </c>
      <c r="B98" s="603"/>
      <c r="C98" s="604"/>
      <c r="D98" s="608"/>
      <c r="E98" s="609"/>
      <c r="F98" s="608"/>
      <c r="G98" s="609"/>
      <c r="H98" s="583">
        <f>SUM(H97)</f>
        <v>0</v>
      </c>
      <c r="I98" s="585"/>
      <c r="J98" s="583">
        <f>SUM(J97)</f>
        <v>0</v>
      </c>
      <c r="K98" s="585"/>
      <c r="L98" s="622"/>
      <c r="M98" s="622"/>
    </row>
    <row r="99" spans="1:13" ht="7.5" customHeight="1" thickBot="1">
      <c r="A99" s="605"/>
      <c r="B99" s="606"/>
      <c r="C99" s="607"/>
      <c r="D99" s="610"/>
      <c r="E99" s="611"/>
      <c r="F99" s="610"/>
      <c r="G99" s="611"/>
      <c r="H99" s="586"/>
      <c r="I99" s="588"/>
      <c r="J99" s="586"/>
      <c r="K99" s="588"/>
      <c r="L99" s="622"/>
      <c r="M99" s="622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 password="AF00" sheet="1"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3:J28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415" t="s">
        <v>475</v>
      </c>
      <c r="B3" s="415"/>
      <c r="C3" s="415"/>
      <c r="D3" s="415"/>
      <c r="E3" s="415"/>
      <c r="F3" s="415"/>
      <c r="G3" s="415"/>
    </row>
    <row r="5" spans="1:7" ht="12.75">
      <c r="A5" s="623" t="s">
        <v>371</v>
      </c>
      <c r="B5" s="624"/>
      <c r="C5" s="624"/>
      <c r="D5" s="624"/>
      <c r="E5" s="624"/>
      <c r="F5" s="624"/>
      <c r="G5" s="624"/>
    </row>
    <row r="6" spans="1:7" ht="12.75">
      <c r="A6" s="623" t="s">
        <v>372</v>
      </c>
      <c r="B6" s="623"/>
      <c r="C6" s="623"/>
      <c r="D6" s="623"/>
      <c r="E6" s="623"/>
      <c r="F6" s="623"/>
      <c r="G6" s="623"/>
    </row>
    <row r="7" spans="1:7" ht="12.75">
      <c r="A7" s="623" t="s">
        <v>468</v>
      </c>
      <c r="B7" s="623"/>
      <c r="C7" s="623"/>
      <c r="D7" s="623"/>
      <c r="E7" s="623"/>
      <c r="F7" s="623"/>
      <c r="G7" s="623"/>
    </row>
    <row r="8" spans="1:7" ht="12.75">
      <c r="A8" s="642"/>
      <c r="B8" s="642"/>
      <c r="C8" s="642"/>
      <c r="D8" s="642"/>
      <c r="E8" s="642"/>
      <c r="F8" s="642"/>
      <c r="G8" s="642"/>
    </row>
    <row r="9" spans="3:10" ht="13.5" thickBot="1">
      <c r="C9" s="415" t="s">
        <v>383</v>
      </c>
      <c r="D9" s="415"/>
      <c r="E9" s="415"/>
      <c r="F9" s="415"/>
      <c r="G9" s="415"/>
      <c r="H9" s="129"/>
      <c r="I9" s="129"/>
      <c r="J9" s="129"/>
    </row>
    <row r="10" spans="1:7" ht="25.5" customHeight="1">
      <c r="A10" s="638" t="s">
        <v>370</v>
      </c>
      <c r="B10" s="628" t="s">
        <v>357</v>
      </c>
      <c r="C10" s="631" t="s">
        <v>358</v>
      </c>
      <c r="D10" s="631"/>
      <c r="E10" s="631"/>
      <c r="F10" s="632" t="s">
        <v>295</v>
      </c>
      <c r="G10" s="633"/>
    </row>
    <row r="11" spans="1:7" ht="12.75" customHeight="1">
      <c r="A11" s="639"/>
      <c r="B11" s="629"/>
      <c r="C11" s="134" t="s">
        <v>471</v>
      </c>
      <c r="D11" s="134" t="s">
        <v>470</v>
      </c>
      <c r="E11" s="134" t="s">
        <v>469</v>
      </c>
      <c r="F11" s="634"/>
      <c r="G11" s="635"/>
    </row>
    <row r="12" spans="1:7" ht="15" customHeight="1" thickBot="1">
      <c r="A12" s="640"/>
      <c r="B12" s="630"/>
      <c r="C12" s="135"/>
      <c r="D12" s="136" t="s">
        <v>369</v>
      </c>
      <c r="E12" s="135"/>
      <c r="F12" s="636"/>
      <c r="G12" s="637"/>
    </row>
    <row r="13" spans="1:7" ht="17.25" customHeight="1">
      <c r="A13" t="s">
        <v>18</v>
      </c>
      <c r="B13" t="s">
        <v>359</v>
      </c>
      <c r="C13" s="130">
        <v>1100000</v>
      </c>
      <c r="D13" s="130">
        <v>1100000</v>
      </c>
      <c r="E13" s="130">
        <v>1100000</v>
      </c>
      <c r="F13" s="625">
        <f>C13+D13+E13</f>
        <v>3300000</v>
      </c>
      <c r="G13" s="625"/>
    </row>
    <row r="14" spans="1:2" ht="28.5" customHeight="1">
      <c r="A14" s="132" t="s">
        <v>19</v>
      </c>
      <c r="B14" s="131" t="s">
        <v>360</v>
      </c>
    </row>
    <row r="15" spans="1:2" ht="12.75">
      <c r="A15" t="s">
        <v>20</v>
      </c>
      <c r="B15" t="s">
        <v>361</v>
      </c>
    </row>
    <row r="16" spans="1:3" ht="28.5" customHeight="1">
      <c r="A16" s="132" t="s">
        <v>21</v>
      </c>
      <c r="B16" s="131" t="s">
        <v>362</v>
      </c>
      <c r="C16" s="131"/>
    </row>
    <row r="17" spans="1:7" ht="12.75">
      <c r="A17" t="s">
        <v>22</v>
      </c>
      <c r="B17" t="s">
        <v>363</v>
      </c>
      <c r="C17" s="140">
        <v>20000</v>
      </c>
      <c r="D17" s="140">
        <v>20000</v>
      </c>
      <c r="E17" s="140">
        <v>20000</v>
      </c>
      <c r="F17" s="626">
        <f>C17++D17+E17</f>
        <v>60000</v>
      </c>
      <c r="G17" s="626"/>
    </row>
    <row r="18" spans="1:7" ht="12.75">
      <c r="A18" t="s">
        <v>23</v>
      </c>
      <c r="B18" t="s">
        <v>373</v>
      </c>
      <c r="C18" s="141"/>
      <c r="D18" s="141"/>
      <c r="E18" s="141"/>
      <c r="F18" s="141"/>
      <c r="G18" s="141"/>
    </row>
    <row r="19" spans="1:7" ht="12.75">
      <c r="A19" t="s">
        <v>25</v>
      </c>
      <c r="B19" s="133" t="s">
        <v>364</v>
      </c>
      <c r="C19" s="142">
        <v>1120000</v>
      </c>
      <c r="D19" s="142">
        <v>1120000</v>
      </c>
      <c r="E19" s="142">
        <v>112000</v>
      </c>
      <c r="F19" s="627">
        <f>F13+F17</f>
        <v>3360000</v>
      </c>
      <c r="G19" s="627"/>
    </row>
    <row r="20" spans="1:7" ht="18" customHeight="1">
      <c r="A20" s="137" t="s">
        <v>26</v>
      </c>
      <c r="B20" s="137" t="s">
        <v>365</v>
      </c>
      <c r="C20" s="143">
        <v>560000</v>
      </c>
      <c r="D20" s="143">
        <v>560000</v>
      </c>
      <c r="E20" s="143">
        <v>560000</v>
      </c>
      <c r="F20" s="641">
        <f>C20+D20+E20</f>
        <v>1680000</v>
      </c>
      <c r="G20" s="626"/>
    </row>
    <row r="21" spans="1:7" ht="17.25" customHeight="1">
      <c r="A21" t="s">
        <v>27</v>
      </c>
      <c r="B21" s="131" t="s">
        <v>374</v>
      </c>
      <c r="C21" s="140"/>
      <c r="D21" s="140"/>
      <c r="E21" s="140"/>
      <c r="F21" s="140"/>
      <c r="G21" s="140"/>
    </row>
    <row r="22" spans="1:7" ht="12.75">
      <c r="A22" t="s">
        <v>28</v>
      </c>
      <c r="B22" s="131" t="s">
        <v>375</v>
      </c>
      <c r="C22" s="140"/>
      <c r="D22" s="140"/>
      <c r="E22" s="140"/>
      <c r="F22" s="140"/>
      <c r="G22" s="140"/>
    </row>
    <row r="23" spans="1:7" ht="12.75">
      <c r="A23" t="s">
        <v>30</v>
      </c>
      <c r="B23" t="s">
        <v>376</v>
      </c>
      <c r="C23" s="140"/>
      <c r="D23" s="140"/>
      <c r="E23" s="140"/>
      <c r="F23" s="140"/>
      <c r="G23" s="140"/>
    </row>
    <row r="24" spans="1:7" ht="12.75">
      <c r="A24" t="s">
        <v>31</v>
      </c>
      <c r="B24" t="s">
        <v>377</v>
      </c>
      <c r="C24" s="140"/>
      <c r="D24" s="140"/>
      <c r="E24" s="140"/>
      <c r="F24" s="140"/>
      <c r="G24" s="140"/>
    </row>
    <row r="25" spans="1:7" ht="25.5">
      <c r="A25" t="s">
        <v>33</v>
      </c>
      <c r="B25" s="131" t="s">
        <v>378</v>
      </c>
      <c r="C25" s="140"/>
      <c r="D25" s="140"/>
      <c r="E25" s="140"/>
      <c r="F25" s="140"/>
      <c r="G25" s="140"/>
    </row>
    <row r="26" spans="1:7" ht="12.75">
      <c r="A26" t="s">
        <v>35</v>
      </c>
      <c r="B26" s="127" t="s">
        <v>379</v>
      </c>
      <c r="C26" s="140"/>
      <c r="D26" s="140"/>
      <c r="E26" s="140"/>
      <c r="F26" s="140"/>
      <c r="G26" s="140"/>
    </row>
    <row r="27" spans="1:7" ht="12.75">
      <c r="A27" s="133" t="s">
        <v>36</v>
      </c>
      <c r="B27" s="133" t="s">
        <v>366</v>
      </c>
      <c r="C27" s="145" t="s">
        <v>367</v>
      </c>
      <c r="D27" s="145" t="s">
        <v>367</v>
      </c>
      <c r="E27" s="145" t="s">
        <v>248</v>
      </c>
      <c r="F27" s="643" t="s">
        <v>248</v>
      </c>
      <c r="G27" s="643"/>
    </row>
    <row r="28" spans="1:7" ht="27.75" customHeight="1">
      <c r="A28" s="138" t="s">
        <v>38</v>
      </c>
      <c r="B28" s="138" t="s">
        <v>368</v>
      </c>
      <c r="C28" s="144">
        <v>560000</v>
      </c>
      <c r="D28" s="144">
        <v>560000</v>
      </c>
      <c r="E28" s="144">
        <v>560000</v>
      </c>
      <c r="F28" s="644">
        <v>1680000</v>
      </c>
      <c r="G28" s="645"/>
    </row>
  </sheetData>
  <sheetProtection password="AF00" sheet="1"/>
  <mergeCells count="16">
    <mergeCell ref="A10:A12"/>
    <mergeCell ref="F20:G20"/>
    <mergeCell ref="A8:G8"/>
    <mergeCell ref="F27:G27"/>
    <mergeCell ref="F28:G28"/>
    <mergeCell ref="A7:G7"/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6"/>
  <sheetViews>
    <sheetView tabSelected="1" zoomScalePageLayoutView="0" workbookViewId="0" topLeftCell="A31">
      <selection activeCell="A2" sqref="A2:F2"/>
    </sheetView>
  </sheetViews>
  <sheetFormatPr defaultColWidth="9.00390625" defaultRowHeight="12.75"/>
  <cols>
    <col min="1" max="1" width="9.125" style="152" customWidth="1"/>
    <col min="2" max="2" width="58.625" style="0" customWidth="1"/>
    <col min="3" max="3" width="16.375" style="0" customWidth="1"/>
    <col min="4" max="4" width="4.375" style="0" customWidth="1"/>
    <col min="5" max="5" width="16.875" style="0" customWidth="1"/>
    <col min="6" max="6" width="6.75390625" style="0" customWidth="1"/>
  </cols>
  <sheetData>
    <row r="1" spans="1:6" ht="12.75">
      <c r="A1" s="167"/>
      <c r="B1" s="168"/>
      <c r="C1" s="168"/>
      <c r="D1" s="168"/>
      <c r="E1" s="168"/>
      <c r="F1" s="168"/>
    </row>
    <row r="2" spans="1:7" ht="15.75">
      <c r="A2" s="412" t="s">
        <v>502</v>
      </c>
      <c r="B2" s="413"/>
      <c r="C2" s="413"/>
      <c r="D2" s="413"/>
      <c r="E2" s="413"/>
      <c r="F2" s="413"/>
      <c r="G2" s="128"/>
    </row>
    <row r="3" spans="1:6" ht="14.25">
      <c r="A3" s="167"/>
      <c r="B3" s="411"/>
      <c r="C3" s="411"/>
      <c r="D3" s="411"/>
      <c r="E3" s="411"/>
      <c r="F3" s="411"/>
    </row>
    <row r="4" spans="1:6" ht="15.75">
      <c r="A4" s="167"/>
      <c r="B4" s="410" t="s">
        <v>8</v>
      </c>
      <c r="C4" s="410"/>
      <c r="D4" s="410"/>
      <c r="E4" s="410"/>
      <c r="F4" s="410"/>
    </row>
    <row r="5" spans="1:6" ht="15.75">
      <c r="A5" s="167"/>
      <c r="B5" s="410" t="s">
        <v>85</v>
      </c>
      <c r="C5" s="410"/>
      <c r="D5" s="410"/>
      <c r="E5" s="410"/>
      <c r="F5" s="410"/>
    </row>
    <row r="6" spans="1:6" ht="15.75">
      <c r="A6" s="167"/>
      <c r="B6" s="410" t="s">
        <v>466</v>
      </c>
      <c r="C6" s="410"/>
      <c r="D6" s="410"/>
      <c r="E6" s="410"/>
      <c r="F6" s="410"/>
    </row>
    <row r="7" spans="1:6" ht="7.5" customHeight="1">
      <c r="A7" s="167"/>
      <c r="B7" s="392"/>
      <c r="C7" s="169"/>
      <c r="D7" s="392"/>
      <c r="E7" s="170"/>
      <c r="F7" s="392"/>
    </row>
    <row r="8" spans="1:6" ht="15.75">
      <c r="A8" s="167" t="s">
        <v>18</v>
      </c>
      <c r="B8" s="393" t="s">
        <v>86</v>
      </c>
      <c r="C8" s="169"/>
      <c r="D8" s="392"/>
      <c r="E8" s="170"/>
      <c r="F8" s="392"/>
    </row>
    <row r="9" spans="1:6" ht="15.75">
      <c r="A9" s="167" t="s">
        <v>404</v>
      </c>
      <c r="B9" s="389" t="s">
        <v>87</v>
      </c>
      <c r="C9" s="169"/>
      <c r="D9" s="392"/>
      <c r="E9" s="170">
        <f>C10+C11</f>
        <v>18685296</v>
      </c>
      <c r="F9" s="392" t="s">
        <v>244</v>
      </c>
    </row>
    <row r="10" spans="1:6" ht="31.5">
      <c r="A10" s="167"/>
      <c r="B10" s="394" t="s">
        <v>88</v>
      </c>
      <c r="C10" s="171">
        <f>'2.Bevételek'!$H$43</f>
        <v>17019436</v>
      </c>
      <c r="D10" s="394" t="s">
        <v>244</v>
      </c>
      <c r="E10" s="170"/>
      <c r="F10" s="392"/>
    </row>
    <row r="11" spans="1:6" ht="31.5">
      <c r="A11" s="167"/>
      <c r="B11" s="394" t="s">
        <v>89</v>
      </c>
      <c r="C11" s="171">
        <f>'2.Bevételek'!$H$52</f>
        <v>1665860</v>
      </c>
      <c r="D11" s="394" t="s">
        <v>244</v>
      </c>
      <c r="E11" s="170"/>
      <c r="F11" s="392"/>
    </row>
    <row r="12" spans="1:6" ht="15.75">
      <c r="A12" s="167" t="s">
        <v>410</v>
      </c>
      <c r="B12" s="389" t="s">
        <v>90</v>
      </c>
      <c r="C12" s="169"/>
      <c r="D12" s="392"/>
      <c r="E12" s="170">
        <f>'2.Bevételek'!$H$57+'2.Bevételek'!H62</f>
        <v>74618628</v>
      </c>
      <c r="F12" s="392" t="s">
        <v>244</v>
      </c>
    </row>
    <row r="13" spans="1:6" ht="15.75">
      <c r="A13" s="167" t="s">
        <v>411</v>
      </c>
      <c r="B13" s="389" t="s">
        <v>91</v>
      </c>
      <c r="C13" s="169"/>
      <c r="D13" s="392"/>
      <c r="E13" s="170">
        <f>'2.Bevételek'!$H$74</f>
        <v>1320000</v>
      </c>
      <c r="F13" s="392" t="s">
        <v>244</v>
      </c>
    </row>
    <row r="14" spans="1:6" ht="15.75">
      <c r="A14" s="167" t="s">
        <v>412</v>
      </c>
      <c r="B14" s="389" t="s">
        <v>92</v>
      </c>
      <c r="C14" s="169"/>
      <c r="D14" s="392"/>
      <c r="E14" s="170">
        <f>'2.Bevételek'!$H$83</f>
        <v>17992809</v>
      </c>
      <c r="F14" s="392" t="s">
        <v>244</v>
      </c>
    </row>
    <row r="15" spans="1:6" ht="3" customHeight="1">
      <c r="A15" s="167"/>
      <c r="B15" s="389"/>
      <c r="C15" s="170"/>
      <c r="D15" s="389"/>
      <c r="E15" s="170">
        <v>0</v>
      </c>
      <c r="F15" s="392" t="s">
        <v>244</v>
      </c>
    </row>
    <row r="16" spans="1:6" ht="15.75">
      <c r="A16" s="167" t="s">
        <v>448</v>
      </c>
      <c r="B16" s="389" t="s">
        <v>93</v>
      </c>
      <c r="C16" s="169"/>
      <c r="D16" s="392"/>
      <c r="E16" s="170">
        <v>0</v>
      </c>
      <c r="F16" s="392" t="s">
        <v>244</v>
      </c>
    </row>
    <row r="17" spans="1:6" ht="31.5">
      <c r="A17" s="167"/>
      <c r="B17" s="394" t="s">
        <v>94</v>
      </c>
      <c r="C17" s="171">
        <v>0</v>
      </c>
      <c r="D17" s="394" t="s">
        <v>244</v>
      </c>
      <c r="E17" s="394"/>
      <c r="F17" s="392"/>
    </row>
    <row r="18" spans="1:6" ht="15.75">
      <c r="A18" s="167"/>
      <c r="B18" s="395" t="s">
        <v>95</v>
      </c>
      <c r="C18" s="171">
        <v>0</v>
      </c>
      <c r="D18" s="392" t="s">
        <v>244</v>
      </c>
      <c r="E18" s="170"/>
      <c r="F18" s="392"/>
    </row>
    <row r="19" spans="1:6" ht="15.75">
      <c r="A19" s="167" t="s">
        <v>447</v>
      </c>
      <c r="B19" s="389" t="s">
        <v>96</v>
      </c>
      <c r="C19" s="169"/>
      <c r="D19" s="392"/>
      <c r="E19" s="170">
        <f>C20+C21</f>
        <v>0</v>
      </c>
      <c r="F19" s="392" t="s">
        <v>244</v>
      </c>
    </row>
    <row r="20" spans="1:6" ht="31.5">
      <c r="A20" s="167"/>
      <c r="B20" s="394" t="s">
        <v>97</v>
      </c>
      <c r="C20" s="169">
        <f>'2.Bevételek'!H87</f>
        <v>0</v>
      </c>
      <c r="D20" s="392" t="s">
        <v>244</v>
      </c>
      <c r="E20" s="170"/>
      <c r="F20" s="392"/>
    </row>
    <row r="21" spans="1:6" ht="15.75">
      <c r="A21" s="167"/>
      <c r="B21" s="392" t="s">
        <v>98</v>
      </c>
      <c r="C21" s="172"/>
      <c r="D21" s="392" t="s">
        <v>244</v>
      </c>
      <c r="E21" s="170"/>
      <c r="F21" s="392"/>
    </row>
    <row r="22" spans="1:6" ht="15.75">
      <c r="A22" s="167" t="s">
        <v>446</v>
      </c>
      <c r="B22" s="389" t="s">
        <v>99</v>
      </c>
      <c r="C22" s="170"/>
      <c r="D22" s="389"/>
      <c r="E22" s="170">
        <f>E9+E13+E14+E12+E19</f>
        <v>112616733</v>
      </c>
      <c r="F22" s="389" t="s">
        <v>380</v>
      </c>
    </row>
    <row r="23" spans="1:6" ht="15.75">
      <c r="A23" s="167"/>
      <c r="B23" s="389"/>
      <c r="C23" s="170"/>
      <c r="D23" s="389"/>
      <c r="E23" s="170"/>
      <c r="F23" s="389"/>
    </row>
    <row r="24" spans="1:6" ht="15.75">
      <c r="A24" s="167" t="s">
        <v>19</v>
      </c>
      <c r="B24" s="393" t="s">
        <v>100</v>
      </c>
      <c r="C24" s="169"/>
      <c r="D24" s="392"/>
      <c r="E24" s="170"/>
      <c r="F24" s="392"/>
    </row>
    <row r="25" spans="1:6" ht="15.75">
      <c r="A25" s="167" t="s">
        <v>413</v>
      </c>
      <c r="B25" s="173" t="s">
        <v>101</v>
      </c>
      <c r="C25" s="169"/>
      <c r="D25" s="392"/>
      <c r="E25" s="170">
        <f>C27+C28+C29+C30+C31+C32</f>
        <v>48991589</v>
      </c>
      <c r="F25" s="392" t="s">
        <v>244</v>
      </c>
    </row>
    <row r="26" spans="1:6" ht="15.75">
      <c r="A26" s="167"/>
      <c r="B26" s="174" t="s">
        <v>102</v>
      </c>
      <c r="C26" s="169"/>
      <c r="D26" s="392"/>
      <c r="E26" s="170"/>
      <c r="F26" s="392"/>
    </row>
    <row r="27" spans="1:6" ht="15.75">
      <c r="A27" s="167" t="s">
        <v>414</v>
      </c>
      <c r="B27" s="392" t="s">
        <v>419</v>
      </c>
      <c r="C27" s="169">
        <f>'4.Korm.funkciók'!E32</f>
        <v>9178949</v>
      </c>
      <c r="D27" s="392" t="s">
        <v>244</v>
      </c>
      <c r="E27" s="170"/>
      <c r="F27" s="392"/>
    </row>
    <row r="28" spans="1:6" ht="15.75">
      <c r="A28" s="167" t="s">
        <v>415</v>
      </c>
      <c r="B28" s="392" t="s">
        <v>420</v>
      </c>
      <c r="C28" s="169">
        <f>'4.Korm.funkciók'!F32</f>
        <v>1919909</v>
      </c>
      <c r="D28" s="392" t="s">
        <v>244</v>
      </c>
      <c r="E28" s="170"/>
      <c r="F28" s="392"/>
    </row>
    <row r="29" spans="1:6" ht="15.75">
      <c r="A29" s="167" t="s">
        <v>416</v>
      </c>
      <c r="B29" s="392" t="s">
        <v>421</v>
      </c>
      <c r="C29" s="169">
        <f>'4.Korm.funkciók'!G32</f>
        <v>26291432</v>
      </c>
      <c r="D29" s="392" t="s">
        <v>244</v>
      </c>
      <c r="E29" s="170"/>
      <c r="F29" s="392"/>
    </row>
    <row r="30" spans="1:6" ht="15.75">
      <c r="A30" s="167" t="s">
        <v>417</v>
      </c>
      <c r="B30" s="175" t="s">
        <v>422</v>
      </c>
      <c r="C30" s="169">
        <f>'4.Korm.funkciók'!H32</f>
        <v>1485000</v>
      </c>
      <c r="D30" s="392" t="s">
        <v>244</v>
      </c>
      <c r="E30" s="170"/>
      <c r="F30" s="392"/>
    </row>
    <row r="31" spans="1:6" ht="15.75">
      <c r="A31" s="167" t="s">
        <v>418</v>
      </c>
      <c r="B31" s="392" t="s">
        <v>423</v>
      </c>
      <c r="C31" s="169">
        <f>'4.Korm.funkciók'!I32-C32</f>
        <v>218903</v>
      </c>
      <c r="D31" s="392" t="s">
        <v>244</v>
      </c>
      <c r="E31" s="170"/>
      <c r="F31" s="392"/>
    </row>
    <row r="32" spans="1:6" ht="15.75">
      <c r="A32" s="167" t="s">
        <v>476</v>
      </c>
      <c r="B32" s="392" t="s">
        <v>431</v>
      </c>
      <c r="C32" s="169">
        <f>12308598-1081543-996376-20320-70850-153740-67113-21260</f>
        <v>9897396</v>
      </c>
      <c r="D32" s="392" t="s">
        <v>281</v>
      </c>
      <c r="E32" s="170"/>
      <c r="F32" s="392"/>
    </row>
    <row r="33" spans="1:6" ht="15.75">
      <c r="A33" s="167" t="s">
        <v>406</v>
      </c>
      <c r="B33" s="173" t="s">
        <v>103</v>
      </c>
      <c r="C33" s="170"/>
      <c r="D33" s="389"/>
      <c r="E33" s="176">
        <f>C35+C36</f>
        <v>77314926</v>
      </c>
      <c r="F33" s="389" t="s">
        <v>244</v>
      </c>
    </row>
    <row r="34" spans="1:6" ht="15.75">
      <c r="A34" s="167"/>
      <c r="B34" s="174" t="s">
        <v>102</v>
      </c>
      <c r="C34" s="169"/>
      <c r="D34" s="392"/>
      <c r="E34" s="170"/>
      <c r="F34" s="392"/>
    </row>
    <row r="35" spans="1:6" ht="15.75">
      <c r="A35" s="167" t="s">
        <v>424</v>
      </c>
      <c r="B35" s="392" t="s">
        <v>428</v>
      </c>
      <c r="C35" s="172">
        <f>'4.Korm.funkciók'!K32</f>
        <v>61399732</v>
      </c>
      <c r="D35" s="392" t="s">
        <v>244</v>
      </c>
      <c r="E35" s="170"/>
      <c r="F35" s="392"/>
    </row>
    <row r="36" spans="1:6" ht="15.75">
      <c r="A36" s="167" t="s">
        <v>425</v>
      </c>
      <c r="B36" s="392" t="s">
        <v>429</v>
      </c>
      <c r="C36" s="172">
        <f>'4.Korm.funkciók'!L32</f>
        <v>15915194</v>
      </c>
      <c r="D36" s="392" t="s">
        <v>244</v>
      </c>
      <c r="E36" s="170"/>
      <c r="F36" s="392"/>
    </row>
    <row r="37" spans="1:6" ht="15.75">
      <c r="A37" s="167" t="s">
        <v>426</v>
      </c>
      <c r="B37" s="392" t="s">
        <v>430</v>
      </c>
      <c r="C37" s="172"/>
      <c r="D37" s="392" t="s">
        <v>244</v>
      </c>
      <c r="E37" s="170"/>
      <c r="F37" s="392"/>
    </row>
    <row r="38" spans="1:6" ht="15.75">
      <c r="A38" s="167" t="s">
        <v>427</v>
      </c>
      <c r="B38" s="392" t="s">
        <v>431</v>
      </c>
      <c r="C38" s="172"/>
      <c r="D38" s="392" t="s">
        <v>244</v>
      </c>
      <c r="E38" s="170"/>
      <c r="F38" s="392"/>
    </row>
    <row r="39" spans="1:6" ht="15.75">
      <c r="A39" s="167" t="s">
        <v>432</v>
      </c>
      <c r="B39" s="389" t="s">
        <v>104</v>
      </c>
      <c r="C39" s="172"/>
      <c r="D39" s="392"/>
      <c r="E39" s="170">
        <f>C40+C41</f>
        <v>612192</v>
      </c>
      <c r="F39" s="392" t="s">
        <v>244</v>
      </c>
    </row>
    <row r="40" spans="1:6" ht="15.75">
      <c r="A40" s="167"/>
      <c r="B40" s="392" t="s">
        <v>356</v>
      </c>
      <c r="C40" s="169">
        <f>'4.Korm.funkciók'!O32</f>
        <v>612192</v>
      </c>
      <c r="D40" s="392" t="s">
        <v>244</v>
      </c>
      <c r="E40" s="170"/>
      <c r="F40" s="392"/>
    </row>
    <row r="41" spans="1:6" ht="15.75">
      <c r="A41" s="167"/>
      <c r="B41" s="392" t="s">
        <v>105</v>
      </c>
      <c r="C41" s="169"/>
      <c r="D41" s="392" t="s">
        <v>244</v>
      </c>
      <c r="E41" s="170"/>
      <c r="F41" s="392"/>
    </row>
    <row r="42" spans="1:6" ht="23.25" customHeight="1">
      <c r="A42" s="167" t="s">
        <v>433</v>
      </c>
      <c r="B42" s="389" t="s">
        <v>106</v>
      </c>
      <c r="C42" s="170"/>
      <c r="D42" s="389"/>
      <c r="E42" s="170">
        <f>E25+E33+E39</f>
        <v>126918707</v>
      </c>
      <c r="F42" s="389" t="s">
        <v>380</v>
      </c>
    </row>
    <row r="43" spans="1:6" ht="23.25" customHeight="1">
      <c r="A43" s="167" t="s">
        <v>20</v>
      </c>
      <c r="B43" s="389" t="s">
        <v>107</v>
      </c>
      <c r="C43" s="170"/>
      <c r="D43" s="389"/>
      <c r="E43" s="170">
        <f>E22-E42</f>
        <v>-14301974</v>
      </c>
      <c r="F43" s="389" t="s">
        <v>244</v>
      </c>
    </row>
    <row r="44" spans="1:6" ht="23.25" customHeight="1">
      <c r="A44" s="167"/>
      <c r="B44" s="389"/>
      <c r="C44" s="170"/>
      <c r="D44" s="389"/>
      <c r="E44" s="170"/>
      <c r="F44" s="389"/>
    </row>
    <row r="45" spans="1:6" ht="31.5">
      <c r="A45" s="167" t="s">
        <v>21</v>
      </c>
      <c r="B45" s="391" t="s">
        <v>108</v>
      </c>
      <c r="C45" s="170"/>
      <c r="D45" s="389"/>
      <c r="E45" s="170">
        <f>'2.Bevételek'!H100</f>
        <v>14301974</v>
      </c>
      <c r="F45" s="390" t="s">
        <v>244</v>
      </c>
    </row>
    <row r="46" spans="1:6" ht="25.5" customHeight="1">
      <c r="A46" s="167" t="s">
        <v>22</v>
      </c>
      <c r="B46" s="389" t="s">
        <v>109</v>
      </c>
      <c r="C46" s="170"/>
      <c r="D46" s="389"/>
      <c r="E46" s="170">
        <f>E43+E45</f>
        <v>0</v>
      </c>
      <c r="F46" s="389" t="s">
        <v>244</v>
      </c>
    </row>
  </sheetData>
  <sheetProtection/>
  <mergeCells count="5">
    <mergeCell ref="B4:F4"/>
    <mergeCell ref="B5:F5"/>
    <mergeCell ref="B6:F6"/>
    <mergeCell ref="B3:F3"/>
    <mergeCell ref="A2:F2"/>
  </mergeCells>
  <printOptions/>
  <pageMargins left="0.5511811023622047" right="0.35433070866141736" top="0.7086614173228347" bottom="0.4724409448818898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193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6.753906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2" spans="1:9" ht="15">
      <c r="A2" s="414" t="s">
        <v>503</v>
      </c>
      <c r="B2" s="415"/>
      <c r="C2" s="415"/>
      <c r="D2" s="415"/>
      <c r="E2" s="415"/>
      <c r="F2" s="415"/>
      <c r="G2" s="415"/>
      <c r="H2" s="415"/>
      <c r="I2" s="415"/>
    </row>
    <row r="3" spans="1:9" ht="14.25">
      <c r="A3" s="420"/>
      <c r="B3" s="420"/>
      <c r="C3" s="420"/>
      <c r="D3" s="420"/>
      <c r="E3" s="420"/>
      <c r="F3" s="420"/>
      <c r="G3" s="420"/>
      <c r="H3" s="420"/>
      <c r="I3" s="420"/>
    </row>
    <row r="4" spans="1:9" ht="14.25">
      <c r="A4" s="420" t="s">
        <v>195</v>
      </c>
      <c r="B4" s="420"/>
      <c r="C4" s="420"/>
      <c r="D4" s="420"/>
      <c r="E4" s="420"/>
      <c r="F4" s="420"/>
      <c r="G4" s="420"/>
      <c r="H4" s="420"/>
      <c r="I4" s="420"/>
    </row>
    <row r="5" spans="1:9" ht="14.25">
      <c r="A5" s="420" t="s">
        <v>110</v>
      </c>
      <c r="B5" s="420"/>
      <c r="C5" s="420"/>
      <c r="D5" s="420"/>
      <c r="E5" s="420"/>
      <c r="F5" s="420"/>
      <c r="G5" s="420"/>
      <c r="H5" s="420"/>
      <c r="I5" s="420"/>
    </row>
    <row r="6" spans="1:9" ht="12.75" customHeight="1">
      <c r="A6" s="420" t="s">
        <v>459</v>
      </c>
      <c r="B6" s="420"/>
      <c r="C6" s="420"/>
      <c r="D6" s="420"/>
      <c r="E6" s="420"/>
      <c r="F6" s="420"/>
      <c r="G6" s="420"/>
      <c r="H6" s="420"/>
      <c r="I6" s="420"/>
    </row>
    <row r="7" spans="1:9" ht="15.75" thickBot="1">
      <c r="A7" s="43"/>
      <c r="B7" s="43"/>
      <c r="C7" s="42"/>
      <c r="D7" s="42"/>
      <c r="E7" s="42"/>
      <c r="F7" s="39"/>
      <c r="G7" s="177"/>
      <c r="H7" s="421" t="s">
        <v>382</v>
      </c>
      <c r="I7" s="421"/>
    </row>
    <row r="8" spans="1:9" ht="15">
      <c r="A8" s="422" t="s">
        <v>111</v>
      </c>
      <c r="B8" s="423"/>
      <c r="C8" s="423"/>
      <c r="D8" s="423"/>
      <c r="E8" s="423"/>
      <c r="F8" s="424"/>
      <c r="G8" s="178" t="s">
        <v>0</v>
      </c>
      <c r="H8" s="178" t="s">
        <v>0</v>
      </c>
      <c r="I8" s="37" t="s">
        <v>196</v>
      </c>
    </row>
    <row r="9" spans="1:9" ht="15">
      <c r="A9" s="425"/>
      <c r="B9" s="426"/>
      <c r="C9" s="426"/>
      <c r="D9" s="426"/>
      <c r="E9" s="426"/>
      <c r="F9" s="427"/>
      <c r="G9" s="179" t="s">
        <v>46</v>
      </c>
      <c r="H9" s="179" t="s">
        <v>46</v>
      </c>
      <c r="I9" s="44"/>
    </row>
    <row r="10" spans="1:9" ht="15.75" thickBot="1">
      <c r="A10" s="428"/>
      <c r="B10" s="429"/>
      <c r="C10" s="429"/>
      <c r="D10" s="429"/>
      <c r="E10" s="429"/>
      <c r="F10" s="430"/>
      <c r="G10" s="180" t="s">
        <v>449</v>
      </c>
      <c r="H10" s="180" t="s">
        <v>459</v>
      </c>
      <c r="I10" s="45" t="s">
        <v>1</v>
      </c>
    </row>
    <row r="11" spans="1:9" ht="33" customHeight="1">
      <c r="A11" s="46" t="s">
        <v>112</v>
      </c>
      <c r="B11" s="416" t="s">
        <v>113</v>
      </c>
      <c r="C11" s="416"/>
      <c r="D11" s="416"/>
      <c r="E11" s="416"/>
      <c r="F11" s="416"/>
      <c r="G11" s="28"/>
      <c r="H11" s="181"/>
      <c r="I11" s="28"/>
    </row>
    <row r="12" spans="1:9" ht="15.75" customHeight="1">
      <c r="A12" s="10"/>
      <c r="B12" s="10" t="s">
        <v>112</v>
      </c>
      <c r="C12" s="10" t="s">
        <v>114</v>
      </c>
      <c r="D12" s="10"/>
      <c r="E12" s="10"/>
      <c r="F12" s="10"/>
      <c r="G12" s="182"/>
      <c r="H12" s="182"/>
      <c r="I12" s="10"/>
    </row>
    <row r="13" spans="1:9" ht="29.25" customHeight="1">
      <c r="A13" s="10"/>
      <c r="B13" s="10"/>
      <c r="C13" s="46" t="s">
        <v>18</v>
      </c>
      <c r="D13" s="416" t="s">
        <v>115</v>
      </c>
      <c r="E13" s="416"/>
      <c r="F13" s="416"/>
      <c r="G13" s="181"/>
      <c r="H13" s="181"/>
      <c r="I13" s="28"/>
    </row>
    <row r="14" spans="1:9" ht="28.5" customHeight="1">
      <c r="A14" s="10"/>
      <c r="B14" s="10"/>
      <c r="C14" s="10"/>
      <c r="D14" s="46" t="s">
        <v>18</v>
      </c>
      <c r="E14" s="416" t="s">
        <v>116</v>
      </c>
      <c r="F14" s="416"/>
      <c r="G14" s="181"/>
      <c r="H14" s="181"/>
      <c r="I14" s="28"/>
    </row>
    <row r="15" spans="1:9" ht="30.75" customHeight="1">
      <c r="A15" s="8"/>
      <c r="B15" s="8"/>
      <c r="C15" s="8"/>
      <c r="D15" s="47" t="s">
        <v>117</v>
      </c>
      <c r="E15" s="417" t="s">
        <v>118</v>
      </c>
      <c r="F15" s="418"/>
      <c r="G15" s="183"/>
      <c r="H15" s="183"/>
      <c r="I15" s="29"/>
    </row>
    <row r="16" spans="1:9" ht="29.25" customHeight="1">
      <c r="A16" s="8"/>
      <c r="B16" s="8"/>
      <c r="C16" s="8"/>
      <c r="D16" s="8"/>
      <c r="E16" s="47" t="s">
        <v>119</v>
      </c>
      <c r="F16" s="32" t="s">
        <v>120</v>
      </c>
      <c r="G16" s="177">
        <v>863010</v>
      </c>
      <c r="H16" s="177">
        <v>863010</v>
      </c>
      <c r="I16" s="29">
        <f>(H16/G16)*100</f>
        <v>100</v>
      </c>
    </row>
    <row r="17" spans="1:9" ht="19.5" customHeight="1">
      <c r="A17" s="8"/>
      <c r="B17" s="8"/>
      <c r="C17" s="8"/>
      <c r="D17" s="8"/>
      <c r="E17" s="8" t="s">
        <v>121</v>
      </c>
      <c r="F17" s="32" t="s">
        <v>122</v>
      </c>
      <c r="G17" s="177">
        <v>576000</v>
      </c>
      <c r="H17" s="177">
        <v>576000</v>
      </c>
      <c r="I17" s="29">
        <f>(H17/G17)*100</f>
        <v>100</v>
      </c>
    </row>
    <row r="18" spans="1:9" ht="27.75" customHeight="1">
      <c r="A18" s="8"/>
      <c r="B18" s="8"/>
      <c r="C18" s="8"/>
      <c r="D18" s="8"/>
      <c r="E18" s="47" t="s">
        <v>123</v>
      </c>
      <c r="F18" s="32" t="s">
        <v>124</v>
      </c>
      <c r="G18" s="177"/>
      <c r="H18" s="177">
        <v>107041</v>
      </c>
      <c r="I18" s="29"/>
    </row>
    <row r="19" spans="1:9" ht="17.25" customHeight="1">
      <c r="A19" s="8"/>
      <c r="B19" s="8"/>
      <c r="C19" s="8"/>
      <c r="D19" s="8"/>
      <c r="E19" s="8" t="s">
        <v>125</v>
      </c>
      <c r="F19" s="32" t="s">
        <v>126</v>
      </c>
      <c r="G19" s="177">
        <v>808120</v>
      </c>
      <c r="H19" s="177">
        <v>808120</v>
      </c>
      <c r="I19" s="29">
        <f>(H19/G19)*100</f>
        <v>100</v>
      </c>
    </row>
    <row r="20" spans="1:9" ht="18" customHeight="1">
      <c r="A20" s="8"/>
      <c r="B20" s="8"/>
      <c r="C20" s="8"/>
      <c r="D20" s="8" t="s">
        <v>127</v>
      </c>
      <c r="E20" s="8" t="s">
        <v>197</v>
      </c>
      <c r="F20" s="8"/>
      <c r="G20" s="177">
        <v>5000000</v>
      </c>
      <c r="H20" s="177">
        <v>5000000</v>
      </c>
      <c r="I20" s="29">
        <f>(H20/G20)*100</f>
        <v>100</v>
      </c>
    </row>
    <row r="21" spans="1:9" ht="14.25" customHeight="1">
      <c r="A21" s="8"/>
      <c r="B21" s="8"/>
      <c r="C21" s="8"/>
      <c r="D21" s="8"/>
      <c r="E21" s="8"/>
      <c r="F21" s="48" t="s">
        <v>211</v>
      </c>
      <c r="G21" s="177"/>
      <c r="H21" s="177"/>
      <c r="I21" s="29"/>
    </row>
    <row r="22" spans="1:9" ht="18" customHeight="1">
      <c r="A22" s="8"/>
      <c r="B22" s="8"/>
      <c r="C22" s="8"/>
      <c r="D22" s="8" t="s">
        <v>198</v>
      </c>
      <c r="E22" s="8"/>
      <c r="F22" s="8"/>
      <c r="G22" s="184">
        <v>43350</v>
      </c>
      <c r="H22" s="177">
        <v>45900</v>
      </c>
      <c r="I22" s="29">
        <f>(H22/G22)*100</f>
        <v>105.88235294117648</v>
      </c>
    </row>
    <row r="23" spans="1:9" ht="18" customHeight="1">
      <c r="A23" s="8"/>
      <c r="B23" s="8"/>
      <c r="C23" s="10" t="s">
        <v>23</v>
      </c>
      <c r="D23" s="10" t="s">
        <v>450</v>
      </c>
      <c r="E23" s="10"/>
      <c r="F23" s="10"/>
      <c r="G23" s="184">
        <v>1009100</v>
      </c>
      <c r="H23" s="177">
        <v>990400</v>
      </c>
      <c r="I23" s="29">
        <f>(H23/G23)*100</f>
        <v>98.14686354176989</v>
      </c>
    </row>
    <row r="24" spans="1:9" ht="8.25" customHeight="1" hidden="1">
      <c r="A24" s="419" t="s">
        <v>128</v>
      </c>
      <c r="B24" s="419"/>
      <c r="C24" s="419"/>
      <c r="D24" s="419"/>
      <c r="E24" s="419"/>
      <c r="F24" s="419"/>
      <c r="G24" s="177"/>
      <c r="H24" s="177"/>
      <c r="I24" s="29"/>
    </row>
    <row r="25" spans="1:9" ht="15.75" customHeight="1">
      <c r="A25" s="419"/>
      <c r="B25" s="419"/>
      <c r="C25" s="419"/>
      <c r="D25" s="419"/>
      <c r="E25" s="419"/>
      <c r="F25" s="419"/>
      <c r="G25" s="185">
        <f>SUM(G15:G24)</f>
        <v>8299580</v>
      </c>
      <c r="H25" s="185">
        <f>SUM(H15:H24)</f>
        <v>8390471</v>
      </c>
      <c r="I25" s="30">
        <f>(H25/G25)*100</f>
        <v>101.09512770525737</v>
      </c>
    </row>
    <row r="26" spans="1:9" ht="32.25" customHeight="1">
      <c r="A26" s="46"/>
      <c r="B26" s="416" t="s">
        <v>209</v>
      </c>
      <c r="C26" s="416"/>
      <c r="D26" s="416"/>
      <c r="E26" s="416"/>
      <c r="F26" s="416"/>
      <c r="G26" s="181"/>
      <c r="H26" s="181"/>
      <c r="I26" s="29"/>
    </row>
    <row r="27" spans="1:9" ht="29.25" customHeight="1">
      <c r="A27" s="8"/>
      <c r="B27" s="8"/>
      <c r="C27" s="8"/>
      <c r="D27" s="47" t="s">
        <v>19</v>
      </c>
      <c r="E27" s="417" t="s">
        <v>199</v>
      </c>
      <c r="F27" s="417"/>
      <c r="G27" s="177">
        <v>1120000</v>
      </c>
      <c r="H27" s="177">
        <v>1583000</v>
      </c>
      <c r="I27" s="29">
        <f>(H27/G27)*100</f>
        <v>141.33928571428572</v>
      </c>
    </row>
    <row r="28" spans="1:9" ht="29.25" customHeight="1">
      <c r="A28" s="8"/>
      <c r="B28" s="8"/>
      <c r="C28" s="8"/>
      <c r="D28" s="47" t="s">
        <v>20</v>
      </c>
      <c r="E28" s="417" t="s">
        <v>344</v>
      </c>
      <c r="F28" s="417"/>
      <c r="G28" s="177">
        <v>387520</v>
      </c>
      <c r="H28" s="177">
        <f>332160+60000</f>
        <v>392160</v>
      </c>
      <c r="I28" s="29">
        <f>(H28/G28)*100</f>
        <v>101.19735755573906</v>
      </c>
    </row>
    <row r="29" spans="1:9" ht="15" customHeight="1">
      <c r="A29" s="8"/>
      <c r="B29" s="8"/>
      <c r="C29" s="8"/>
      <c r="D29" s="47"/>
      <c r="E29" s="417" t="s">
        <v>345</v>
      </c>
      <c r="F29" s="417"/>
      <c r="G29" s="177">
        <v>3100000</v>
      </c>
      <c r="H29" s="177">
        <f>3100000+1150000</f>
        <v>4250000</v>
      </c>
      <c r="I29" s="29">
        <f>(H29/G29)*100</f>
        <v>137.09677419354838</v>
      </c>
    </row>
    <row r="30" spans="1:9" ht="15" customHeight="1">
      <c r="A30" s="8"/>
      <c r="B30" s="8"/>
      <c r="C30" s="8"/>
      <c r="D30" s="47" t="s">
        <v>21</v>
      </c>
      <c r="E30" s="417" t="s">
        <v>477</v>
      </c>
      <c r="F30" s="440"/>
      <c r="G30" s="177"/>
      <c r="H30" s="177">
        <f>63994+63728+31463</f>
        <v>159185</v>
      </c>
      <c r="I30" s="29"/>
    </row>
    <row r="31" spans="1:9" ht="15" customHeight="1">
      <c r="A31" s="8"/>
      <c r="B31" s="8"/>
      <c r="C31" s="8"/>
      <c r="D31" s="47" t="s">
        <v>22</v>
      </c>
      <c r="E31" s="417" t="s">
        <v>346</v>
      </c>
      <c r="F31" s="417"/>
      <c r="G31" s="177"/>
      <c r="H31" s="177"/>
      <c r="I31" s="29"/>
    </row>
    <row r="32" spans="1:9" ht="30" customHeight="1">
      <c r="A32" s="8"/>
      <c r="B32" s="8"/>
      <c r="C32" s="8"/>
      <c r="D32" s="47"/>
      <c r="E32" s="417" t="s">
        <v>347</v>
      </c>
      <c r="F32" s="417"/>
      <c r="G32" s="177"/>
      <c r="H32" s="177">
        <v>99180</v>
      </c>
      <c r="I32" s="29"/>
    </row>
    <row r="33" spans="1:9" ht="28.5" customHeight="1">
      <c r="A33" s="49"/>
      <c r="B33" s="49"/>
      <c r="C33" s="431" t="s">
        <v>129</v>
      </c>
      <c r="D33" s="431"/>
      <c r="E33" s="431"/>
      <c r="F33" s="431"/>
      <c r="G33" s="186">
        <f>SUM(G27:G32)</f>
        <v>4607520</v>
      </c>
      <c r="H33" s="186">
        <f>SUM(H27:H32)</f>
        <v>6483525</v>
      </c>
      <c r="I33" s="35">
        <f>(H33/G33)*100</f>
        <v>140.71615532868006</v>
      </c>
    </row>
    <row r="34" spans="1:9" ht="6" customHeight="1" hidden="1">
      <c r="A34" s="8"/>
      <c r="B34" s="8"/>
      <c r="C34" s="8"/>
      <c r="D34" s="8"/>
      <c r="E34" s="8"/>
      <c r="F34" s="8"/>
      <c r="G34" s="177"/>
      <c r="H34" s="177"/>
      <c r="I34" s="29"/>
    </row>
    <row r="35" spans="1:9" ht="26.25" customHeight="1">
      <c r="A35" s="46"/>
      <c r="B35" s="416" t="s">
        <v>210</v>
      </c>
      <c r="C35" s="416"/>
      <c r="D35" s="416"/>
      <c r="E35" s="416"/>
      <c r="F35" s="416"/>
      <c r="G35" s="181"/>
      <c r="H35" s="181"/>
      <c r="I35" s="29"/>
    </row>
    <row r="36" spans="1:9" ht="27" customHeight="1">
      <c r="A36" s="8"/>
      <c r="B36" s="8"/>
      <c r="C36" s="8"/>
      <c r="D36" s="8" t="s">
        <v>18</v>
      </c>
      <c r="E36" s="444" t="s">
        <v>130</v>
      </c>
      <c r="F36" s="444"/>
      <c r="G36" s="183"/>
      <c r="H36" s="183"/>
      <c r="I36" s="29"/>
    </row>
    <row r="37" spans="1:9" ht="33.75" customHeight="1">
      <c r="A37" s="8"/>
      <c r="B37" s="8"/>
      <c r="C37" s="8"/>
      <c r="D37" s="8"/>
      <c r="E37" s="47" t="s">
        <v>131</v>
      </c>
      <c r="F37" s="51" t="s">
        <v>208</v>
      </c>
      <c r="G37" s="183">
        <v>1800000</v>
      </c>
      <c r="H37" s="183">
        <v>1800000</v>
      </c>
      <c r="I37" s="29">
        <f>(H37/G37)*100</f>
        <v>100</v>
      </c>
    </row>
    <row r="38" spans="1:9" ht="27.75" customHeight="1">
      <c r="A38" s="8"/>
      <c r="B38" s="419" t="s">
        <v>212</v>
      </c>
      <c r="C38" s="419"/>
      <c r="D38" s="419"/>
      <c r="E38" s="419"/>
      <c r="F38" s="419"/>
      <c r="G38" s="182">
        <f>SUM(G37:G37)</f>
        <v>1800000</v>
      </c>
      <c r="H38" s="182">
        <f>SUM(H37:H37)</f>
        <v>1800000</v>
      </c>
      <c r="I38" s="30">
        <f>(H38/G38)*100</f>
        <v>100</v>
      </c>
    </row>
    <row r="39" spans="1:9" ht="13.5" customHeight="1">
      <c r="A39" s="8"/>
      <c r="B39" s="166" t="s">
        <v>155</v>
      </c>
      <c r="C39" s="419" t="s">
        <v>478</v>
      </c>
      <c r="D39" s="443"/>
      <c r="E39" s="443"/>
      <c r="F39" s="443"/>
      <c r="G39" s="187"/>
      <c r="H39" s="187"/>
      <c r="I39" s="29"/>
    </row>
    <row r="40" spans="1:9" ht="15" customHeight="1">
      <c r="A40" s="8"/>
      <c r="B40" s="10"/>
      <c r="C40" s="10"/>
      <c r="D40" s="32" t="s">
        <v>19</v>
      </c>
      <c r="E40" s="417" t="s">
        <v>479</v>
      </c>
      <c r="F40" s="441"/>
      <c r="G40" s="183"/>
      <c r="H40" s="183">
        <v>345440</v>
      </c>
      <c r="I40" s="29"/>
    </row>
    <row r="41" spans="1:9" ht="15" customHeight="1">
      <c r="A41" s="8"/>
      <c r="B41" s="10" t="s">
        <v>480</v>
      </c>
      <c r="C41" s="28"/>
      <c r="D41" s="28"/>
      <c r="E41" s="183"/>
      <c r="G41" s="181">
        <f>G40</f>
        <v>0</v>
      </c>
      <c r="H41" s="181">
        <f>H40</f>
        <v>345440</v>
      </c>
      <c r="I41" s="29"/>
    </row>
    <row r="42" spans="1:9" ht="4.5" customHeight="1">
      <c r="A42" s="8"/>
      <c r="B42" s="8"/>
      <c r="C42" s="8"/>
      <c r="D42" s="8"/>
      <c r="E42" s="8"/>
      <c r="F42" s="32"/>
      <c r="G42" s="183"/>
      <c r="H42" s="183"/>
      <c r="I42" s="29"/>
    </row>
    <row r="43" spans="1:9" ht="28.5" customHeight="1">
      <c r="A43" s="436" t="s">
        <v>200</v>
      </c>
      <c r="B43" s="437"/>
      <c r="C43" s="437"/>
      <c r="D43" s="437"/>
      <c r="E43" s="437"/>
      <c r="F43" s="437"/>
      <c r="G43" s="188">
        <f>G25+G33+G38+G42+G39+G41</f>
        <v>14707100</v>
      </c>
      <c r="H43" s="188">
        <f>H25+H33+H38+H39+H41</f>
        <v>17019436</v>
      </c>
      <c r="I43" s="30">
        <f>(H43/G43)*100</f>
        <v>115.72258297013008</v>
      </c>
    </row>
    <row r="44" spans="1:9" ht="24.75" customHeight="1" thickBot="1">
      <c r="A44" s="438" t="s">
        <v>207</v>
      </c>
      <c r="B44" s="438"/>
      <c r="C44" s="438"/>
      <c r="D44" s="438"/>
      <c r="E44" s="438"/>
      <c r="F44" s="438"/>
      <c r="G44" s="438"/>
      <c r="H44" s="438"/>
      <c r="I44" s="438"/>
    </row>
    <row r="45" spans="1:9" ht="17.25" customHeight="1">
      <c r="A45" s="422" t="s">
        <v>111</v>
      </c>
      <c r="B45" s="423"/>
      <c r="C45" s="423"/>
      <c r="D45" s="423"/>
      <c r="E45" s="423"/>
      <c r="F45" s="424"/>
      <c r="G45" s="178" t="s">
        <v>0</v>
      </c>
      <c r="H45" s="178" t="s">
        <v>0</v>
      </c>
      <c r="I45" s="37" t="s">
        <v>196</v>
      </c>
    </row>
    <row r="46" spans="1:9" ht="14.25" customHeight="1">
      <c r="A46" s="425"/>
      <c r="B46" s="426"/>
      <c r="C46" s="426"/>
      <c r="D46" s="426"/>
      <c r="E46" s="426"/>
      <c r="F46" s="427"/>
      <c r="G46" s="179" t="s">
        <v>46</v>
      </c>
      <c r="H46" s="179" t="s">
        <v>46</v>
      </c>
      <c r="I46" s="44"/>
    </row>
    <row r="47" spans="1:9" ht="16.5" customHeight="1" thickBot="1">
      <c r="A47" s="428"/>
      <c r="B47" s="429"/>
      <c r="C47" s="429"/>
      <c r="D47" s="429"/>
      <c r="E47" s="429"/>
      <c r="F47" s="430"/>
      <c r="G47" s="180" t="s">
        <v>449</v>
      </c>
      <c r="H47" s="180" t="s">
        <v>459</v>
      </c>
      <c r="I47" s="45" t="s">
        <v>1</v>
      </c>
    </row>
    <row r="48" spans="1:9" ht="33" customHeight="1">
      <c r="A48" s="397"/>
      <c r="B48" s="435" t="s">
        <v>213</v>
      </c>
      <c r="C48" s="418"/>
      <c r="D48" s="418"/>
      <c r="E48" s="418"/>
      <c r="F48" s="418"/>
      <c r="G48" s="184"/>
      <c r="H48" s="184"/>
      <c r="I48" s="30"/>
    </row>
    <row r="49" spans="1:9" ht="15">
      <c r="A49" s="38"/>
      <c r="B49" s="38"/>
      <c r="C49" s="126" t="s">
        <v>18</v>
      </c>
      <c r="D49" s="40" t="s">
        <v>481</v>
      </c>
      <c r="E49" s="38"/>
      <c r="F49" s="38"/>
      <c r="G49" s="184">
        <v>52200</v>
      </c>
      <c r="H49" s="184">
        <v>65000</v>
      </c>
      <c r="I49" s="29">
        <f>(H49/G49)*100</f>
        <v>124.52107279693487</v>
      </c>
    </row>
    <row r="50" spans="1:9" ht="15">
      <c r="A50" s="38"/>
      <c r="B50" s="38"/>
      <c r="C50" s="38" t="s">
        <v>19</v>
      </c>
      <c r="D50" s="434" t="s">
        <v>133</v>
      </c>
      <c r="E50" s="434"/>
      <c r="F50" s="434"/>
      <c r="G50" s="188"/>
      <c r="H50" s="184">
        <f>505557+422177+273126</f>
        <v>1200860</v>
      </c>
      <c r="I50" s="30"/>
    </row>
    <row r="51" spans="1:9" ht="15.75" customHeight="1">
      <c r="A51" s="38"/>
      <c r="B51" s="38"/>
      <c r="C51" s="38" t="s">
        <v>20</v>
      </c>
      <c r="D51" s="434" t="s">
        <v>498</v>
      </c>
      <c r="E51" s="439"/>
      <c r="F51" s="439"/>
      <c r="G51" s="188"/>
      <c r="H51" s="184">
        <v>400000</v>
      </c>
      <c r="I51" s="30"/>
    </row>
    <row r="52" spans="1:9" ht="29.25" customHeight="1">
      <c r="A52" s="38"/>
      <c r="B52" s="435" t="s">
        <v>134</v>
      </c>
      <c r="C52" s="435"/>
      <c r="D52" s="435"/>
      <c r="E52" s="435"/>
      <c r="F52" s="435"/>
      <c r="G52" s="188">
        <f>G49</f>
        <v>52200</v>
      </c>
      <c r="H52" s="188">
        <f>H49+H50+H51</f>
        <v>1665860</v>
      </c>
      <c r="I52" s="29">
        <f>(H52/G52)*100</f>
        <v>3191.302681992337</v>
      </c>
    </row>
    <row r="53" spans="1:9" ht="33.75" customHeight="1">
      <c r="A53" s="435" t="s">
        <v>135</v>
      </c>
      <c r="B53" s="435"/>
      <c r="C53" s="435"/>
      <c r="D53" s="435"/>
      <c r="E53" s="435"/>
      <c r="F53" s="435"/>
      <c r="G53" s="33">
        <f>G43+G52</f>
        <v>14759300</v>
      </c>
      <c r="H53" s="33">
        <f>H43+H52</f>
        <v>18685296</v>
      </c>
      <c r="I53" s="30">
        <f>(H53/G53)*100</f>
        <v>126.60015041363751</v>
      </c>
    </row>
    <row r="54" spans="1:9" ht="30.75" customHeight="1">
      <c r="A54" s="397" t="s">
        <v>132</v>
      </c>
      <c r="B54" s="435" t="s">
        <v>136</v>
      </c>
      <c r="C54" s="435"/>
      <c r="D54" s="435"/>
      <c r="E54" s="435"/>
      <c r="F54" s="435"/>
      <c r="G54" s="33"/>
      <c r="H54" s="188"/>
      <c r="I54" s="30"/>
    </row>
    <row r="55" spans="1:9" ht="15">
      <c r="A55" s="397"/>
      <c r="B55" s="396" t="s">
        <v>18</v>
      </c>
      <c r="C55" s="435" t="s">
        <v>201</v>
      </c>
      <c r="D55" s="435"/>
      <c r="E55" s="435"/>
      <c r="F55" s="435"/>
      <c r="G55" s="184"/>
      <c r="H55" s="184"/>
      <c r="I55" s="29"/>
    </row>
    <row r="56" spans="1:9" ht="30.75" customHeight="1">
      <c r="A56" s="397"/>
      <c r="B56" s="396"/>
      <c r="C56" s="396" t="s">
        <v>18</v>
      </c>
      <c r="D56" s="445" t="s">
        <v>453</v>
      </c>
      <c r="E56" s="439"/>
      <c r="F56" s="439"/>
      <c r="G56" s="184">
        <v>5697553</v>
      </c>
      <c r="H56" s="184"/>
      <c r="I56" s="29"/>
    </row>
    <row r="57" spans="1:9" ht="30.75" customHeight="1">
      <c r="A57" s="397"/>
      <c r="B57" s="396"/>
      <c r="C57" s="435" t="s">
        <v>202</v>
      </c>
      <c r="D57" s="435"/>
      <c r="E57" s="435"/>
      <c r="F57" s="435"/>
      <c r="G57" s="33">
        <f>G56</f>
        <v>5697553</v>
      </c>
      <c r="H57" s="33">
        <f>H56</f>
        <v>0</v>
      </c>
      <c r="I57" s="8"/>
    </row>
    <row r="58" spans="1:9" ht="15" customHeight="1">
      <c r="A58" s="397"/>
      <c r="B58" s="396" t="s">
        <v>19</v>
      </c>
      <c r="C58" s="435" t="s">
        <v>452</v>
      </c>
      <c r="D58" s="439"/>
      <c r="E58" s="439"/>
      <c r="F58" s="439"/>
      <c r="G58" s="33"/>
      <c r="H58" s="33"/>
      <c r="I58" s="8"/>
    </row>
    <row r="59" spans="1:9" ht="18.75" customHeight="1">
      <c r="A59" s="397"/>
      <c r="B59" s="396"/>
      <c r="C59" s="396" t="s">
        <v>18</v>
      </c>
      <c r="D59" s="398" t="s">
        <v>408</v>
      </c>
      <c r="E59" s="396"/>
      <c r="F59" s="396"/>
      <c r="G59" s="184">
        <v>31078900</v>
      </c>
      <c r="H59" s="184">
        <v>57502275</v>
      </c>
      <c r="I59" s="29">
        <f>(H59/G59)*100</f>
        <v>185.0203031638829</v>
      </c>
    </row>
    <row r="60" spans="1:9" ht="18.75" customHeight="1">
      <c r="A60" s="397"/>
      <c r="B60" s="396"/>
      <c r="C60" s="396" t="s">
        <v>19</v>
      </c>
      <c r="D60" s="398" t="s">
        <v>409</v>
      </c>
      <c r="E60" s="396"/>
      <c r="F60" s="396"/>
      <c r="G60" s="184">
        <v>3453211</v>
      </c>
      <c r="H60" s="184">
        <v>3069605</v>
      </c>
      <c r="I60" s="29">
        <f>(H60/G60)*100</f>
        <v>88.89132462510979</v>
      </c>
    </row>
    <row r="61" spans="1:9" ht="18.75" customHeight="1">
      <c r="A61" s="397"/>
      <c r="B61" s="396"/>
      <c r="C61" s="396" t="s">
        <v>20</v>
      </c>
      <c r="D61" s="398" t="s">
        <v>497</v>
      </c>
      <c r="E61" s="396"/>
      <c r="F61" s="396"/>
      <c r="G61" s="184"/>
      <c r="H61" s="184">
        <v>14046748</v>
      </c>
      <c r="I61" s="29"/>
    </row>
    <row r="62" spans="1:9" ht="28.5" customHeight="1">
      <c r="A62" s="397"/>
      <c r="B62" s="396"/>
      <c r="C62" s="435" t="s">
        <v>451</v>
      </c>
      <c r="D62" s="435"/>
      <c r="E62" s="435"/>
      <c r="F62" s="435"/>
      <c r="G62" s="33">
        <f>G59+G60</f>
        <v>34532111</v>
      </c>
      <c r="H62" s="33">
        <f>H59+H60+H61</f>
        <v>74618628</v>
      </c>
      <c r="I62" s="29">
        <f>(H62/G62)*100</f>
        <v>216.0847565907569</v>
      </c>
    </row>
    <row r="63" spans="1:9" ht="30" customHeight="1">
      <c r="A63" s="435" t="s">
        <v>136</v>
      </c>
      <c r="B63" s="435"/>
      <c r="C63" s="435"/>
      <c r="D63" s="435"/>
      <c r="E63" s="435"/>
      <c r="F63" s="439"/>
      <c r="G63" s="33">
        <f>G57+G62</f>
        <v>40229664</v>
      </c>
      <c r="H63" s="33">
        <f>H57+H62</f>
        <v>74618628</v>
      </c>
      <c r="I63" s="29">
        <f>(H63/G63)*100</f>
        <v>185.48160879494296</v>
      </c>
    </row>
    <row r="64" spans="1:19" ht="15">
      <c r="A64" s="10" t="s">
        <v>137</v>
      </c>
      <c r="B64" s="10" t="s">
        <v>91</v>
      </c>
      <c r="C64" s="10"/>
      <c r="D64" s="10"/>
      <c r="E64" s="10"/>
      <c r="F64" s="10"/>
      <c r="G64" s="10"/>
      <c r="H64" s="182"/>
      <c r="I64" s="29"/>
      <c r="L64" s="432"/>
      <c r="M64" s="433"/>
      <c r="N64" s="433"/>
      <c r="O64" s="433"/>
      <c r="P64" s="433"/>
      <c r="Q64" s="433"/>
      <c r="R64" s="433"/>
      <c r="S64" s="433"/>
    </row>
    <row r="65" spans="1:9" ht="15">
      <c r="A65" s="8"/>
      <c r="B65" s="8" t="s">
        <v>145</v>
      </c>
      <c r="C65" s="8" t="s">
        <v>138</v>
      </c>
      <c r="D65" s="8"/>
      <c r="E65" s="8"/>
      <c r="F65" s="8"/>
      <c r="G65" s="8"/>
      <c r="H65" s="177"/>
      <c r="I65" s="29"/>
    </row>
    <row r="66" spans="1:9" ht="15">
      <c r="A66" s="8"/>
      <c r="B66" s="8"/>
      <c r="C66" s="8" t="s">
        <v>18</v>
      </c>
      <c r="D66" s="8" t="s">
        <v>139</v>
      </c>
      <c r="E66" s="8"/>
      <c r="F66" s="8"/>
      <c r="G66" s="177">
        <v>110000</v>
      </c>
      <c r="H66" s="177">
        <v>110000</v>
      </c>
      <c r="I66" s="29">
        <f>H66/G66*100</f>
        <v>100</v>
      </c>
    </row>
    <row r="67" spans="1:9" ht="15">
      <c r="A67" s="10"/>
      <c r="B67" s="10" t="s">
        <v>18</v>
      </c>
      <c r="C67" s="10" t="s">
        <v>140</v>
      </c>
      <c r="D67" s="10"/>
      <c r="E67" s="10"/>
      <c r="F67" s="10"/>
      <c r="G67" s="10"/>
      <c r="H67" s="182"/>
      <c r="I67" s="29"/>
    </row>
    <row r="68" spans="1:9" ht="15">
      <c r="A68" s="8"/>
      <c r="B68" s="8"/>
      <c r="C68" s="8" t="s">
        <v>18</v>
      </c>
      <c r="D68" s="8" t="s">
        <v>141</v>
      </c>
      <c r="E68" s="8"/>
      <c r="F68" s="8"/>
      <c r="G68" s="177">
        <v>1000000</v>
      </c>
      <c r="H68" s="177">
        <v>1000000</v>
      </c>
      <c r="I68" s="29">
        <f>H68/G68*100</f>
        <v>100</v>
      </c>
    </row>
    <row r="69" spans="1:9" ht="15">
      <c r="A69" s="10"/>
      <c r="B69" s="10" t="s">
        <v>19</v>
      </c>
      <c r="C69" s="10" t="s">
        <v>142</v>
      </c>
      <c r="D69" s="10"/>
      <c r="E69" s="10"/>
      <c r="F69" s="10"/>
      <c r="G69" s="182"/>
      <c r="H69" s="182"/>
      <c r="I69" s="29"/>
    </row>
    <row r="70" spans="1:9" ht="15">
      <c r="A70" s="8"/>
      <c r="B70" s="8"/>
      <c r="C70" s="8" t="s">
        <v>18</v>
      </c>
      <c r="D70" s="8" t="s">
        <v>143</v>
      </c>
      <c r="E70" s="8"/>
      <c r="F70" s="8"/>
      <c r="G70" s="177">
        <v>200000</v>
      </c>
      <c r="H70" s="177">
        <v>200000</v>
      </c>
      <c r="I70" s="29">
        <f>H70/G70*100</f>
        <v>100</v>
      </c>
    </row>
    <row r="71" spans="1:9" ht="15">
      <c r="A71" s="10"/>
      <c r="B71" s="10" t="s">
        <v>21</v>
      </c>
      <c r="C71" s="10" t="s">
        <v>144</v>
      </c>
      <c r="D71" s="10"/>
      <c r="E71" s="10"/>
      <c r="F71" s="10"/>
      <c r="G71" s="182"/>
      <c r="H71" s="182"/>
      <c r="I71" s="29"/>
    </row>
    <row r="72" spans="1:9" ht="15">
      <c r="A72" s="8"/>
      <c r="B72" s="8"/>
      <c r="C72" s="10" t="s">
        <v>18</v>
      </c>
      <c r="D72" s="8" t="s">
        <v>146</v>
      </c>
      <c r="E72" s="8"/>
      <c r="F72" s="8"/>
      <c r="G72" s="177">
        <v>5000</v>
      </c>
      <c r="H72" s="177">
        <v>5000</v>
      </c>
      <c r="I72" s="29">
        <f>H72/G72*100</f>
        <v>100</v>
      </c>
    </row>
    <row r="73" spans="1:9" ht="15">
      <c r="A73" s="8"/>
      <c r="B73" s="8"/>
      <c r="C73" s="10" t="s">
        <v>20</v>
      </c>
      <c r="D73" s="8" t="s">
        <v>147</v>
      </c>
      <c r="E73" s="8"/>
      <c r="F73" s="8"/>
      <c r="G73" s="177">
        <v>5000</v>
      </c>
      <c r="H73" s="177">
        <v>5000</v>
      </c>
      <c r="I73" s="29">
        <f>H73/G73*100</f>
        <v>100</v>
      </c>
    </row>
    <row r="74" spans="1:9" ht="15">
      <c r="A74" s="10" t="s">
        <v>148</v>
      </c>
      <c r="B74" s="38"/>
      <c r="C74" s="38"/>
      <c r="D74" s="38"/>
      <c r="E74" s="38"/>
      <c r="F74" s="38"/>
      <c r="G74" s="188">
        <f>SUM(G66:G73)</f>
        <v>1320000</v>
      </c>
      <c r="H74" s="188">
        <f>SUM(H66:H73)</f>
        <v>1320000</v>
      </c>
      <c r="I74" s="30">
        <f>H74/G74*100</f>
        <v>100</v>
      </c>
    </row>
    <row r="75" spans="1:9" ht="15">
      <c r="A75" s="10" t="s">
        <v>149</v>
      </c>
      <c r="B75" s="10" t="s">
        <v>92</v>
      </c>
      <c r="C75" s="10"/>
      <c r="D75" s="10"/>
      <c r="E75" s="10"/>
      <c r="F75" s="10"/>
      <c r="G75" s="10"/>
      <c r="H75" s="182"/>
      <c r="I75" s="29"/>
    </row>
    <row r="76" spans="1:9" ht="6" customHeight="1">
      <c r="A76" s="38"/>
      <c r="B76" s="38"/>
      <c r="C76" s="38"/>
      <c r="D76" s="38"/>
      <c r="E76" s="38"/>
      <c r="F76" s="38"/>
      <c r="G76" s="184"/>
      <c r="H76" s="184"/>
      <c r="I76" s="29"/>
    </row>
    <row r="77" spans="1:9" ht="15">
      <c r="A77" s="38"/>
      <c r="B77" s="38" t="s">
        <v>18</v>
      </c>
      <c r="C77" s="442" t="s">
        <v>150</v>
      </c>
      <c r="D77" s="442"/>
      <c r="E77" s="442"/>
      <c r="F77" s="442"/>
      <c r="G77" s="184"/>
      <c r="H77" s="184"/>
      <c r="I77" s="29"/>
    </row>
    <row r="78" spans="1:9" ht="15">
      <c r="A78" s="38"/>
      <c r="B78" s="38"/>
      <c r="C78" s="41" t="s">
        <v>18</v>
      </c>
      <c r="D78" s="41" t="s">
        <v>151</v>
      </c>
      <c r="E78" s="41"/>
      <c r="F78" s="41"/>
      <c r="G78" s="184">
        <v>596046</v>
      </c>
      <c r="H78" s="184">
        <f>562424+23622+10000</f>
        <v>596046</v>
      </c>
      <c r="I78" s="29">
        <f>H78/G78*100</f>
        <v>100</v>
      </c>
    </row>
    <row r="79" spans="1:9" ht="15">
      <c r="A79" s="38"/>
      <c r="B79" s="38"/>
      <c r="C79" s="41" t="s">
        <v>19</v>
      </c>
      <c r="D79" s="41" t="s">
        <v>152</v>
      </c>
      <c r="E79" s="41"/>
      <c r="F79" s="41"/>
      <c r="G79" s="184">
        <v>578690</v>
      </c>
      <c r="H79" s="184">
        <v>448788</v>
      </c>
      <c r="I79" s="29">
        <f>H79/G79*100</f>
        <v>77.55240284089928</v>
      </c>
    </row>
    <row r="80" spans="1:9" ht="15">
      <c r="A80" s="38"/>
      <c r="B80" s="38"/>
      <c r="C80" s="41" t="s">
        <v>20</v>
      </c>
      <c r="D80" s="41" t="s">
        <v>153</v>
      </c>
      <c r="E80" s="38"/>
      <c r="F80" s="38"/>
      <c r="G80" s="184">
        <v>2000</v>
      </c>
      <c r="H80" s="184"/>
      <c r="I80" s="29"/>
    </row>
    <row r="81" spans="1:9" ht="15.75">
      <c r="A81" s="38"/>
      <c r="B81" s="38"/>
      <c r="C81" s="41" t="s">
        <v>21</v>
      </c>
      <c r="D81" s="41" t="s">
        <v>388</v>
      </c>
      <c r="E81" s="38"/>
      <c r="F81" s="38"/>
      <c r="G81" s="184">
        <v>391396</v>
      </c>
      <c r="H81" s="184">
        <v>365592</v>
      </c>
      <c r="I81" s="31">
        <f>H81/G81*100</f>
        <v>93.40718862737484</v>
      </c>
    </row>
    <row r="82" spans="1:9" ht="15.75">
      <c r="A82" s="38"/>
      <c r="B82" s="38"/>
      <c r="C82" s="41" t="s">
        <v>22</v>
      </c>
      <c r="D82" s="41" t="s">
        <v>391</v>
      </c>
      <c r="E82" s="38"/>
      <c r="F82" s="38"/>
      <c r="G82" s="184">
        <v>9547582</v>
      </c>
      <c r="H82" s="184">
        <v>16582383</v>
      </c>
      <c r="I82" s="31">
        <f>H82/G82*100</f>
        <v>173.68149338754043</v>
      </c>
    </row>
    <row r="83" spans="1:9" ht="15.75" customHeight="1">
      <c r="A83" s="10" t="s">
        <v>154</v>
      </c>
      <c r="B83" s="38"/>
      <c r="C83" s="38"/>
      <c r="D83" s="38"/>
      <c r="E83" s="38"/>
      <c r="F83" s="38"/>
      <c r="G83" s="188">
        <f>G78+G79+G80+G81+G82</f>
        <v>11115714</v>
      </c>
      <c r="H83" s="188">
        <f>H78+H79+H80+H81+H82</f>
        <v>17992809</v>
      </c>
      <c r="I83" s="30">
        <f>H83/G83*100</f>
        <v>161.86822546891725</v>
      </c>
    </row>
    <row r="84" spans="1:9" ht="6" customHeight="1" hidden="1">
      <c r="A84" s="10"/>
      <c r="B84" s="38"/>
      <c r="C84" s="38"/>
      <c r="D84" s="38"/>
      <c r="E84" s="38"/>
      <c r="F84" s="38"/>
      <c r="G84" s="188"/>
      <c r="H84" s="188"/>
      <c r="I84" s="30"/>
    </row>
    <row r="85" spans="1:9" ht="15">
      <c r="A85" s="10" t="s">
        <v>155</v>
      </c>
      <c r="B85" s="10" t="s">
        <v>96</v>
      </c>
      <c r="C85" s="10"/>
      <c r="D85" s="10"/>
      <c r="E85" s="10"/>
      <c r="F85" s="10"/>
      <c r="G85" s="10"/>
      <c r="H85" s="182"/>
      <c r="I85" s="29"/>
    </row>
    <row r="86" spans="1:9" ht="27.75" customHeight="1">
      <c r="A86" s="8"/>
      <c r="B86" s="47" t="s">
        <v>18</v>
      </c>
      <c r="C86" s="444" t="s">
        <v>206</v>
      </c>
      <c r="D86" s="444"/>
      <c r="E86" s="444"/>
      <c r="F86" s="444"/>
      <c r="G86" s="32"/>
      <c r="H86" s="183"/>
      <c r="I86" s="29"/>
    </row>
    <row r="87" spans="1:9" ht="30" customHeight="1">
      <c r="A87" s="8"/>
      <c r="B87" s="8"/>
      <c r="C87" s="47" t="s">
        <v>18</v>
      </c>
      <c r="D87" s="444" t="s">
        <v>482</v>
      </c>
      <c r="E87" s="444"/>
      <c r="F87" s="444"/>
      <c r="G87" s="184"/>
      <c r="H87" s="189"/>
      <c r="I87" s="29"/>
    </row>
    <row r="88" spans="1:9" ht="0.75" customHeight="1">
      <c r="A88" s="8"/>
      <c r="B88" s="8"/>
      <c r="C88" s="8"/>
      <c r="D88" s="8"/>
      <c r="E88" s="8"/>
      <c r="F88" s="8"/>
      <c r="G88" s="8"/>
      <c r="H88" s="177"/>
      <c r="I88" s="29"/>
    </row>
    <row r="89" spans="1:9" ht="27.75" customHeight="1">
      <c r="A89" s="416" t="s">
        <v>203</v>
      </c>
      <c r="B89" s="416"/>
      <c r="C89" s="416"/>
      <c r="D89" s="416"/>
      <c r="E89" s="416"/>
      <c r="F89" s="416"/>
      <c r="G89" s="33">
        <f>SUM(G87:G88)</f>
        <v>0</v>
      </c>
      <c r="H89" s="33">
        <f>SUM(H87:H88)</f>
        <v>0</v>
      </c>
      <c r="I89" s="30"/>
    </row>
    <row r="90" spans="1:9" ht="17.25" customHeight="1">
      <c r="A90" s="10" t="s">
        <v>156</v>
      </c>
      <c r="B90" s="10"/>
      <c r="C90" s="10"/>
      <c r="D90" s="10"/>
      <c r="E90" s="10"/>
      <c r="F90" s="10"/>
      <c r="G90" s="33">
        <f>G53+G74+G83+G89+G63</f>
        <v>67424678</v>
      </c>
      <c r="H90" s="33">
        <f>H53+H74+H83+H89+H63</f>
        <v>112616733</v>
      </c>
      <c r="I90" s="30">
        <f>H90/G90*100</f>
        <v>167.0259856487561</v>
      </c>
    </row>
    <row r="91" spans="1:9" ht="26.25" customHeight="1" thickBot="1">
      <c r="A91" s="438" t="s">
        <v>483</v>
      </c>
      <c r="B91" s="438"/>
      <c r="C91" s="438"/>
      <c r="D91" s="438"/>
      <c r="E91" s="438"/>
      <c r="F91" s="438"/>
      <c r="G91" s="438"/>
      <c r="H91" s="438"/>
      <c r="I91" s="438"/>
    </row>
    <row r="92" spans="1:9" ht="17.25" customHeight="1">
      <c r="A92" s="422" t="s">
        <v>111</v>
      </c>
      <c r="B92" s="423"/>
      <c r="C92" s="423"/>
      <c r="D92" s="423"/>
      <c r="E92" s="423"/>
      <c r="F92" s="424"/>
      <c r="G92" s="178" t="s">
        <v>0</v>
      </c>
      <c r="H92" s="178" t="s">
        <v>0</v>
      </c>
      <c r="I92" s="37" t="s">
        <v>196</v>
      </c>
    </row>
    <row r="93" spans="1:9" ht="17.25" customHeight="1">
      <c r="A93" s="425"/>
      <c r="B93" s="426"/>
      <c r="C93" s="426"/>
      <c r="D93" s="426"/>
      <c r="E93" s="426"/>
      <c r="F93" s="427"/>
      <c r="G93" s="179" t="s">
        <v>46</v>
      </c>
      <c r="H93" s="179" t="s">
        <v>46</v>
      </c>
      <c r="I93" s="44"/>
    </row>
    <row r="94" spans="1:9" ht="17.25" customHeight="1" thickBot="1">
      <c r="A94" s="428"/>
      <c r="B94" s="429"/>
      <c r="C94" s="429"/>
      <c r="D94" s="429"/>
      <c r="E94" s="429"/>
      <c r="F94" s="430"/>
      <c r="G94" s="180" t="s">
        <v>449</v>
      </c>
      <c r="H94" s="180" t="s">
        <v>459</v>
      </c>
      <c r="I94" s="45" t="s">
        <v>1</v>
      </c>
    </row>
    <row r="95" spans="1:9" ht="17.25" customHeight="1">
      <c r="A95" s="10"/>
      <c r="B95" s="10"/>
      <c r="C95" s="10"/>
      <c r="D95" s="10"/>
      <c r="E95" s="10"/>
      <c r="F95" s="10"/>
      <c r="G95" s="33"/>
      <c r="H95" s="33"/>
      <c r="I95" s="30"/>
    </row>
    <row r="96" spans="1:9" ht="15">
      <c r="A96" s="10" t="s">
        <v>157</v>
      </c>
      <c r="B96" s="416" t="s">
        <v>158</v>
      </c>
      <c r="C96" s="416"/>
      <c r="D96" s="416"/>
      <c r="E96" s="416"/>
      <c r="F96" s="416"/>
      <c r="G96" s="10"/>
      <c r="H96" s="183"/>
      <c r="I96" s="29"/>
    </row>
    <row r="97" spans="1:9" ht="15">
      <c r="A97" s="10"/>
      <c r="B97" s="36" t="s">
        <v>18</v>
      </c>
      <c r="C97" s="416" t="s">
        <v>204</v>
      </c>
      <c r="D97" s="416"/>
      <c r="E97" s="416"/>
      <c r="F97" s="416"/>
      <c r="G97" s="184"/>
      <c r="H97" s="183"/>
      <c r="I97" s="29"/>
    </row>
    <row r="98" spans="1:9" ht="15.75">
      <c r="A98" s="10"/>
      <c r="B98" s="36"/>
      <c r="C98" s="50" t="s">
        <v>18</v>
      </c>
      <c r="D98" s="444" t="s">
        <v>214</v>
      </c>
      <c r="E98" s="444"/>
      <c r="F98" s="444"/>
      <c r="G98" s="183">
        <v>3098641</v>
      </c>
      <c r="H98" s="183">
        <f>1656758+78740+40000+183400+34478+12308598</f>
        <v>14301974</v>
      </c>
      <c r="I98" s="31">
        <f>H98/G98*100</f>
        <v>461.55634034404113</v>
      </c>
    </row>
    <row r="99" spans="1:9" ht="15" customHeight="1">
      <c r="A99" s="10"/>
      <c r="B99" s="36"/>
      <c r="C99" s="50" t="s">
        <v>19</v>
      </c>
      <c r="D99" s="444" t="s">
        <v>205</v>
      </c>
      <c r="E99" s="444"/>
      <c r="F99" s="444"/>
      <c r="G99" s="183"/>
      <c r="H99" s="8"/>
      <c r="I99" s="29"/>
    </row>
    <row r="100" spans="1:9" ht="15.75">
      <c r="A100" s="10" t="s">
        <v>158</v>
      </c>
      <c r="B100" s="10"/>
      <c r="C100" s="10"/>
      <c r="D100" s="10"/>
      <c r="E100" s="10"/>
      <c r="F100" s="10"/>
      <c r="G100" s="33">
        <f>G98+G99</f>
        <v>3098641</v>
      </c>
      <c r="H100" s="33">
        <f>H98+H99</f>
        <v>14301974</v>
      </c>
      <c r="I100" s="31">
        <f>H100/G100*100</f>
        <v>461.55634034404113</v>
      </c>
    </row>
    <row r="101" spans="1:9" ht="6" customHeight="1">
      <c r="A101" s="10"/>
      <c r="B101" s="10"/>
      <c r="C101" s="10"/>
      <c r="D101" s="10"/>
      <c r="E101" s="10"/>
      <c r="F101" s="10"/>
      <c r="G101" s="33"/>
      <c r="H101" s="33"/>
      <c r="I101" s="30"/>
    </row>
    <row r="102" spans="1:9" ht="15.75">
      <c r="A102" s="12" t="s">
        <v>159</v>
      </c>
      <c r="B102" s="12"/>
      <c r="C102" s="12"/>
      <c r="D102" s="12"/>
      <c r="E102" s="12"/>
      <c r="F102" s="12"/>
      <c r="G102" s="52">
        <f>G90+G100</f>
        <v>70523319</v>
      </c>
      <c r="H102" s="52">
        <f>H90+H100</f>
        <v>126918707</v>
      </c>
      <c r="I102" s="31">
        <f>H102/G102*100</f>
        <v>179.96700779213185</v>
      </c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</sheetData>
  <sheetProtection/>
  <mergeCells count="51">
    <mergeCell ref="D99:F99"/>
    <mergeCell ref="D87:F87"/>
    <mergeCell ref="A89:F89"/>
    <mergeCell ref="B96:F96"/>
    <mergeCell ref="C97:F97"/>
    <mergeCell ref="C86:F86"/>
    <mergeCell ref="A91:I91"/>
    <mergeCell ref="C39:F39"/>
    <mergeCell ref="A92:F94"/>
    <mergeCell ref="B35:F35"/>
    <mergeCell ref="E36:F36"/>
    <mergeCell ref="D98:F98"/>
    <mergeCell ref="C58:F58"/>
    <mergeCell ref="D56:F56"/>
    <mergeCell ref="A63:F63"/>
    <mergeCell ref="E30:F30"/>
    <mergeCell ref="B54:F54"/>
    <mergeCell ref="B48:F48"/>
    <mergeCell ref="B38:F38"/>
    <mergeCell ref="E40:F40"/>
    <mergeCell ref="C77:F77"/>
    <mergeCell ref="L64:S64"/>
    <mergeCell ref="D50:F50"/>
    <mergeCell ref="B52:F52"/>
    <mergeCell ref="A53:F53"/>
    <mergeCell ref="C62:F62"/>
    <mergeCell ref="A43:F43"/>
    <mergeCell ref="A44:I44"/>
    <mergeCell ref="C55:F55"/>
    <mergeCell ref="C57:F57"/>
    <mergeCell ref="D51:F51"/>
    <mergeCell ref="H7:I7"/>
    <mergeCell ref="A8:F10"/>
    <mergeCell ref="B11:F11"/>
    <mergeCell ref="A45:F47"/>
    <mergeCell ref="E27:F27"/>
    <mergeCell ref="C33:F33"/>
    <mergeCell ref="E28:F28"/>
    <mergeCell ref="E29:F29"/>
    <mergeCell ref="E31:F31"/>
    <mergeCell ref="E32:F32"/>
    <mergeCell ref="A2:I2"/>
    <mergeCell ref="E14:F14"/>
    <mergeCell ref="E15:F15"/>
    <mergeCell ref="A24:F25"/>
    <mergeCell ref="B26:F26"/>
    <mergeCell ref="A3:I3"/>
    <mergeCell ref="A4:I4"/>
    <mergeCell ref="A5:I5"/>
    <mergeCell ref="D13:F13"/>
    <mergeCell ref="A6:I6"/>
  </mergeCells>
  <printOptions/>
  <pageMargins left="0.3937007874015748" right="0.5118110236220472" top="0.2755905511811024" bottom="0.3937007874015748" header="0.31496062992125984" footer="0.3937007874015748"/>
  <pageSetup fitToHeight="0" fitToWidth="1" horizontalDpi="300" verticalDpi="3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P29"/>
  <sheetViews>
    <sheetView zoomScalePageLayoutView="0" workbookViewId="0" topLeftCell="A1">
      <selection activeCell="A3" sqref="A3:G3"/>
    </sheetView>
  </sheetViews>
  <sheetFormatPr defaultColWidth="9.00390625" defaultRowHeight="12.75"/>
  <cols>
    <col min="3" max="3" width="53.625" style="0" customWidth="1"/>
    <col min="4" max="4" width="16.1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168"/>
      <c r="B2" s="190"/>
      <c r="C2" s="190"/>
      <c r="D2" s="190"/>
      <c r="E2" s="190"/>
      <c r="F2" s="190"/>
      <c r="G2" s="190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5.75">
      <c r="A3" s="457" t="s">
        <v>504</v>
      </c>
      <c r="B3" s="413"/>
      <c r="C3" s="413"/>
      <c r="D3" s="413"/>
      <c r="E3" s="413"/>
      <c r="F3" s="413"/>
      <c r="G3" s="413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5.75">
      <c r="A4" s="168"/>
      <c r="B4" s="462"/>
      <c r="C4" s="463"/>
      <c r="D4" s="463"/>
      <c r="E4" s="463"/>
      <c r="F4" s="463"/>
      <c r="G4" s="463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5.75">
      <c r="A5" s="168"/>
      <c r="B5" s="461" t="s">
        <v>324</v>
      </c>
      <c r="C5" s="461"/>
      <c r="D5" s="461"/>
      <c r="E5" s="461"/>
      <c r="F5" s="461"/>
      <c r="G5" s="461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5.75">
      <c r="A6" s="168"/>
      <c r="B6" s="461" t="s">
        <v>325</v>
      </c>
      <c r="C6" s="461"/>
      <c r="D6" s="461"/>
      <c r="E6" s="461"/>
      <c r="F6" s="461"/>
      <c r="G6" s="461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5.75">
      <c r="A7" s="168"/>
      <c r="B7" s="461" t="s">
        <v>459</v>
      </c>
      <c r="C7" s="461"/>
      <c r="D7" s="461"/>
      <c r="E7" s="461"/>
      <c r="F7" s="461"/>
      <c r="G7" s="461"/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6.5" thickBot="1">
      <c r="A8" s="168"/>
      <c r="B8" s="190"/>
      <c r="C8" s="190"/>
      <c r="D8" s="190"/>
      <c r="E8" s="190"/>
      <c r="F8" s="190"/>
      <c r="G8" s="194" t="s">
        <v>381</v>
      </c>
      <c r="H8" s="191"/>
      <c r="I8" s="191"/>
      <c r="J8" s="195"/>
      <c r="K8" s="191"/>
      <c r="L8" s="191"/>
      <c r="M8" s="191"/>
      <c r="N8" s="195"/>
      <c r="O8" s="195"/>
      <c r="P8" s="191"/>
    </row>
    <row r="9" spans="1:16" ht="16.5" thickBot="1">
      <c r="A9" s="458" t="s">
        <v>392</v>
      </c>
      <c r="B9" s="464" t="s">
        <v>326</v>
      </c>
      <c r="C9" s="467" t="s">
        <v>162</v>
      </c>
      <c r="D9" s="470" t="s">
        <v>327</v>
      </c>
      <c r="E9" s="446" t="s">
        <v>328</v>
      </c>
      <c r="F9" s="447"/>
      <c r="G9" s="448"/>
      <c r="H9" s="66"/>
      <c r="I9" s="66"/>
      <c r="J9" s="66"/>
      <c r="K9" s="66"/>
      <c r="L9" s="66"/>
      <c r="M9" s="66"/>
      <c r="N9" s="66"/>
      <c r="O9" s="66"/>
      <c r="P9" s="66"/>
    </row>
    <row r="10" spans="1:16" ht="15.75">
      <c r="A10" s="459"/>
      <c r="B10" s="465"/>
      <c r="C10" s="468"/>
      <c r="D10" s="471"/>
      <c r="E10" s="449" t="s">
        <v>329</v>
      </c>
      <c r="F10" s="449" t="s">
        <v>330</v>
      </c>
      <c r="G10" s="450" t="s">
        <v>331</v>
      </c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6.5" thickBot="1">
      <c r="A11" s="459"/>
      <c r="B11" s="465"/>
      <c r="C11" s="468"/>
      <c r="D11" s="471"/>
      <c r="E11" s="449"/>
      <c r="F11" s="449"/>
      <c r="G11" s="450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5.75">
      <c r="A12" s="459"/>
      <c r="B12" s="465"/>
      <c r="C12" s="468"/>
      <c r="D12" s="471"/>
      <c r="E12" s="451" t="s">
        <v>332</v>
      </c>
      <c r="F12" s="452"/>
      <c r="G12" s="453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19.5" customHeight="1" thickBot="1">
      <c r="A13" s="460"/>
      <c r="B13" s="466"/>
      <c r="C13" s="469"/>
      <c r="D13" s="472"/>
      <c r="E13" s="454"/>
      <c r="F13" s="455"/>
      <c r="G13" s="456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15.75">
      <c r="A14" s="196" t="s">
        <v>18</v>
      </c>
      <c r="B14" s="197" t="s">
        <v>454</v>
      </c>
      <c r="C14" s="198" t="s">
        <v>455</v>
      </c>
      <c r="D14" s="199">
        <f aca="true" t="shared" si="0" ref="D14:D22">E14+F14+G14</f>
        <v>1200860</v>
      </c>
      <c r="E14" s="200">
        <f>505557+422177+273126</f>
        <v>1200860</v>
      </c>
      <c r="F14" s="200"/>
      <c r="G14" s="201"/>
      <c r="H14" s="202"/>
      <c r="I14" s="202"/>
      <c r="J14" s="203"/>
      <c r="K14" s="204"/>
      <c r="L14" s="205"/>
      <c r="M14" s="205"/>
      <c r="N14" s="203"/>
      <c r="O14" s="203"/>
      <c r="P14" s="205"/>
    </row>
    <row r="15" spans="1:16" ht="15.75">
      <c r="A15" s="206" t="s">
        <v>19</v>
      </c>
      <c r="B15" s="207" t="s">
        <v>333</v>
      </c>
      <c r="C15" s="208" t="s">
        <v>334</v>
      </c>
      <c r="D15" s="209">
        <f t="shared" si="0"/>
        <v>31066184</v>
      </c>
      <c r="E15" s="210">
        <f>15304811+63994+63728+1150000+345440+60000+14046748+31463</f>
        <v>31066184</v>
      </c>
      <c r="F15" s="210"/>
      <c r="G15" s="211"/>
      <c r="H15" s="202"/>
      <c r="I15" s="202"/>
      <c r="J15" s="203"/>
      <c r="K15" s="205"/>
      <c r="L15" s="205"/>
      <c r="M15" s="205"/>
      <c r="N15" s="203"/>
      <c r="O15" s="203"/>
      <c r="P15" s="205"/>
    </row>
    <row r="16" spans="1:16" ht="15.75">
      <c r="A16" s="206" t="s">
        <v>20</v>
      </c>
      <c r="B16" s="207" t="s">
        <v>389</v>
      </c>
      <c r="C16" s="208" t="s">
        <v>390</v>
      </c>
      <c r="D16" s="209">
        <f t="shared" si="0"/>
        <v>14301974</v>
      </c>
      <c r="E16" s="210">
        <f>14301974</f>
        <v>14301974</v>
      </c>
      <c r="F16" s="210"/>
      <c r="G16" s="211"/>
      <c r="H16" s="202"/>
      <c r="I16" s="202"/>
      <c r="J16" s="203"/>
      <c r="K16" s="205"/>
      <c r="L16" s="205"/>
      <c r="M16" s="205"/>
      <c r="N16" s="203"/>
      <c r="O16" s="203"/>
      <c r="P16" s="205"/>
    </row>
    <row r="17" spans="1:16" ht="15.75">
      <c r="A17" s="206" t="s">
        <v>21</v>
      </c>
      <c r="B17" s="212" t="s">
        <v>180</v>
      </c>
      <c r="C17" s="213" t="s">
        <v>181</v>
      </c>
      <c r="D17" s="209">
        <f t="shared" si="0"/>
        <v>77009776</v>
      </c>
      <c r="E17" s="210">
        <v>77009776</v>
      </c>
      <c r="F17" s="210"/>
      <c r="G17" s="211"/>
      <c r="H17" s="202"/>
      <c r="I17" s="202"/>
      <c r="J17" s="203"/>
      <c r="K17" s="205"/>
      <c r="L17" s="205"/>
      <c r="M17" s="205"/>
      <c r="N17" s="203"/>
      <c r="O17" s="203"/>
      <c r="P17" s="205"/>
    </row>
    <row r="18" spans="1:16" ht="15.75">
      <c r="A18" s="206" t="s">
        <v>22</v>
      </c>
      <c r="B18" s="207" t="s">
        <v>184</v>
      </c>
      <c r="C18" s="208" t="s">
        <v>185</v>
      </c>
      <c r="D18" s="209">
        <f t="shared" si="0"/>
        <v>756978</v>
      </c>
      <c r="E18" s="210"/>
      <c r="F18" s="210">
        <v>756978</v>
      </c>
      <c r="G18" s="211"/>
      <c r="H18" s="202"/>
      <c r="I18" s="202"/>
      <c r="J18" s="203"/>
      <c r="K18" s="205"/>
      <c r="L18" s="205"/>
      <c r="M18" s="205"/>
      <c r="N18" s="203"/>
      <c r="O18" s="203"/>
      <c r="P18" s="205"/>
    </row>
    <row r="19" spans="1:16" ht="30">
      <c r="A19" s="206" t="s">
        <v>23</v>
      </c>
      <c r="B19" s="212" t="s">
        <v>225</v>
      </c>
      <c r="C19" s="242" t="s">
        <v>226</v>
      </c>
      <c r="D19" s="209">
        <f t="shared" si="0"/>
        <v>400000</v>
      </c>
      <c r="E19" s="210">
        <v>400000</v>
      </c>
      <c r="F19" s="210"/>
      <c r="G19" s="211"/>
      <c r="H19" s="202"/>
      <c r="I19" s="202"/>
      <c r="J19" s="203"/>
      <c r="K19" s="205"/>
      <c r="L19" s="205"/>
      <c r="M19" s="205"/>
      <c r="N19" s="203"/>
      <c r="O19" s="203"/>
      <c r="P19" s="205"/>
    </row>
    <row r="20" spans="1:16" ht="15.75">
      <c r="A20" s="206" t="s">
        <v>25</v>
      </c>
      <c r="B20" s="207">
        <v>104051</v>
      </c>
      <c r="C20" s="208" t="s">
        <v>340</v>
      </c>
      <c r="D20" s="209">
        <f t="shared" si="0"/>
        <v>65000</v>
      </c>
      <c r="E20" s="210"/>
      <c r="F20" s="210"/>
      <c r="G20" s="211">
        <v>65000</v>
      </c>
      <c r="H20" s="202"/>
      <c r="I20" s="202"/>
      <c r="J20" s="203"/>
      <c r="K20" s="205"/>
      <c r="L20" s="205"/>
      <c r="M20" s="205"/>
      <c r="N20" s="203"/>
      <c r="O20" s="203"/>
      <c r="P20" s="205"/>
    </row>
    <row r="21" spans="1:16" ht="15.75">
      <c r="A21" s="206" t="s">
        <v>26</v>
      </c>
      <c r="B21" s="214">
        <v>107051</v>
      </c>
      <c r="C21" s="208" t="s">
        <v>191</v>
      </c>
      <c r="D21" s="209">
        <f t="shared" si="0"/>
        <v>797935</v>
      </c>
      <c r="E21" s="215">
        <v>797935</v>
      </c>
      <c r="F21" s="210"/>
      <c r="G21" s="211"/>
      <c r="H21" s="202"/>
      <c r="I21" s="202"/>
      <c r="J21" s="203"/>
      <c r="K21" s="205"/>
      <c r="L21" s="205"/>
      <c r="M21" s="205"/>
      <c r="N21" s="203"/>
      <c r="O21" s="203"/>
      <c r="P21" s="205"/>
    </row>
    <row r="22" spans="1:16" ht="32.25" thickBot="1">
      <c r="A22" s="217" t="s">
        <v>27</v>
      </c>
      <c r="B22" s="207">
        <v>900020</v>
      </c>
      <c r="C22" s="208" t="s">
        <v>341</v>
      </c>
      <c r="D22" s="209">
        <f t="shared" si="0"/>
        <v>1320000</v>
      </c>
      <c r="E22" s="216">
        <v>1320000</v>
      </c>
      <c r="F22" s="210"/>
      <c r="G22" s="211"/>
      <c r="H22" s="202"/>
      <c r="I22" s="202"/>
      <c r="J22" s="203"/>
      <c r="K22" s="205"/>
      <c r="L22" s="205"/>
      <c r="M22" s="205"/>
      <c r="N22" s="203"/>
      <c r="O22" s="203"/>
      <c r="P22" s="205"/>
    </row>
    <row r="23" spans="1:16" ht="16.5" thickBot="1">
      <c r="A23" s="217" t="s">
        <v>28</v>
      </c>
      <c r="B23" s="218"/>
      <c r="C23" s="219" t="s">
        <v>295</v>
      </c>
      <c r="D23" s="220">
        <f>SUM(D14:D22)</f>
        <v>126918707</v>
      </c>
      <c r="E23" s="221">
        <f>SUM(E14:E22)</f>
        <v>126096729</v>
      </c>
      <c r="F23" s="222">
        <f>SUM(F14:F22)</f>
        <v>756978</v>
      </c>
      <c r="G23" s="220">
        <f>SUM(G14:G22)</f>
        <v>65000</v>
      </c>
      <c r="H23" s="202"/>
      <c r="I23" s="202"/>
      <c r="J23" s="223"/>
      <c r="K23" s="202"/>
      <c r="L23" s="202"/>
      <c r="M23" s="202"/>
      <c r="N23" s="223"/>
      <c r="O23" s="202"/>
      <c r="P23" s="202"/>
    </row>
    <row r="24" spans="1:16" ht="15.75">
      <c r="A24" s="224"/>
      <c r="B24" s="402"/>
      <c r="C24" s="402"/>
      <c r="D24" s="402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</row>
    <row r="25" spans="2:16" ht="15.75">
      <c r="B25" s="402"/>
      <c r="C25" s="402"/>
      <c r="D25" s="402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</row>
    <row r="26" spans="2:16" ht="15.75">
      <c r="B26" s="225"/>
      <c r="C26" s="403"/>
      <c r="D26" s="225"/>
      <c r="E26" s="205"/>
      <c r="F26" s="205"/>
      <c r="G26" s="205"/>
      <c r="H26" s="205"/>
      <c r="I26" s="205"/>
      <c r="J26" s="203"/>
      <c r="K26" s="205"/>
      <c r="L26" s="205"/>
      <c r="M26" s="205"/>
      <c r="N26" s="203"/>
      <c r="O26" s="203"/>
      <c r="P26" s="205"/>
    </row>
    <row r="27" spans="2:16" ht="15.75">
      <c r="B27" s="402"/>
      <c r="C27" s="402"/>
      <c r="D27" s="402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</row>
    <row r="28" spans="2:16" ht="15.75">
      <c r="B28" s="402"/>
      <c r="C28" s="402"/>
      <c r="D28" s="402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</row>
    <row r="29" spans="2:16" ht="12.75">
      <c r="B29" s="400"/>
      <c r="C29" s="400"/>
      <c r="D29" s="400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</row>
  </sheetData>
  <sheetProtection/>
  <mergeCells count="14">
    <mergeCell ref="B4:G4"/>
    <mergeCell ref="B9:B13"/>
    <mergeCell ref="C9:C13"/>
    <mergeCell ref="D9:D13"/>
    <mergeCell ref="E9:G9"/>
    <mergeCell ref="E10:E11"/>
    <mergeCell ref="F10:F11"/>
    <mergeCell ref="G10:G11"/>
    <mergeCell ref="E12:G13"/>
    <mergeCell ref="A3:G3"/>
    <mergeCell ref="A9:A13"/>
    <mergeCell ref="B5:G5"/>
    <mergeCell ref="B6:G6"/>
    <mergeCell ref="B7:G7"/>
  </mergeCell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="90" zoomScaleNormal="90" zoomScalePageLayoutView="0" workbookViewId="0" topLeftCell="A1">
      <selection activeCell="A2" sqref="A2:S2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6" width="10.125" style="0" bestFit="1" customWidth="1"/>
    <col min="7" max="7" width="11.75390625" style="0" customWidth="1"/>
    <col min="8" max="8" width="10.125" style="0" bestFit="1" customWidth="1"/>
    <col min="9" max="9" width="11.25390625" style="0" bestFit="1" customWidth="1"/>
    <col min="10" max="10" width="13.125" style="0" customWidth="1"/>
    <col min="11" max="11" width="12.25390625" style="0" customWidth="1"/>
    <col min="12" max="12" width="11.375" style="0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5">
      <c r="A2" s="473" t="s">
        <v>505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ht="16.5" customHeight="1">
      <c r="A3" s="168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</row>
    <row r="4" spans="1:19" ht="18.75">
      <c r="A4" s="168"/>
      <c r="B4" s="477" t="s">
        <v>160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</row>
    <row r="5" spans="1:19" ht="18.75">
      <c r="A5" s="168"/>
      <c r="B5" s="477" t="s">
        <v>194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</row>
    <row r="6" spans="1:19" ht="18.75">
      <c r="A6" s="168"/>
      <c r="B6" s="477" t="s">
        <v>459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</row>
    <row r="7" spans="1:19" ht="15.75" thickBot="1">
      <c r="A7" s="168"/>
      <c r="B7" s="226"/>
      <c r="C7" s="226"/>
      <c r="D7" s="226"/>
      <c r="E7" s="226"/>
      <c r="F7" s="226"/>
      <c r="G7" s="226"/>
      <c r="H7" s="226"/>
      <c r="I7" s="226"/>
      <c r="J7" s="227"/>
      <c r="K7" s="226"/>
      <c r="L7" s="226"/>
      <c r="M7" s="226"/>
      <c r="N7" s="227"/>
      <c r="O7" s="227"/>
      <c r="P7" s="226"/>
      <c r="Q7" s="228"/>
      <c r="R7" s="228" t="s">
        <v>381</v>
      </c>
      <c r="S7" s="168"/>
    </row>
    <row r="8" spans="1:19" ht="15.75" thickBot="1">
      <c r="A8" s="474" t="s">
        <v>392</v>
      </c>
      <c r="B8" s="499" t="s">
        <v>161</v>
      </c>
      <c r="C8" s="501" t="s">
        <v>162</v>
      </c>
      <c r="D8" s="478" t="s">
        <v>163</v>
      </c>
      <c r="E8" s="505" t="s">
        <v>164</v>
      </c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484" t="s">
        <v>437</v>
      </c>
    </row>
    <row r="9" spans="1:19" ht="15.75" thickBot="1">
      <c r="A9" s="475"/>
      <c r="B9" s="500"/>
      <c r="C9" s="502"/>
      <c r="D9" s="479"/>
      <c r="E9" s="486" t="s">
        <v>165</v>
      </c>
      <c r="F9" s="487"/>
      <c r="G9" s="487"/>
      <c r="H9" s="487"/>
      <c r="I9" s="487"/>
      <c r="J9" s="488"/>
      <c r="K9" s="505" t="s">
        <v>166</v>
      </c>
      <c r="L9" s="506"/>
      <c r="M9" s="506"/>
      <c r="N9" s="512"/>
      <c r="O9" s="489" t="s">
        <v>43</v>
      </c>
      <c r="P9" s="489"/>
      <c r="Q9" s="489"/>
      <c r="R9" s="489"/>
      <c r="S9" s="485"/>
    </row>
    <row r="10" spans="1:19" ht="12.75">
      <c r="A10" s="475"/>
      <c r="B10" s="500"/>
      <c r="C10" s="502"/>
      <c r="D10" s="503"/>
      <c r="E10" s="478" t="s">
        <v>29</v>
      </c>
      <c r="F10" s="478" t="s">
        <v>167</v>
      </c>
      <c r="G10" s="478" t="s">
        <v>32</v>
      </c>
      <c r="H10" s="478" t="s">
        <v>34</v>
      </c>
      <c r="I10" s="478" t="s">
        <v>168</v>
      </c>
      <c r="J10" s="496" t="s">
        <v>169</v>
      </c>
      <c r="K10" s="507" t="s">
        <v>37</v>
      </c>
      <c r="L10" s="507" t="s">
        <v>39</v>
      </c>
      <c r="M10" s="478" t="s">
        <v>170</v>
      </c>
      <c r="N10" s="490" t="s">
        <v>171</v>
      </c>
      <c r="O10" s="493" t="s">
        <v>353</v>
      </c>
      <c r="P10" s="478" t="s">
        <v>434</v>
      </c>
      <c r="Q10" s="478" t="s">
        <v>435</v>
      </c>
      <c r="R10" s="481" t="s">
        <v>436</v>
      </c>
      <c r="S10" s="485"/>
    </row>
    <row r="11" spans="1:19" ht="12.75">
      <c r="A11" s="475"/>
      <c r="B11" s="500"/>
      <c r="C11" s="502"/>
      <c r="D11" s="503"/>
      <c r="E11" s="479"/>
      <c r="F11" s="479"/>
      <c r="G11" s="479"/>
      <c r="H11" s="479"/>
      <c r="I11" s="479"/>
      <c r="J11" s="497"/>
      <c r="K11" s="508"/>
      <c r="L11" s="510"/>
      <c r="M11" s="479"/>
      <c r="N11" s="491"/>
      <c r="O11" s="494"/>
      <c r="P11" s="479"/>
      <c r="Q11" s="479"/>
      <c r="R11" s="482"/>
      <c r="S11" s="485"/>
    </row>
    <row r="12" spans="1:19" ht="41.25" customHeight="1" thickBot="1">
      <c r="A12" s="476"/>
      <c r="B12" s="500"/>
      <c r="C12" s="502"/>
      <c r="D12" s="504"/>
      <c r="E12" s="480"/>
      <c r="F12" s="480"/>
      <c r="G12" s="480"/>
      <c r="H12" s="480"/>
      <c r="I12" s="480"/>
      <c r="J12" s="498"/>
      <c r="K12" s="509"/>
      <c r="L12" s="511"/>
      <c r="M12" s="480"/>
      <c r="N12" s="492"/>
      <c r="O12" s="495"/>
      <c r="P12" s="480"/>
      <c r="Q12" s="480"/>
      <c r="R12" s="483"/>
      <c r="S12" s="485"/>
    </row>
    <row r="13" spans="1:19" ht="34.5" customHeight="1">
      <c r="A13" s="229" t="s">
        <v>18</v>
      </c>
      <c r="B13" s="230" t="s">
        <v>172</v>
      </c>
      <c r="C13" s="231" t="s">
        <v>173</v>
      </c>
      <c r="D13" s="232">
        <f>J13+N13</f>
        <v>16676026</v>
      </c>
      <c r="E13" s="233">
        <v>4249616</v>
      </c>
      <c r="F13" s="234">
        <v>846490</v>
      </c>
      <c r="G13" s="234">
        <f>1469982+40000+13117</f>
        <v>1523099</v>
      </c>
      <c r="H13" s="234"/>
      <c r="I13" s="234">
        <f>159425+12308598-1081543-996376-20320-153740-70850-67113-21260</f>
        <v>10056821</v>
      </c>
      <c r="J13" s="235">
        <f aca="true" t="shared" si="0" ref="J13:J32">E13+F13+G13+H13+I13</f>
        <v>16676026</v>
      </c>
      <c r="K13" s="236"/>
      <c r="L13" s="237"/>
      <c r="M13" s="237"/>
      <c r="N13" s="235">
        <f>M13</f>
        <v>0</v>
      </c>
      <c r="O13" s="238"/>
      <c r="P13" s="239"/>
      <c r="Q13" s="239"/>
      <c r="R13" s="240"/>
      <c r="S13" s="241"/>
    </row>
    <row r="14" spans="1:19" ht="19.5" customHeight="1">
      <c r="A14" s="206" t="s">
        <v>19</v>
      </c>
      <c r="B14" s="212" t="s">
        <v>174</v>
      </c>
      <c r="C14" s="242" t="s">
        <v>175</v>
      </c>
      <c r="D14" s="243">
        <f>J14+N14</f>
        <v>172720</v>
      </c>
      <c r="E14" s="233"/>
      <c r="F14" s="234"/>
      <c r="G14" s="234">
        <v>172720</v>
      </c>
      <c r="H14" s="234"/>
      <c r="I14" s="234"/>
      <c r="J14" s="235">
        <f t="shared" si="0"/>
        <v>172720</v>
      </c>
      <c r="K14" s="236"/>
      <c r="L14" s="237"/>
      <c r="M14" s="237"/>
      <c r="N14" s="235"/>
      <c r="O14" s="238"/>
      <c r="P14" s="239"/>
      <c r="Q14" s="239"/>
      <c r="R14" s="244"/>
      <c r="S14" s="241"/>
    </row>
    <row r="15" spans="1:19" ht="27.75" customHeight="1">
      <c r="A15" s="206" t="s">
        <v>20</v>
      </c>
      <c r="B15" s="197" t="s">
        <v>333</v>
      </c>
      <c r="C15" s="198" t="s">
        <v>343</v>
      </c>
      <c r="D15" s="243">
        <f>J15+N15+R15</f>
        <v>646670</v>
      </c>
      <c r="E15" s="233"/>
      <c r="F15" s="234"/>
      <c r="G15" s="234"/>
      <c r="H15" s="234"/>
      <c r="I15" s="234">
        <v>34478</v>
      </c>
      <c r="J15" s="235">
        <f t="shared" si="0"/>
        <v>34478</v>
      </c>
      <c r="K15" s="236"/>
      <c r="L15" s="237"/>
      <c r="M15" s="237"/>
      <c r="N15" s="235"/>
      <c r="O15" s="238">
        <v>612192</v>
      </c>
      <c r="P15" s="239"/>
      <c r="Q15" s="239"/>
      <c r="R15" s="244">
        <f>O15+P15+Q15</f>
        <v>612192</v>
      </c>
      <c r="S15" s="241"/>
    </row>
    <row r="16" spans="1:19" ht="31.5" customHeight="1">
      <c r="A16" s="206" t="s">
        <v>21</v>
      </c>
      <c r="B16" s="197" t="s">
        <v>176</v>
      </c>
      <c r="C16" s="198" t="s">
        <v>177</v>
      </c>
      <c r="D16" s="243">
        <f aca="true" t="shared" si="1" ref="D16:D31">J16+N16</f>
        <v>127000</v>
      </c>
      <c r="E16" s="233"/>
      <c r="F16" s="234"/>
      <c r="G16" s="234">
        <v>127000</v>
      </c>
      <c r="H16" s="234"/>
      <c r="I16" s="234"/>
      <c r="J16" s="235">
        <f t="shared" si="0"/>
        <v>127000</v>
      </c>
      <c r="K16" s="236"/>
      <c r="L16" s="237"/>
      <c r="M16" s="237"/>
      <c r="N16" s="235">
        <f>K16+L16+M16</f>
        <v>0</v>
      </c>
      <c r="O16" s="238"/>
      <c r="P16" s="239"/>
      <c r="Q16" s="239"/>
      <c r="R16" s="244"/>
      <c r="S16" s="241"/>
    </row>
    <row r="17" spans="1:19" ht="24" customHeight="1">
      <c r="A17" s="206" t="s">
        <v>22</v>
      </c>
      <c r="B17" s="197" t="s">
        <v>454</v>
      </c>
      <c r="C17" s="198" t="s">
        <v>455</v>
      </c>
      <c r="D17" s="243">
        <f t="shared" si="1"/>
        <v>1558776</v>
      </c>
      <c r="E17" s="233">
        <f>326119+460644+384672+250924</f>
        <v>1422359</v>
      </c>
      <c r="F17" s="234">
        <f>31797+44913+37505+22202</f>
        <v>136417</v>
      </c>
      <c r="G17" s="234"/>
      <c r="H17" s="234"/>
      <c r="I17" s="234"/>
      <c r="J17" s="235">
        <f t="shared" si="0"/>
        <v>1558776</v>
      </c>
      <c r="K17" s="236"/>
      <c r="L17" s="237"/>
      <c r="M17" s="237"/>
      <c r="N17" s="235"/>
      <c r="O17" s="238"/>
      <c r="P17" s="239"/>
      <c r="Q17" s="239"/>
      <c r="R17" s="244"/>
      <c r="S17" s="241"/>
    </row>
    <row r="18" spans="1:19" s="132" customFormat="1" ht="33.75" customHeight="1">
      <c r="A18" s="245" t="s">
        <v>23</v>
      </c>
      <c r="B18" s="212" t="s">
        <v>178</v>
      </c>
      <c r="C18" s="246" t="s">
        <v>179</v>
      </c>
      <c r="D18" s="247">
        <f t="shared" si="1"/>
        <v>15240</v>
      </c>
      <c r="E18" s="248"/>
      <c r="F18" s="249"/>
      <c r="G18" s="249">
        <v>15240</v>
      </c>
      <c r="H18" s="249"/>
      <c r="I18" s="249"/>
      <c r="J18" s="250">
        <f t="shared" si="0"/>
        <v>15240</v>
      </c>
      <c r="K18" s="251"/>
      <c r="L18" s="252"/>
      <c r="M18" s="252"/>
      <c r="N18" s="250"/>
      <c r="O18" s="253"/>
      <c r="P18" s="254"/>
      <c r="Q18" s="254"/>
      <c r="R18" s="255"/>
      <c r="S18" s="256"/>
    </row>
    <row r="19" spans="1:19" s="132" customFormat="1" ht="30.75" customHeight="1">
      <c r="A19" s="206" t="s">
        <v>25</v>
      </c>
      <c r="B19" s="212" t="s">
        <v>223</v>
      </c>
      <c r="C19" s="246" t="s">
        <v>224</v>
      </c>
      <c r="D19" s="247">
        <f t="shared" si="1"/>
        <v>137160</v>
      </c>
      <c r="E19" s="248"/>
      <c r="F19" s="249"/>
      <c r="G19" s="249">
        <v>137160</v>
      </c>
      <c r="H19" s="249"/>
      <c r="I19" s="249"/>
      <c r="J19" s="250">
        <f t="shared" si="0"/>
        <v>137160</v>
      </c>
      <c r="K19" s="251"/>
      <c r="L19" s="252"/>
      <c r="M19" s="252"/>
      <c r="N19" s="250"/>
      <c r="O19" s="253"/>
      <c r="P19" s="254"/>
      <c r="Q19" s="254"/>
      <c r="R19" s="255"/>
      <c r="S19" s="256"/>
    </row>
    <row r="20" spans="1:19" ht="18.75" customHeight="1">
      <c r="A20" s="206" t="s">
        <v>26</v>
      </c>
      <c r="B20" s="212" t="s">
        <v>180</v>
      </c>
      <c r="C20" s="213" t="s">
        <v>181</v>
      </c>
      <c r="D20" s="243">
        <f t="shared" si="1"/>
        <v>77009776</v>
      </c>
      <c r="E20" s="233"/>
      <c r="F20" s="234"/>
      <c r="G20" s="234">
        <v>16385306</v>
      </c>
      <c r="H20" s="237"/>
      <c r="I20" s="234"/>
      <c r="J20" s="235">
        <f t="shared" si="0"/>
        <v>16385306</v>
      </c>
      <c r="K20" s="236">
        <v>60624470</v>
      </c>
      <c r="L20" s="237"/>
      <c r="M20" s="237"/>
      <c r="N20" s="235">
        <f>K20+L20+M20</f>
        <v>60624470</v>
      </c>
      <c r="O20" s="238"/>
      <c r="P20" s="239"/>
      <c r="Q20" s="239"/>
      <c r="R20" s="257"/>
      <c r="S20" s="241"/>
    </row>
    <row r="21" spans="1:19" ht="18" customHeight="1">
      <c r="A21" s="206" t="s">
        <v>27</v>
      </c>
      <c r="B21" s="212" t="s">
        <v>182</v>
      </c>
      <c r="C21" s="242" t="s">
        <v>183</v>
      </c>
      <c r="D21" s="243">
        <f t="shared" si="1"/>
        <v>820150</v>
      </c>
      <c r="E21" s="233"/>
      <c r="F21" s="234"/>
      <c r="G21" s="234">
        <f>749300+70850</f>
        <v>820150</v>
      </c>
      <c r="H21" s="237"/>
      <c r="I21" s="234"/>
      <c r="J21" s="235">
        <f t="shared" si="0"/>
        <v>820150</v>
      </c>
      <c r="K21" s="236"/>
      <c r="L21" s="237"/>
      <c r="M21" s="237"/>
      <c r="N21" s="235"/>
      <c r="O21" s="238"/>
      <c r="P21" s="239"/>
      <c r="Q21" s="239"/>
      <c r="R21" s="257"/>
      <c r="S21" s="241"/>
    </row>
    <row r="22" spans="1:19" s="132" customFormat="1" ht="30">
      <c r="A22" s="206" t="s">
        <v>27</v>
      </c>
      <c r="B22" s="212" t="s">
        <v>184</v>
      </c>
      <c r="C22" s="246" t="s">
        <v>185</v>
      </c>
      <c r="D22" s="247">
        <f t="shared" si="1"/>
        <v>18163654</v>
      </c>
      <c r="E22" s="248">
        <f>200000-87606</f>
        <v>112394</v>
      </c>
      <c r="F22" s="249">
        <v>35100</v>
      </c>
      <c r="G22" s="249">
        <f>1093080+78740+87606+190500+996376-132190</f>
        <v>2314112</v>
      </c>
      <c r="H22" s="252"/>
      <c r="I22" s="249"/>
      <c r="J22" s="250">
        <f t="shared" si="0"/>
        <v>2461606</v>
      </c>
      <c r="K22" s="251">
        <f>183400+175000+26900</f>
        <v>385300</v>
      </c>
      <c r="L22" s="252">
        <f>1270000+14046748</f>
        <v>15316748</v>
      </c>
      <c r="M22" s="252"/>
      <c r="N22" s="250">
        <f>K22+L22+M22</f>
        <v>15702048</v>
      </c>
      <c r="O22" s="253"/>
      <c r="P22" s="254"/>
      <c r="Q22" s="254"/>
      <c r="R22" s="255"/>
      <c r="S22" s="256"/>
    </row>
    <row r="23" spans="1:19" ht="21" customHeight="1">
      <c r="A23" s="206" t="s">
        <v>28</v>
      </c>
      <c r="B23" s="212" t="s">
        <v>186</v>
      </c>
      <c r="C23" s="242" t="s">
        <v>187</v>
      </c>
      <c r="D23" s="243">
        <f t="shared" si="1"/>
        <v>124460</v>
      </c>
      <c r="E23" s="233"/>
      <c r="F23" s="234"/>
      <c r="G23" s="234">
        <v>124460</v>
      </c>
      <c r="H23" s="237"/>
      <c r="I23" s="234"/>
      <c r="J23" s="235">
        <f t="shared" si="0"/>
        <v>124460</v>
      </c>
      <c r="K23" s="236"/>
      <c r="L23" s="237"/>
      <c r="M23" s="237"/>
      <c r="N23" s="235"/>
      <c r="O23" s="238"/>
      <c r="P23" s="239"/>
      <c r="Q23" s="239"/>
      <c r="R23" s="257"/>
      <c r="S23" s="241"/>
    </row>
    <row r="24" spans="1:19" ht="19.5" customHeight="1">
      <c r="A24" s="206" t="s">
        <v>30</v>
      </c>
      <c r="B24" s="212" t="s">
        <v>188</v>
      </c>
      <c r="C24" s="242" t="s">
        <v>189</v>
      </c>
      <c r="D24" s="243">
        <f t="shared" si="1"/>
        <v>766437</v>
      </c>
      <c r="E24" s="233">
        <v>120000</v>
      </c>
      <c r="F24" s="234">
        <v>21060</v>
      </c>
      <c r="G24" s="234">
        <v>334777</v>
      </c>
      <c r="H24" s="234"/>
      <c r="I24" s="234"/>
      <c r="J24" s="235">
        <f t="shared" si="0"/>
        <v>475837</v>
      </c>
      <c r="K24" s="236">
        <f>317500-26900</f>
        <v>290600</v>
      </c>
      <c r="L24" s="237"/>
      <c r="M24" s="237"/>
      <c r="N24" s="235">
        <f>K24+L24+M24</f>
        <v>290600</v>
      </c>
      <c r="O24" s="238"/>
      <c r="P24" s="239"/>
      <c r="Q24" s="239"/>
      <c r="R24" s="257"/>
      <c r="S24" s="241"/>
    </row>
    <row r="25" spans="1:19" ht="31.5" customHeight="1">
      <c r="A25" s="206" t="s">
        <v>31</v>
      </c>
      <c r="B25" s="212" t="s">
        <v>225</v>
      </c>
      <c r="C25" s="242" t="s">
        <v>226</v>
      </c>
      <c r="D25" s="243">
        <f t="shared" si="1"/>
        <v>2596245</v>
      </c>
      <c r="E25" s="233">
        <f>300000+458960+80000+153740</f>
        <v>992700</v>
      </c>
      <c r="F25" s="234">
        <f>155105+219378+67113</f>
        <v>441596</v>
      </c>
      <c r="G25" s="234">
        <f>796101+24588+130000+190000+21260</f>
        <v>1161949</v>
      </c>
      <c r="H25" s="234"/>
      <c r="I25" s="234"/>
      <c r="J25" s="235">
        <f t="shared" si="0"/>
        <v>2596245</v>
      </c>
      <c r="K25" s="236"/>
      <c r="L25" s="237"/>
      <c r="M25" s="237"/>
      <c r="N25" s="235"/>
      <c r="O25" s="238"/>
      <c r="P25" s="239"/>
      <c r="Q25" s="239"/>
      <c r="R25" s="257"/>
      <c r="S25" s="241"/>
    </row>
    <row r="26" spans="1:19" ht="31.5" customHeight="1">
      <c r="A26" s="206" t="s">
        <v>33</v>
      </c>
      <c r="B26" s="212" t="s">
        <v>227</v>
      </c>
      <c r="C26" s="242" t="s">
        <v>228</v>
      </c>
      <c r="D26" s="243">
        <f t="shared" si="1"/>
        <v>25000</v>
      </c>
      <c r="E26" s="233"/>
      <c r="F26" s="234"/>
      <c r="G26" s="234"/>
      <c r="H26" s="234"/>
      <c r="I26" s="234">
        <v>25000</v>
      </c>
      <c r="J26" s="235">
        <f t="shared" si="0"/>
        <v>25000</v>
      </c>
      <c r="K26" s="236"/>
      <c r="L26" s="237"/>
      <c r="M26" s="237"/>
      <c r="N26" s="235"/>
      <c r="O26" s="238"/>
      <c r="P26" s="239"/>
      <c r="Q26" s="239"/>
      <c r="R26" s="257"/>
      <c r="S26" s="241"/>
    </row>
    <row r="27" spans="1:19" ht="31.5" customHeight="1">
      <c r="A27" s="206" t="s">
        <v>35</v>
      </c>
      <c r="B27" s="212">
        <v>104037</v>
      </c>
      <c r="C27" s="246" t="s">
        <v>457</v>
      </c>
      <c r="D27" s="243">
        <f t="shared" si="1"/>
        <v>99180</v>
      </c>
      <c r="E27" s="233"/>
      <c r="F27" s="234"/>
      <c r="G27" s="234">
        <v>99180</v>
      </c>
      <c r="H27" s="234"/>
      <c r="I27" s="234"/>
      <c r="J27" s="235">
        <f t="shared" si="0"/>
        <v>99180</v>
      </c>
      <c r="K27" s="236"/>
      <c r="L27" s="237"/>
      <c r="M27" s="237"/>
      <c r="N27" s="235"/>
      <c r="O27" s="238"/>
      <c r="P27" s="239"/>
      <c r="Q27" s="239"/>
      <c r="R27" s="257"/>
      <c r="S27" s="241"/>
    </row>
    <row r="28" spans="1:19" ht="34.5" customHeight="1">
      <c r="A28" s="206" t="s">
        <v>36</v>
      </c>
      <c r="B28" s="212">
        <v>104051</v>
      </c>
      <c r="C28" s="242" t="s">
        <v>190</v>
      </c>
      <c r="D28" s="243">
        <f t="shared" si="1"/>
        <v>65000</v>
      </c>
      <c r="E28" s="233"/>
      <c r="F28" s="234"/>
      <c r="G28" s="234"/>
      <c r="H28" s="234">
        <v>65000</v>
      </c>
      <c r="I28" s="234"/>
      <c r="J28" s="235">
        <f t="shared" si="0"/>
        <v>65000</v>
      </c>
      <c r="K28" s="236"/>
      <c r="L28" s="237"/>
      <c r="M28" s="237"/>
      <c r="N28" s="235"/>
      <c r="O28" s="238"/>
      <c r="P28" s="239"/>
      <c r="Q28" s="239"/>
      <c r="R28" s="257"/>
      <c r="S28" s="241"/>
    </row>
    <row r="29" spans="1:19" ht="21" customHeight="1">
      <c r="A29" s="206" t="s">
        <v>38</v>
      </c>
      <c r="B29" s="212">
        <v>107051</v>
      </c>
      <c r="C29" s="258" t="s">
        <v>191</v>
      </c>
      <c r="D29" s="243">
        <f t="shared" si="1"/>
        <v>1253497</v>
      </c>
      <c r="E29" s="233"/>
      <c r="F29" s="234"/>
      <c r="G29" s="234">
        <f>1193497+60000</f>
        <v>1253497</v>
      </c>
      <c r="H29" s="234"/>
      <c r="I29" s="234"/>
      <c r="J29" s="235">
        <f t="shared" si="0"/>
        <v>1253497</v>
      </c>
      <c r="K29" s="236"/>
      <c r="L29" s="237"/>
      <c r="M29" s="237"/>
      <c r="N29" s="235"/>
      <c r="O29" s="259"/>
      <c r="P29" s="237"/>
      <c r="Q29" s="239"/>
      <c r="R29" s="257"/>
      <c r="S29" s="241"/>
    </row>
    <row r="30" spans="1:19" ht="21" customHeight="1">
      <c r="A30" s="206" t="s">
        <v>40</v>
      </c>
      <c r="B30" s="212">
        <v>107055</v>
      </c>
      <c r="C30" s="258" t="s">
        <v>342</v>
      </c>
      <c r="D30" s="243">
        <f t="shared" si="1"/>
        <v>4542956</v>
      </c>
      <c r="E30" s="260">
        <f>2148000+53552+53552+26776</f>
        <v>2281880</v>
      </c>
      <c r="F30" s="261">
        <f>433260+10442+10176+4687-19319</f>
        <v>439246</v>
      </c>
      <c r="G30" s="261">
        <f>520321+550000+153701-100000</f>
        <v>1124022</v>
      </c>
      <c r="H30" s="261"/>
      <c r="I30" s="261"/>
      <c r="J30" s="235">
        <f t="shared" si="0"/>
        <v>3845148</v>
      </c>
      <c r="K30" s="262">
        <f>600000-153701-346937</f>
        <v>99362</v>
      </c>
      <c r="L30" s="263">
        <v>598446</v>
      </c>
      <c r="M30" s="263"/>
      <c r="N30" s="235">
        <f>K30+L30+M30</f>
        <v>697808</v>
      </c>
      <c r="O30" s="259"/>
      <c r="P30" s="237"/>
      <c r="Q30" s="239"/>
      <c r="R30" s="257"/>
      <c r="S30" s="264">
        <v>1</v>
      </c>
    </row>
    <row r="31" spans="1:19" ht="21.75" customHeight="1" thickBot="1">
      <c r="A31" s="217" t="s">
        <v>42</v>
      </c>
      <c r="B31" s="265">
        <v>107060</v>
      </c>
      <c r="C31" s="266" t="s">
        <v>192</v>
      </c>
      <c r="D31" s="267">
        <f t="shared" si="1"/>
        <v>2118760</v>
      </c>
      <c r="E31" s="268"/>
      <c r="F31" s="269"/>
      <c r="G31" s="269">
        <f>333000+345440+20320</f>
        <v>698760</v>
      </c>
      <c r="H31" s="269">
        <v>1420000</v>
      </c>
      <c r="I31" s="269"/>
      <c r="J31" s="270">
        <f t="shared" si="0"/>
        <v>2118760</v>
      </c>
      <c r="K31" s="271"/>
      <c r="L31" s="272"/>
      <c r="M31" s="272"/>
      <c r="N31" s="270"/>
      <c r="O31" s="259"/>
      <c r="P31" s="237"/>
      <c r="Q31" s="239"/>
      <c r="R31" s="257"/>
      <c r="S31" s="264"/>
    </row>
    <row r="32" spans="1:19" ht="16.5" thickBot="1">
      <c r="A32" s="273" t="s">
        <v>318</v>
      </c>
      <c r="B32" s="274"/>
      <c r="C32" s="275" t="s">
        <v>193</v>
      </c>
      <c r="D32" s="276">
        <f>J32+N32+R32</f>
        <v>126918707</v>
      </c>
      <c r="E32" s="277">
        <f>SUM(E13:E31)</f>
        <v>9178949</v>
      </c>
      <c r="F32" s="277">
        <f>SUM(F13:F31)</f>
        <v>1919909</v>
      </c>
      <c r="G32" s="277">
        <f>SUM(G13:G31)</f>
        <v>26291432</v>
      </c>
      <c r="H32" s="277">
        <f>SUM(H13:H31)</f>
        <v>1485000</v>
      </c>
      <c r="I32" s="277">
        <f>SUM(I13:I31)</f>
        <v>10116299</v>
      </c>
      <c r="J32" s="278">
        <f t="shared" si="0"/>
        <v>48991589</v>
      </c>
      <c r="K32" s="277">
        <f>SUM(K13:K31)</f>
        <v>61399732</v>
      </c>
      <c r="L32" s="277">
        <f>SUM(L13:L31)</f>
        <v>15915194</v>
      </c>
      <c r="M32" s="277">
        <f>SUM(M13:M31)</f>
        <v>0</v>
      </c>
      <c r="N32" s="277">
        <f>SUM(N13:N31)</f>
        <v>77314926</v>
      </c>
      <c r="O32" s="277">
        <f>SUM(O13:O31)</f>
        <v>612192</v>
      </c>
      <c r="P32" s="277"/>
      <c r="Q32" s="277"/>
      <c r="R32" s="277">
        <f>SUM(R13:R31)</f>
        <v>612192</v>
      </c>
      <c r="S32" s="279">
        <f>SUM(S13:S31)</f>
        <v>1</v>
      </c>
    </row>
    <row r="34" ht="16.5">
      <c r="J34" s="280"/>
    </row>
    <row r="39" ht="12.75">
      <c r="D39" s="34"/>
    </row>
  </sheetData>
  <sheetProtection/>
  <mergeCells count="28">
    <mergeCell ref="B4:S4"/>
    <mergeCell ref="B8:B12"/>
    <mergeCell ref="C8:C12"/>
    <mergeCell ref="D8:D12"/>
    <mergeCell ref="E8:R8"/>
    <mergeCell ref="K10:K12"/>
    <mergeCell ref="L10:L12"/>
    <mergeCell ref="M10:M12"/>
    <mergeCell ref="F10:F12"/>
    <mergeCell ref="K9:N9"/>
    <mergeCell ref="E10:E12"/>
    <mergeCell ref="N10:N12"/>
    <mergeCell ref="O10:O12"/>
    <mergeCell ref="P10:P12"/>
    <mergeCell ref="G10:G12"/>
    <mergeCell ref="H10:H12"/>
    <mergeCell ref="I10:I12"/>
    <mergeCell ref="J10:J12"/>
    <mergeCell ref="A2:S2"/>
    <mergeCell ref="A8:A12"/>
    <mergeCell ref="B3:S3"/>
    <mergeCell ref="Q10:Q12"/>
    <mergeCell ref="R10:R12"/>
    <mergeCell ref="B5:S5"/>
    <mergeCell ref="B6:S6"/>
    <mergeCell ref="S8:S12"/>
    <mergeCell ref="E9:J9"/>
    <mergeCell ref="O9:R9"/>
  </mergeCells>
  <printOptions/>
  <pageMargins left="0.4724409448818898" right="0.35433070866141736" top="0.7874015748031497" bottom="0.5118110236220472" header="0.5118110236220472" footer="0.5118110236220472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6.2539062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15" ht="15.75">
      <c r="A1" s="457" t="s">
        <v>506</v>
      </c>
      <c r="B1" s="413"/>
      <c r="C1" s="413"/>
      <c r="D1" s="413"/>
      <c r="E1" s="413"/>
      <c r="F1" s="413"/>
      <c r="G1" s="413"/>
      <c r="H1" s="402"/>
      <c r="I1" s="402"/>
      <c r="J1" s="402"/>
      <c r="K1" s="402"/>
      <c r="L1" s="402"/>
      <c r="M1" s="402"/>
      <c r="N1" s="402"/>
      <c r="O1" s="402"/>
    </row>
    <row r="2" spans="1:15" ht="15.75">
      <c r="A2" s="168"/>
      <c r="B2" s="461" t="s">
        <v>8</v>
      </c>
      <c r="C2" s="461"/>
      <c r="D2" s="461"/>
      <c r="E2" s="461"/>
      <c r="F2" s="461"/>
      <c r="G2" s="461"/>
      <c r="H2" s="193"/>
      <c r="I2" s="193"/>
      <c r="J2" s="193"/>
      <c r="K2" s="193"/>
      <c r="L2" s="193"/>
      <c r="M2" s="193"/>
      <c r="N2" s="193"/>
      <c r="O2" s="193"/>
    </row>
    <row r="3" spans="1:15" ht="15.75">
      <c r="A3" s="168"/>
      <c r="B3" s="461" t="s">
        <v>335</v>
      </c>
      <c r="C3" s="461"/>
      <c r="D3" s="461"/>
      <c r="E3" s="461"/>
      <c r="F3" s="461"/>
      <c r="G3" s="461"/>
      <c r="H3" s="193"/>
      <c r="I3" s="193"/>
      <c r="J3" s="193"/>
      <c r="K3" s="193"/>
      <c r="L3" s="193"/>
      <c r="M3" s="193"/>
      <c r="N3" s="193"/>
      <c r="O3" s="193"/>
    </row>
    <row r="4" spans="1:15" ht="16.5" thickBot="1">
      <c r="A4" s="168"/>
      <c r="B4" s="461" t="s">
        <v>459</v>
      </c>
      <c r="C4" s="461"/>
      <c r="D4" s="461"/>
      <c r="E4" s="461"/>
      <c r="F4" s="461"/>
      <c r="G4" s="461"/>
      <c r="H4" s="193"/>
      <c r="I4" s="193"/>
      <c r="J4" s="193"/>
      <c r="K4" s="193"/>
      <c r="L4" s="193"/>
      <c r="M4" s="193"/>
      <c r="N4" s="193"/>
      <c r="O4" s="193"/>
    </row>
    <row r="5" spans="1:15" ht="16.5" thickBot="1">
      <c r="A5" s="513" t="s">
        <v>392</v>
      </c>
      <c r="B5" s="464" t="s">
        <v>326</v>
      </c>
      <c r="C5" s="467" t="s">
        <v>162</v>
      </c>
      <c r="D5" s="470" t="s">
        <v>163</v>
      </c>
      <c r="E5" s="446" t="s">
        <v>328</v>
      </c>
      <c r="F5" s="447"/>
      <c r="G5" s="448"/>
      <c r="H5" s="66"/>
      <c r="I5" s="66"/>
      <c r="J5" s="66"/>
      <c r="K5" s="66"/>
      <c r="L5" s="66"/>
      <c r="M5" s="66"/>
      <c r="N5" s="66"/>
      <c r="O5" s="66"/>
    </row>
    <row r="6" spans="1:15" ht="15.75">
      <c r="A6" s="514"/>
      <c r="B6" s="465"/>
      <c r="C6" s="468"/>
      <c r="D6" s="471"/>
      <c r="E6" s="449" t="s">
        <v>329</v>
      </c>
      <c r="F6" s="449" t="s">
        <v>330</v>
      </c>
      <c r="G6" s="516" t="s">
        <v>337</v>
      </c>
      <c r="H6" s="105"/>
      <c r="I6" s="105"/>
      <c r="J6" s="105"/>
      <c r="K6" s="105"/>
      <c r="L6" s="105"/>
      <c r="M6" s="105"/>
      <c r="N6" s="105"/>
      <c r="O6" s="105"/>
    </row>
    <row r="7" spans="1:15" ht="16.5" thickBot="1">
      <c r="A7" s="514"/>
      <c r="B7" s="465"/>
      <c r="C7" s="468"/>
      <c r="D7" s="471"/>
      <c r="E7" s="449"/>
      <c r="F7" s="449"/>
      <c r="G7" s="517"/>
      <c r="H7" s="105"/>
      <c r="I7" s="105"/>
      <c r="J7" s="105"/>
      <c r="K7" s="105"/>
      <c r="L7" s="105"/>
      <c r="M7" s="105"/>
      <c r="N7" s="105"/>
      <c r="O7" s="105"/>
    </row>
    <row r="8" spans="1:15" ht="15.75">
      <c r="A8" s="514"/>
      <c r="B8" s="465"/>
      <c r="C8" s="468"/>
      <c r="D8" s="471"/>
      <c r="E8" s="451" t="s">
        <v>332</v>
      </c>
      <c r="F8" s="452"/>
      <c r="G8" s="453"/>
      <c r="H8" s="105"/>
      <c r="I8" s="105"/>
      <c r="J8" s="105"/>
      <c r="K8" s="105"/>
      <c r="L8" s="105"/>
      <c r="M8" s="105"/>
      <c r="N8" s="105"/>
      <c r="O8" s="105"/>
    </row>
    <row r="9" spans="1:15" ht="24.75" customHeight="1" thickBot="1">
      <c r="A9" s="515"/>
      <c r="B9" s="466"/>
      <c r="C9" s="469"/>
      <c r="D9" s="472"/>
      <c r="E9" s="454"/>
      <c r="F9" s="455"/>
      <c r="G9" s="456"/>
      <c r="H9" s="105"/>
      <c r="I9" s="105"/>
      <c r="J9" s="105"/>
      <c r="K9" s="105"/>
      <c r="L9" s="105"/>
      <c r="M9" s="105"/>
      <c r="N9" s="105"/>
      <c r="O9" s="105"/>
    </row>
    <row r="10" spans="1:15" ht="31.5">
      <c r="A10" s="229" t="s">
        <v>18</v>
      </c>
      <c r="B10" s="281" t="s">
        <v>172</v>
      </c>
      <c r="C10" s="282" t="s">
        <v>173</v>
      </c>
      <c r="D10" s="283">
        <f aca="true" t="shared" si="0" ref="D10:D28">E10+F10+G10</f>
        <v>16676026</v>
      </c>
      <c r="E10" s="284">
        <f>18877916-1081543+13117-996376-20320-70850-153740-67113-21260</f>
        <v>16479831</v>
      </c>
      <c r="F10" s="285">
        <v>196195</v>
      </c>
      <c r="G10" s="286"/>
      <c r="H10" s="202"/>
      <c r="I10" s="203"/>
      <c r="J10" s="205"/>
      <c r="K10" s="205"/>
      <c r="L10" s="205"/>
      <c r="M10" s="203"/>
      <c r="N10" s="203"/>
      <c r="O10" s="205"/>
    </row>
    <row r="11" spans="1:15" ht="15.75">
      <c r="A11" s="206" t="s">
        <v>19</v>
      </c>
      <c r="B11" s="287" t="s">
        <v>174</v>
      </c>
      <c r="C11" s="282" t="s">
        <v>175</v>
      </c>
      <c r="D11" s="288">
        <f t="shared" si="0"/>
        <v>172720</v>
      </c>
      <c r="E11" s="289">
        <v>172720</v>
      </c>
      <c r="F11" s="290"/>
      <c r="G11" s="291"/>
      <c r="H11" s="202"/>
      <c r="I11" s="203"/>
      <c r="J11" s="205"/>
      <c r="K11" s="205"/>
      <c r="L11" s="205"/>
      <c r="M11" s="203"/>
      <c r="N11" s="203"/>
      <c r="O11" s="205"/>
    </row>
    <row r="12" spans="1:15" ht="15.75">
      <c r="A12" s="206" t="s">
        <v>20</v>
      </c>
      <c r="B12" s="287" t="s">
        <v>333</v>
      </c>
      <c r="C12" s="282" t="s">
        <v>348</v>
      </c>
      <c r="D12" s="288">
        <f t="shared" si="0"/>
        <v>646670</v>
      </c>
      <c r="E12" s="289">
        <v>646670</v>
      </c>
      <c r="F12" s="290"/>
      <c r="G12" s="291"/>
      <c r="H12" s="202"/>
      <c r="I12" s="203"/>
      <c r="J12" s="205"/>
      <c r="K12" s="205"/>
      <c r="L12" s="205"/>
      <c r="M12" s="203"/>
      <c r="N12" s="203"/>
      <c r="O12" s="205"/>
    </row>
    <row r="13" spans="1:15" ht="15.75">
      <c r="A13" s="206" t="s">
        <v>21</v>
      </c>
      <c r="B13" s="287" t="s">
        <v>176</v>
      </c>
      <c r="C13" s="292" t="s">
        <v>177</v>
      </c>
      <c r="D13" s="288">
        <f t="shared" si="0"/>
        <v>127000</v>
      </c>
      <c r="E13" s="289">
        <v>127000</v>
      </c>
      <c r="F13" s="290"/>
      <c r="G13" s="291"/>
      <c r="H13" s="202"/>
      <c r="I13" s="203"/>
      <c r="J13" s="205"/>
      <c r="K13" s="205"/>
      <c r="L13" s="205"/>
      <c r="M13" s="203"/>
      <c r="N13" s="203"/>
      <c r="O13" s="205"/>
    </row>
    <row r="14" spans="1:15" ht="15.75">
      <c r="A14" s="206"/>
      <c r="B14" s="197" t="s">
        <v>454</v>
      </c>
      <c r="C14" s="198" t="s">
        <v>455</v>
      </c>
      <c r="D14" s="288">
        <f t="shared" si="0"/>
        <v>1558776</v>
      </c>
      <c r="E14" s="289">
        <f>863473+422177+273126</f>
        <v>1558776</v>
      </c>
      <c r="F14" s="290"/>
      <c r="G14" s="291"/>
      <c r="H14" s="202"/>
      <c r="I14" s="203"/>
      <c r="J14" s="205"/>
      <c r="K14" s="205"/>
      <c r="L14" s="205"/>
      <c r="M14" s="203"/>
      <c r="N14" s="203"/>
      <c r="O14" s="205"/>
    </row>
    <row r="15" spans="1:15" ht="31.5">
      <c r="A15" s="206" t="s">
        <v>22</v>
      </c>
      <c r="B15" s="287" t="s">
        <v>178</v>
      </c>
      <c r="C15" s="282" t="s">
        <v>179</v>
      </c>
      <c r="D15" s="288">
        <f t="shared" si="0"/>
        <v>15240</v>
      </c>
      <c r="E15" s="289">
        <v>15240</v>
      </c>
      <c r="F15" s="290"/>
      <c r="G15" s="291"/>
      <c r="H15" s="202"/>
      <c r="I15" s="203"/>
      <c r="J15" s="205"/>
      <c r="K15" s="205"/>
      <c r="L15" s="205"/>
      <c r="M15" s="203"/>
      <c r="N15" s="203"/>
      <c r="O15" s="205"/>
    </row>
    <row r="16" spans="1:15" ht="15.75">
      <c r="A16" s="206" t="s">
        <v>23</v>
      </c>
      <c r="B16" s="287" t="s">
        <v>223</v>
      </c>
      <c r="C16" s="282" t="s">
        <v>349</v>
      </c>
      <c r="D16" s="288">
        <f t="shared" si="0"/>
        <v>137160</v>
      </c>
      <c r="E16" s="289">
        <v>137160</v>
      </c>
      <c r="F16" s="290"/>
      <c r="G16" s="291"/>
      <c r="H16" s="202"/>
      <c r="I16" s="203"/>
      <c r="J16" s="205"/>
      <c r="K16" s="205"/>
      <c r="L16" s="205"/>
      <c r="M16" s="203"/>
      <c r="N16" s="203"/>
      <c r="O16" s="205"/>
    </row>
    <row r="17" spans="1:15" ht="15.75">
      <c r="A17" s="206" t="s">
        <v>25</v>
      </c>
      <c r="B17" s="212" t="s">
        <v>180</v>
      </c>
      <c r="C17" s="213" t="s">
        <v>181</v>
      </c>
      <c r="D17" s="288">
        <f t="shared" si="0"/>
        <v>77009776</v>
      </c>
      <c r="E17" s="289">
        <v>77009776</v>
      </c>
      <c r="F17" s="290"/>
      <c r="G17" s="291"/>
      <c r="H17" s="202"/>
      <c r="I17" s="203"/>
      <c r="J17" s="205"/>
      <c r="K17" s="205"/>
      <c r="L17" s="205"/>
      <c r="M17" s="203"/>
      <c r="N17" s="203"/>
      <c r="O17" s="205"/>
    </row>
    <row r="18" spans="1:15" ht="15.75">
      <c r="A18" s="206" t="s">
        <v>26</v>
      </c>
      <c r="B18" s="287" t="s">
        <v>182</v>
      </c>
      <c r="C18" s="282" t="s">
        <v>183</v>
      </c>
      <c r="D18" s="288">
        <f t="shared" si="0"/>
        <v>820150</v>
      </c>
      <c r="E18" s="289">
        <f>749300+70850</f>
        <v>820150</v>
      </c>
      <c r="F18" s="290"/>
      <c r="G18" s="291"/>
      <c r="H18" s="202"/>
      <c r="I18" s="203"/>
      <c r="J18" s="205"/>
      <c r="K18" s="205"/>
      <c r="L18" s="205"/>
      <c r="M18" s="203"/>
      <c r="N18" s="203"/>
      <c r="O18" s="205"/>
    </row>
    <row r="19" spans="1:15" ht="15.75">
      <c r="A19" s="206" t="s">
        <v>27</v>
      </c>
      <c r="B19" s="287" t="s">
        <v>184</v>
      </c>
      <c r="C19" s="282" t="s">
        <v>185</v>
      </c>
      <c r="D19" s="288">
        <f t="shared" si="0"/>
        <v>18163654</v>
      </c>
      <c r="E19" s="289">
        <f>2860320+14046748+175000+190500+996376-132190+26900</f>
        <v>18163654</v>
      </c>
      <c r="F19" s="290"/>
      <c r="G19" s="291"/>
      <c r="H19" s="202"/>
      <c r="I19" s="203"/>
      <c r="J19" s="205"/>
      <c r="K19" s="205"/>
      <c r="L19" s="205"/>
      <c r="M19" s="203"/>
      <c r="N19" s="203"/>
      <c r="O19" s="205"/>
    </row>
    <row r="20" spans="1:15" ht="15.75">
      <c r="A20" s="206" t="s">
        <v>28</v>
      </c>
      <c r="B20" s="287" t="s">
        <v>186</v>
      </c>
      <c r="C20" s="282" t="s">
        <v>187</v>
      </c>
      <c r="D20" s="288">
        <f t="shared" si="0"/>
        <v>124460</v>
      </c>
      <c r="E20" s="289">
        <v>124460</v>
      </c>
      <c r="F20" s="290"/>
      <c r="G20" s="291"/>
      <c r="H20" s="202"/>
      <c r="I20" s="203"/>
      <c r="J20" s="205"/>
      <c r="K20" s="205"/>
      <c r="L20" s="205"/>
      <c r="M20" s="203"/>
      <c r="N20" s="203"/>
      <c r="O20" s="205"/>
    </row>
    <row r="21" spans="1:15" ht="15.75">
      <c r="A21" s="206" t="s">
        <v>30</v>
      </c>
      <c r="B21" s="287" t="s">
        <v>188</v>
      </c>
      <c r="C21" s="282" t="s">
        <v>189</v>
      </c>
      <c r="D21" s="288">
        <f t="shared" si="0"/>
        <v>766437</v>
      </c>
      <c r="E21" s="289">
        <f>793337-26900</f>
        <v>766437</v>
      </c>
      <c r="F21" s="290"/>
      <c r="G21" s="291"/>
      <c r="H21" s="202"/>
      <c r="I21" s="203"/>
      <c r="J21" s="205"/>
      <c r="K21" s="205"/>
      <c r="L21" s="205"/>
      <c r="M21" s="203"/>
      <c r="N21" s="203"/>
      <c r="O21" s="205"/>
    </row>
    <row r="22" spans="1:15" ht="28.5" customHeight="1">
      <c r="A22" s="206" t="s">
        <v>31</v>
      </c>
      <c r="B22" s="287" t="s">
        <v>225</v>
      </c>
      <c r="C22" s="282" t="s">
        <v>350</v>
      </c>
      <c r="D22" s="288">
        <f t="shared" si="0"/>
        <v>2596245</v>
      </c>
      <c r="E22" s="289">
        <f>795801+24588+130000+190000+153740+67113+21260</f>
        <v>1382502</v>
      </c>
      <c r="F22" s="290">
        <f>455405+458960+219378+80000</f>
        <v>1213743</v>
      </c>
      <c r="G22" s="291"/>
      <c r="H22" s="202"/>
      <c r="I22" s="203"/>
      <c r="J22" s="205"/>
      <c r="K22" s="205"/>
      <c r="L22" s="205"/>
      <c r="M22" s="203"/>
      <c r="N22" s="203"/>
      <c r="O22" s="205"/>
    </row>
    <row r="23" spans="1:15" ht="15.75">
      <c r="A23" s="206" t="s">
        <v>33</v>
      </c>
      <c r="B23" s="287" t="s">
        <v>227</v>
      </c>
      <c r="C23" s="282" t="s">
        <v>228</v>
      </c>
      <c r="D23" s="288">
        <f t="shared" si="0"/>
        <v>25000</v>
      </c>
      <c r="E23" s="289">
        <v>25000</v>
      </c>
      <c r="F23" s="290"/>
      <c r="G23" s="291"/>
      <c r="H23" s="202"/>
      <c r="I23" s="203"/>
      <c r="J23" s="205"/>
      <c r="K23" s="205"/>
      <c r="L23" s="205"/>
      <c r="M23" s="203"/>
      <c r="N23" s="203"/>
      <c r="O23" s="205"/>
    </row>
    <row r="24" spans="1:15" ht="15.75">
      <c r="A24" s="206" t="s">
        <v>35</v>
      </c>
      <c r="B24" s="212">
        <v>104037</v>
      </c>
      <c r="C24" s="246" t="s">
        <v>457</v>
      </c>
      <c r="D24" s="288">
        <f t="shared" si="0"/>
        <v>99180</v>
      </c>
      <c r="E24" s="289">
        <v>99180</v>
      </c>
      <c r="F24" s="290"/>
      <c r="G24" s="291"/>
      <c r="H24" s="202"/>
      <c r="I24" s="203"/>
      <c r="J24" s="205"/>
      <c r="K24" s="205"/>
      <c r="L24" s="205"/>
      <c r="M24" s="203"/>
      <c r="N24" s="203"/>
      <c r="O24" s="205"/>
    </row>
    <row r="25" spans="1:15" ht="15.75">
      <c r="A25" s="206" t="s">
        <v>36</v>
      </c>
      <c r="B25" s="287">
        <v>104051</v>
      </c>
      <c r="C25" s="282" t="s">
        <v>190</v>
      </c>
      <c r="D25" s="288">
        <f t="shared" si="0"/>
        <v>65000</v>
      </c>
      <c r="E25" s="289"/>
      <c r="F25" s="290"/>
      <c r="G25" s="291">
        <v>65000</v>
      </c>
      <c r="H25" s="202"/>
      <c r="I25" s="203"/>
      <c r="J25" s="205"/>
      <c r="K25" s="205"/>
      <c r="L25" s="205"/>
      <c r="M25" s="203"/>
      <c r="N25" s="203"/>
      <c r="O25" s="205"/>
    </row>
    <row r="26" spans="1:15" ht="15.75">
      <c r="A26" s="206" t="s">
        <v>38</v>
      </c>
      <c r="B26" s="287">
        <v>107051</v>
      </c>
      <c r="C26" s="282" t="s">
        <v>191</v>
      </c>
      <c r="D26" s="288">
        <f t="shared" si="0"/>
        <v>1253497</v>
      </c>
      <c r="E26" s="289">
        <f>1193497+60000</f>
        <v>1253497</v>
      </c>
      <c r="F26" s="290"/>
      <c r="G26" s="291"/>
      <c r="H26" s="202"/>
      <c r="I26" s="203"/>
      <c r="J26" s="205"/>
      <c r="K26" s="205"/>
      <c r="L26" s="205"/>
      <c r="M26" s="203"/>
      <c r="N26" s="203"/>
      <c r="O26" s="205"/>
    </row>
    <row r="27" spans="1:15" ht="15.75">
      <c r="A27" s="206" t="s">
        <v>40</v>
      </c>
      <c r="B27" s="287">
        <v>107055</v>
      </c>
      <c r="C27" s="282" t="s">
        <v>351</v>
      </c>
      <c r="D27" s="288">
        <f t="shared" si="0"/>
        <v>4542956</v>
      </c>
      <c r="E27" s="293">
        <f>3036455+63728+1150000+31463+132190</f>
        <v>4413836</v>
      </c>
      <c r="F27" s="294">
        <v>129120</v>
      </c>
      <c r="G27" s="295"/>
      <c r="H27" s="202"/>
      <c r="I27" s="203"/>
      <c r="J27" s="205"/>
      <c r="K27" s="205"/>
      <c r="L27" s="205"/>
      <c r="M27" s="203"/>
      <c r="N27" s="203"/>
      <c r="O27" s="205"/>
    </row>
    <row r="28" spans="1:15" ht="16.5" thickBot="1">
      <c r="A28" s="217" t="s">
        <v>42</v>
      </c>
      <c r="B28" s="287">
        <v>107060</v>
      </c>
      <c r="C28" s="282" t="s">
        <v>336</v>
      </c>
      <c r="D28" s="296">
        <f t="shared" si="0"/>
        <v>2118760</v>
      </c>
      <c r="E28" s="293">
        <f>1753000+345440+20320</f>
        <v>2118760</v>
      </c>
      <c r="F28" s="294"/>
      <c r="G28" s="295"/>
      <c r="H28" s="202"/>
      <c r="I28" s="203"/>
      <c r="J28" s="205"/>
      <c r="K28" s="205"/>
      <c r="L28" s="205"/>
      <c r="M28" s="203"/>
      <c r="N28" s="203"/>
      <c r="O28" s="205"/>
    </row>
    <row r="29" spans="1:15" ht="16.5" thickBot="1">
      <c r="A29" s="273" t="s">
        <v>318</v>
      </c>
      <c r="B29" s="218"/>
      <c r="C29" s="297" t="s">
        <v>295</v>
      </c>
      <c r="D29" s="222">
        <f>SUM(D10:D28)</f>
        <v>126918707</v>
      </c>
      <c r="E29" s="221">
        <f>SUM(E10:E28)</f>
        <v>125314649</v>
      </c>
      <c r="F29" s="298">
        <f>SUM(F10:F28)</f>
        <v>1539058</v>
      </c>
      <c r="G29" s="222">
        <f>SUM(G10:G28)</f>
        <v>65000</v>
      </c>
      <c r="H29" s="202"/>
      <c r="I29" s="223"/>
      <c r="J29" s="202"/>
      <c r="K29" s="202"/>
      <c r="L29" s="202"/>
      <c r="M29" s="223"/>
      <c r="N29" s="202"/>
      <c r="O29" s="202"/>
    </row>
    <row r="30" spans="2:15" ht="15.75">
      <c r="B30" s="402"/>
      <c r="C30" s="402"/>
      <c r="D30" s="402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</row>
    <row r="31" spans="2:15" ht="15.75">
      <c r="B31" s="402"/>
      <c r="C31" s="402"/>
      <c r="D31" s="402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</row>
    <row r="32" spans="2:15" ht="15.75">
      <c r="B32" s="225"/>
      <c r="C32" s="403"/>
      <c r="D32" s="225"/>
      <c r="E32" s="205"/>
      <c r="F32" s="205"/>
      <c r="G32" s="205"/>
      <c r="H32" s="205"/>
      <c r="I32" s="203"/>
      <c r="J32" s="205"/>
      <c r="K32" s="205"/>
      <c r="L32" s="205"/>
      <c r="M32" s="203"/>
      <c r="N32" s="203"/>
      <c r="O32" s="205"/>
    </row>
    <row r="33" spans="2:15" ht="15.75">
      <c r="B33" s="402"/>
      <c r="C33" s="402"/>
      <c r="D33" s="402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</row>
  </sheetData>
  <sheetProtection/>
  <mergeCells count="13">
    <mergeCell ref="A1:G1"/>
    <mergeCell ref="A5:A9"/>
    <mergeCell ref="F6:F7"/>
    <mergeCell ref="G6:G7"/>
    <mergeCell ref="E8:G9"/>
    <mergeCell ref="B2:G2"/>
    <mergeCell ref="B3:G3"/>
    <mergeCell ref="B4:G4"/>
    <mergeCell ref="B5:B9"/>
    <mergeCell ref="C5:C9"/>
    <mergeCell ref="D5:D9"/>
    <mergeCell ref="E5:G5"/>
    <mergeCell ref="E6:E7"/>
  </mergeCells>
  <printOptions/>
  <pageMargins left="0.2362204724409449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9.125" style="154" customWidth="1"/>
    <col min="2" max="2" width="71.75390625" style="53" customWidth="1"/>
    <col min="3" max="3" width="16.625" style="53" customWidth="1"/>
    <col min="4" max="16384" width="9.125" style="53" customWidth="1"/>
  </cols>
  <sheetData>
    <row r="1" spans="2:4" ht="15.75">
      <c r="B1" s="528" t="s">
        <v>472</v>
      </c>
      <c r="C1" s="528"/>
      <c r="D1" s="16"/>
    </row>
    <row r="2" spans="2:4" ht="6" customHeight="1">
      <c r="B2" s="18"/>
      <c r="C2" s="18"/>
      <c r="D2" s="19"/>
    </row>
    <row r="3" spans="2:4" ht="15.75" customHeight="1">
      <c r="B3" s="529"/>
      <c r="C3" s="529"/>
      <c r="D3" s="54"/>
    </row>
    <row r="4" spans="2:4" ht="16.5">
      <c r="B4" s="55"/>
      <c r="C4" s="55"/>
      <c r="D4" s="54"/>
    </row>
    <row r="5" spans="1:4" s="57" customFormat="1" ht="15.75" customHeight="1">
      <c r="A5" s="155"/>
      <c r="B5" s="529" t="s">
        <v>8</v>
      </c>
      <c r="C5" s="529"/>
      <c r="D5" s="56"/>
    </row>
    <row r="6" spans="1:6" s="9" customFormat="1" ht="15.75">
      <c r="A6" s="156"/>
      <c r="B6" s="530" t="s">
        <v>5</v>
      </c>
      <c r="C6" s="530"/>
      <c r="D6" s="20"/>
      <c r="E6" s="13"/>
      <c r="F6" s="13"/>
    </row>
    <row r="7" spans="1:6" s="8" customFormat="1" ht="16.5">
      <c r="A7" s="157"/>
      <c r="B7" s="527" t="s">
        <v>460</v>
      </c>
      <c r="C7" s="527"/>
      <c r="D7" s="21"/>
      <c r="E7" s="14"/>
      <c r="F7" s="14"/>
    </row>
    <row r="8" spans="2:4" ht="15.75" customHeight="1" thickBot="1">
      <c r="B8" s="54"/>
      <c r="C8" s="58" t="s">
        <v>387</v>
      </c>
      <c r="D8" s="54"/>
    </row>
    <row r="9" spans="1:4" ht="15" customHeight="1">
      <c r="A9" s="518" t="s">
        <v>392</v>
      </c>
      <c r="B9" s="521" t="s">
        <v>3</v>
      </c>
      <c r="C9" s="524" t="s">
        <v>9</v>
      </c>
      <c r="D9" s="56"/>
    </row>
    <row r="10" spans="1:4" ht="15.75" customHeight="1">
      <c r="A10" s="519"/>
      <c r="B10" s="522"/>
      <c r="C10" s="525"/>
      <c r="D10" s="56"/>
    </row>
    <row r="11" spans="1:4" ht="16.5" thickBot="1">
      <c r="A11" s="520"/>
      <c r="B11" s="523"/>
      <c r="C11" s="526"/>
      <c r="D11" s="56"/>
    </row>
    <row r="12" spans="2:4" ht="11.25" customHeight="1">
      <c r="B12" s="56"/>
      <c r="C12" s="56"/>
      <c r="D12" s="56"/>
    </row>
    <row r="13" spans="1:4" ht="15.75">
      <c r="A13" s="158" t="s">
        <v>18</v>
      </c>
      <c r="B13" s="61" t="s">
        <v>6</v>
      </c>
      <c r="C13" s="15"/>
      <c r="D13" s="11"/>
    </row>
    <row r="14" spans="1:4" s="59" customFormat="1" ht="15.75">
      <c r="A14" s="159"/>
      <c r="B14" s="61" t="s">
        <v>222</v>
      </c>
      <c r="C14" s="15"/>
      <c r="D14" s="11"/>
    </row>
    <row r="15" spans="1:4" s="59" customFormat="1" ht="15.75">
      <c r="A15" s="159"/>
      <c r="B15" s="11"/>
      <c r="C15" s="15"/>
      <c r="D15" s="11"/>
    </row>
    <row r="16" spans="1:4" ht="15.75">
      <c r="A16" s="158" t="s">
        <v>404</v>
      </c>
      <c r="B16" s="11" t="s">
        <v>215</v>
      </c>
      <c r="C16" s="63">
        <v>65000</v>
      </c>
      <c r="D16" s="11"/>
    </row>
    <row r="17" spans="1:4" ht="15.75">
      <c r="A17" s="158"/>
      <c r="B17" s="11"/>
      <c r="C17" s="15"/>
      <c r="D17" s="11"/>
    </row>
    <row r="18" spans="1:4" ht="31.5">
      <c r="A18" s="158" t="s">
        <v>19</v>
      </c>
      <c r="B18" s="64" t="s">
        <v>216</v>
      </c>
      <c r="C18" s="15"/>
      <c r="D18" s="11"/>
    </row>
    <row r="19" spans="1:4" ht="33" customHeight="1">
      <c r="A19" s="158" t="s">
        <v>413</v>
      </c>
      <c r="B19" s="65" t="s">
        <v>217</v>
      </c>
      <c r="C19" s="15">
        <v>60000</v>
      </c>
      <c r="D19" s="11"/>
    </row>
    <row r="20" spans="1:4" ht="17.25" customHeight="1">
      <c r="A20" s="158" t="s">
        <v>406</v>
      </c>
      <c r="B20" s="65" t="s">
        <v>384</v>
      </c>
      <c r="C20" s="15">
        <v>200000</v>
      </c>
      <c r="D20" s="11"/>
    </row>
    <row r="21" spans="1:4" ht="15.75" customHeight="1">
      <c r="A21" s="158" t="s">
        <v>432</v>
      </c>
      <c r="B21" s="65" t="s">
        <v>218</v>
      </c>
      <c r="C21" s="139">
        <v>60000</v>
      </c>
      <c r="D21" s="11"/>
    </row>
    <row r="22" spans="1:4" ht="19.5" customHeight="1">
      <c r="A22" s="158"/>
      <c r="B22" s="11"/>
      <c r="C22" s="63">
        <f>C19+C20+C21</f>
        <v>320000</v>
      </c>
      <c r="D22" s="11"/>
    </row>
    <row r="23" spans="1:4" ht="11.25" customHeight="1">
      <c r="A23" s="158"/>
      <c r="B23" s="11"/>
      <c r="C23" s="15"/>
      <c r="D23" s="11"/>
    </row>
    <row r="24" spans="1:4" ht="21" customHeight="1">
      <c r="A24" s="158" t="s">
        <v>20</v>
      </c>
      <c r="B24" s="61" t="s">
        <v>219</v>
      </c>
      <c r="C24" s="15"/>
      <c r="D24" s="11"/>
    </row>
    <row r="25" spans="1:4" s="60" customFormat="1" ht="16.5">
      <c r="A25" s="160" t="s">
        <v>407</v>
      </c>
      <c r="B25" s="11" t="s">
        <v>220</v>
      </c>
      <c r="C25" s="15">
        <v>410000</v>
      </c>
      <c r="D25" s="11"/>
    </row>
    <row r="26" spans="1:4" s="60" customFormat="1" ht="16.5">
      <c r="A26" s="160" t="s">
        <v>438</v>
      </c>
      <c r="B26" s="11" t="s">
        <v>386</v>
      </c>
      <c r="C26" s="15">
        <v>410000</v>
      </c>
      <c r="D26" s="11"/>
    </row>
    <row r="27" spans="1:4" ht="15.75">
      <c r="A27" s="158" t="s">
        <v>439</v>
      </c>
      <c r="B27" s="11" t="s">
        <v>385</v>
      </c>
      <c r="C27" s="15">
        <v>200000</v>
      </c>
      <c r="D27" s="11"/>
    </row>
    <row r="28" spans="1:4" ht="15.75">
      <c r="A28" s="158" t="s">
        <v>440</v>
      </c>
      <c r="B28" s="11" t="s">
        <v>221</v>
      </c>
      <c r="C28" s="139">
        <v>80000</v>
      </c>
      <c r="D28" s="11"/>
    </row>
    <row r="29" spans="1:4" ht="15.75">
      <c r="A29" s="158"/>
      <c r="B29" s="61"/>
      <c r="C29" s="63">
        <f>SUM(C25:C28)</f>
        <v>1100000</v>
      </c>
      <c r="D29" s="11"/>
    </row>
    <row r="30" spans="1:4" ht="15.75">
      <c r="A30" s="158"/>
      <c r="B30" s="11"/>
      <c r="C30" s="15"/>
      <c r="D30" s="11"/>
    </row>
    <row r="31" spans="1:4" ht="15.75">
      <c r="A31" s="158"/>
      <c r="B31" s="61" t="s">
        <v>7</v>
      </c>
      <c r="C31" s="63">
        <f>C16+C29+C22</f>
        <v>1485000</v>
      </c>
      <c r="D31" s="62"/>
    </row>
    <row r="32" spans="2:4" ht="15.75">
      <c r="B32" s="61"/>
      <c r="C32" s="63"/>
      <c r="D32" s="62"/>
    </row>
    <row r="33" spans="2:4" ht="15.75">
      <c r="B33" s="61"/>
      <c r="C33" s="15"/>
      <c r="D33" s="11"/>
    </row>
    <row r="34" spans="2:4" ht="15.75">
      <c r="B34" s="11"/>
      <c r="C34" s="15"/>
      <c r="D34" s="11"/>
    </row>
    <row r="35" spans="2:4" ht="15.75">
      <c r="B35" s="11"/>
      <c r="C35" s="15"/>
      <c r="D35" s="11"/>
    </row>
    <row r="36" spans="2:4" ht="15.75">
      <c r="B36" s="11"/>
      <c r="C36" s="15"/>
      <c r="D36" s="11"/>
    </row>
    <row r="37" spans="2:4" ht="15.75">
      <c r="B37" s="11"/>
      <c r="C37" s="15"/>
      <c r="D37" s="11"/>
    </row>
    <row r="38" spans="2:4" ht="15.75">
      <c r="B38" s="61"/>
      <c r="C38" s="63"/>
      <c r="D38" s="11"/>
    </row>
    <row r="39" spans="2:4" ht="15.75">
      <c r="B39" s="61"/>
      <c r="C39" s="63"/>
      <c r="D39" s="62"/>
    </row>
    <row r="40" spans="2:4" ht="15.75">
      <c r="B40" s="61"/>
      <c r="C40" s="63"/>
      <c r="D40" s="62"/>
    </row>
    <row r="41" spans="2:4" ht="15.75">
      <c r="B41" s="56"/>
      <c r="C41" s="56"/>
      <c r="D41" s="56"/>
    </row>
    <row r="42" spans="2:4" ht="15.75">
      <c r="B42" s="56"/>
      <c r="C42" s="56"/>
      <c r="D42" s="56"/>
    </row>
    <row r="43" spans="2:4" ht="15.75">
      <c r="B43" s="56"/>
      <c r="C43" s="56"/>
      <c r="D43" s="56"/>
    </row>
    <row r="44" spans="2:4" ht="15.75">
      <c r="B44" s="56"/>
      <c r="C44" s="56"/>
      <c r="D44" s="56"/>
    </row>
    <row r="45" spans="2:4" ht="15.75">
      <c r="B45" s="56"/>
      <c r="C45" s="56"/>
      <c r="D45" s="56"/>
    </row>
    <row r="46" spans="2:4" ht="15.75">
      <c r="B46" s="56"/>
      <c r="C46" s="56"/>
      <c r="D46" s="56"/>
    </row>
    <row r="47" spans="2:4" ht="15.75">
      <c r="B47" s="56"/>
      <c r="C47" s="56"/>
      <c r="D47" s="56"/>
    </row>
    <row r="48" spans="2:4" ht="15.75">
      <c r="B48" s="56"/>
      <c r="C48" s="56"/>
      <c r="D48" s="56"/>
    </row>
    <row r="49" spans="2:4" ht="16.5">
      <c r="B49" s="54"/>
      <c r="C49" s="54"/>
      <c r="D49" s="54"/>
    </row>
    <row r="50" spans="2:4" ht="16.5">
      <c r="B50" s="54"/>
      <c r="C50" s="54"/>
      <c r="D50" s="54"/>
    </row>
    <row r="51" spans="2:4" ht="16.5">
      <c r="B51" s="54"/>
      <c r="C51" s="54"/>
      <c r="D51" s="54"/>
    </row>
    <row r="52" spans="2:4" ht="16.5">
      <c r="B52" s="54"/>
      <c r="C52" s="54"/>
      <c r="D52" s="54"/>
    </row>
    <row r="53" spans="2:4" ht="16.5">
      <c r="B53" s="54"/>
      <c r="C53" s="54"/>
      <c r="D53" s="54"/>
    </row>
    <row r="54" spans="2:4" ht="16.5">
      <c r="B54" s="54"/>
      <c r="C54" s="54"/>
      <c r="D54" s="54"/>
    </row>
    <row r="55" spans="2:4" ht="16.5">
      <c r="B55" s="54"/>
      <c r="C55" s="54"/>
      <c r="D55" s="54"/>
    </row>
    <row r="56" spans="2:4" ht="16.5">
      <c r="B56" s="54"/>
      <c r="C56" s="54"/>
      <c r="D56" s="54"/>
    </row>
    <row r="57" spans="2:4" ht="16.5">
      <c r="B57" s="54"/>
      <c r="C57" s="54"/>
      <c r="D57" s="54"/>
    </row>
    <row r="58" spans="2:4" ht="16.5">
      <c r="B58" s="54"/>
      <c r="C58" s="54"/>
      <c r="D58" s="54"/>
    </row>
    <row r="59" spans="2:4" ht="16.5">
      <c r="B59" s="54"/>
      <c r="C59" s="54"/>
      <c r="D59" s="54"/>
    </row>
    <row r="60" spans="2:4" ht="16.5">
      <c r="B60" s="54"/>
      <c r="C60" s="54"/>
      <c r="D60" s="54"/>
    </row>
    <row r="61" spans="2:4" ht="16.5">
      <c r="B61" s="54"/>
      <c r="C61" s="54"/>
      <c r="D61" s="54"/>
    </row>
    <row r="62" spans="2:4" ht="16.5">
      <c r="B62" s="54"/>
      <c r="C62" s="54"/>
      <c r="D62" s="54"/>
    </row>
    <row r="63" spans="2:4" ht="16.5">
      <c r="B63" s="54"/>
      <c r="C63" s="54"/>
      <c r="D63" s="54"/>
    </row>
    <row r="64" spans="2:4" ht="16.5">
      <c r="B64" s="54"/>
      <c r="C64" s="54"/>
      <c r="D64" s="54"/>
    </row>
    <row r="65" spans="2:4" ht="16.5">
      <c r="B65" s="54"/>
      <c r="C65" s="54"/>
      <c r="D65" s="54"/>
    </row>
    <row r="66" spans="2:4" ht="16.5">
      <c r="B66" s="54"/>
      <c r="C66" s="54"/>
      <c r="D66" s="54"/>
    </row>
    <row r="67" spans="2:4" ht="16.5">
      <c r="B67" s="54"/>
      <c r="C67" s="54"/>
      <c r="D67" s="54"/>
    </row>
    <row r="68" spans="2:4" ht="16.5">
      <c r="B68" s="54"/>
      <c r="C68" s="54"/>
      <c r="D68" s="54"/>
    </row>
    <row r="69" spans="2:4" ht="16.5">
      <c r="B69" s="54"/>
      <c r="C69" s="54"/>
      <c r="D69" s="54"/>
    </row>
    <row r="70" spans="2:4" ht="16.5">
      <c r="B70" s="54"/>
      <c r="C70" s="54"/>
      <c r="D70" s="54"/>
    </row>
    <row r="71" spans="2:4" ht="16.5">
      <c r="B71" s="54"/>
      <c r="C71" s="54"/>
      <c r="D71" s="54"/>
    </row>
    <row r="72" spans="2:4" ht="16.5">
      <c r="B72" s="54"/>
      <c r="C72" s="54"/>
      <c r="D72" s="54"/>
    </row>
    <row r="73" spans="2:4" ht="16.5">
      <c r="B73" s="54"/>
      <c r="C73" s="54"/>
      <c r="D73" s="54"/>
    </row>
    <row r="74" spans="2:4" ht="16.5">
      <c r="B74" s="54"/>
      <c r="C74" s="54"/>
      <c r="D74" s="54"/>
    </row>
    <row r="75" spans="2:4" ht="16.5">
      <c r="B75" s="54"/>
      <c r="C75" s="54"/>
      <c r="D75" s="54"/>
    </row>
    <row r="76" spans="2:4" ht="16.5">
      <c r="B76" s="54"/>
      <c r="C76" s="54"/>
      <c r="D76" s="54"/>
    </row>
    <row r="77" spans="2:4" ht="16.5">
      <c r="B77" s="54"/>
      <c r="C77" s="54"/>
      <c r="D77" s="54"/>
    </row>
    <row r="78" spans="2:4" ht="16.5">
      <c r="B78" s="54"/>
      <c r="C78" s="54"/>
      <c r="D78" s="54"/>
    </row>
    <row r="79" spans="2:4" ht="16.5">
      <c r="B79" s="54"/>
      <c r="C79" s="54"/>
      <c r="D79" s="54"/>
    </row>
    <row r="80" spans="2:4" ht="16.5">
      <c r="B80" s="54"/>
      <c r="C80" s="54"/>
      <c r="D80" s="54"/>
    </row>
    <row r="81" spans="2:4" ht="16.5">
      <c r="B81" s="54"/>
      <c r="C81" s="54"/>
      <c r="D81" s="54"/>
    </row>
    <row r="82" spans="2:4" ht="16.5">
      <c r="B82" s="54"/>
      <c r="C82" s="54"/>
      <c r="D82" s="54"/>
    </row>
    <row r="83" spans="2:4" ht="16.5">
      <c r="B83" s="54"/>
      <c r="C83" s="54"/>
      <c r="D83" s="54"/>
    </row>
    <row r="84" spans="2:4" ht="16.5">
      <c r="B84" s="54"/>
      <c r="C84" s="54"/>
      <c r="D84" s="54"/>
    </row>
    <row r="85" spans="2:4" ht="16.5">
      <c r="B85" s="54"/>
      <c r="C85" s="54"/>
      <c r="D85" s="54"/>
    </row>
    <row r="86" spans="2:4" ht="16.5">
      <c r="B86" s="54"/>
      <c r="C86" s="54"/>
      <c r="D86" s="54"/>
    </row>
    <row r="87" spans="2:4" ht="16.5">
      <c r="B87" s="54"/>
      <c r="C87" s="54"/>
      <c r="D87" s="54"/>
    </row>
    <row r="88" spans="2:4" ht="16.5">
      <c r="B88" s="54"/>
      <c r="C88" s="54"/>
      <c r="D88" s="54"/>
    </row>
    <row r="89" spans="2:4" ht="16.5">
      <c r="B89" s="54"/>
      <c r="C89" s="54"/>
      <c r="D89" s="54"/>
    </row>
    <row r="90" spans="2:4" ht="16.5">
      <c r="B90" s="54"/>
      <c r="C90" s="54"/>
      <c r="D90" s="54"/>
    </row>
    <row r="91" spans="2:4" ht="16.5">
      <c r="B91" s="54"/>
      <c r="C91" s="54"/>
      <c r="D91" s="54"/>
    </row>
    <row r="92" spans="2:4" ht="16.5">
      <c r="B92" s="54"/>
      <c r="C92" s="54"/>
      <c r="D92" s="54"/>
    </row>
    <row r="93" spans="2:4" ht="16.5">
      <c r="B93" s="54"/>
      <c r="C93" s="54"/>
      <c r="D93" s="54"/>
    </row>
    <row r="94" spans="2:4" ht="16.5">
      <c r="B94" s="54"/>
      <c r="C94" s="54"/>
      <c r="D94" s="54"/>
    </row>
    <row r="95" spans="2:4" ht="16.5">
      <c r="B95" s="54"/>
      <c r="C95" s="54"/>
      <c r="D95" s="54"/>
    </row>
    <row r="96" spans="2:4" ht="16.5">
      <c r="B96" s="54"/>
      <c r="C96" s="54"/>
      <c r="D96" s="54"/>
    </row>
    <row r="97" spans="2:4" ht="16.5">
      <c r="B97" s="54"/>
      <c r="C97" s="54"/>
      <c r="D97" s="54"/>
    </row>
    <row r="98" spans="2:4" ht="16.5">
      <c r="B98" s="54"/>
      <c r="C98" s="54"/>
      <c r="D98" s="54"/>
    </row>
    <row r="99" spans="2:4" ht="16.5">
      <c r="B99" s="54"/>
      <c r="C99" s="54"/>
      <c r="D99" s="54"/>
    </row>
    <row r="100" spans="2:4" ht="16.5">
      <c r="B100" s="54"/>
      <c r="C100" s="54"/>
      <c r="D100" s="54"/>
    </row>
    <row r="101" spans="2:4" ht="16.5">
      <c r="B101" s="54"/>
      <c r="C101" s="54"/>
      <c r="D101" s="54"/>
    </row>
    <row r="102" spans="2:4" ht="16.5">
      <c r="B102" s="54"/>
      <c r="C102" s="54"/>
      <c r="D102" s="54"/>
    </row>
    <row r="103" spans="2:4" ht="16.5">
      <c r="B103" s="54"/>
      <c r="C103" s="54"/>
      <c r="D103" s="54"/>
    </row>
    <row r="104" spans="2:4" ht="16.5">
      <c r="B104" s="54"/>
      <c r="C104" s="54"/>
      <c r="D104" s="54"/>
    </row>
    <row r="105" spans="2:4" ht="16.5">
      <c r="B105" s="54"/>
      <c r="C105" s="54"/>
      <c r="D105" s="54"/>
    </row>
    <row r="106" spans="2:4" ht="16.5">
      <c r="B106" s="54"/>
      <c r="C106" s="54"/>
      <c r="D106" s="54"/>
    </row>
    <row r="107" spans="2:4" ht="16.5">
      <c r="B107" s="54"/>
      <c r="C107" s="54"/>
      <c r="D107" s="54"/>
    </row>
  </sheetData>
  <sheetProtection password="AF00" sheet="1"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3:I31"/>
  <sheetViews>
    <sheetView zoomScalePageLayoutView="0" workbookViewId="0" topLeftCell="A1">
      <selection activeCell="A3" sqref="A3:H3"/>
    </sheetView>
  </sheetViews>
  <sheetFormatPr defaultColWidth="9.00390625" defaultRowHeight="12.75"/>
  <cols>
    <col min="6" max="6" width="28.00390625" style="0" customWidth="1"/>
    <col min="7" max="7" width="11.375" style="0" customWidth="1"/>
    <col min="8" max="8" width="1.12109375" style="0" customWidth="1"/>
    <col min="9" max="9" width="4.875" style="0" hidden="1" customWidth="1"/>
  </cols>
  <sheetData>
    <row r="3" spans="1:8" ht="12.75">
      <c r="A3" s="415" t="s">
        <v>507</v>
      </c>
      <c r="B3" s="415"/>
      <c r="C3" s="415"/>
      <c r="D3" s="415"/>
      <c r="E3" s="415"/>
      <c r="F3" s="415"/>
      <c r="G3" s="415"/>
      <c r="H3" s="415"/>
    </row>
    <row r="6" spans="1:9" ht="17.25" customHeight="1">
      <c r="A6" s="534" t="s">
        <v>8</v>
      </c>
      <c r="B6" s="534"/>
      <c r="C6" s="534"/>
      <c r="D6" s="534"/>
      <c r="E6" s="534"/>
      <c r="F6" s="534"/>
      <c r="G6" s="534"/>
      <c r="H6" s="534"/>
      <c r="I6" s="534"/>
    </row>
    <row r="7" spans="1:9" ht="15" customHeight="1">
      <c r="A7" s="534" t="s">
        <v>11</v>
      </c>
      <c r="B7" s="534"/>
      <c r="C7" s="534"/>
      <c r="D7" s="534"/>
      <c r="E7" s="534"/>
      <c r="F7" s="534"/>
      <c r="G7" s="534"/>
      <c r="H7" s="534"/>
      <c r="I7" s="534"/>
    </row>
    <row r="8" spans="1:9" ht="18" customHeight="1">
      <c r="A8" s="534" t="s">
        <v>459</v>
      </c>
      <c r="B8" s="534"/>
      <c r="C8" s="534"/>
      <c r="D8" s="534"/>
      <c r="E8" s="534"/>
      <c r="F8" s="534"/>
      <c r="G8" s="534"/>
      <c r="H8" s="534"/>
      <c r="I8" s="534"/>
    </row>
    <row r="9" spans="1:9" ht="13.5" thickBot="1">
      <c r="A9" s="415" t="s">
        <v>381</v>
      </c>
      <c r="B9" s="415"/>
      <c r="C9" s="415"/>
      <c r="D9" s="415"/>
      <c r="E9" s="415"/>
      <c r="F9" s="415"/>
      <c r="G9" s="415"/>
      <c r="H9" s="415"/>
      <c r="I9" s="415"/>
    </row>
    <row r="10" spans="1:7" ht="35.25" customHeight="1" thickBot="1">
      <c r="A10" s="153" t="s">
        <v>392</v>
      </c>
      <c r="B10" s="531" t="s">
        <v>3</v>
      </c>
      <c r="C10" s="531"/>
      <c r="D10" s="531"/>
      <c r="E10" s="531"/>
      <c r="F10" s="531"/>
      <c r="G10" s="299" t="s">
        <v>4</v>
      </c>
    </row>
    <row r="11" spans="1:7" ht="35.25" customHeight="1">
      <c r="A11" s="196"/>
      <c r="B11" s="196"/>
      <c r="C11" s="196"/>
      <c r="D11" s="196"/>
      <c r="E11" s="196"/>
      <c r="F11" s="196"/>
      <c r="G11" s="300"/>
    </row>
    <row r="12" spans="1:5" ht="18.75" customHeight="1">
      <c r="A12" s="148" t="s">
        <v>18</v>
      </c>
      <c r="B12" s="148" t="s">
        <v>12</v>
      </c>
      <c r="C12" s="148"/>
      <c r="D12" s="148"/>
      <c r="E12" s="148"/>
    </row>
    <row r="13" spans="1:8" ht="21" customHeight="1">
      <c r="A13" s="301" t="s">
        <v>404</v>
      </c>
      <c r="B13" s="148" t="s">
        <v>13</v>
      </c>
      <c r="C13" s="148"/>
      <c r="D13" s="148"/>
      <c r="E13" s="148"/>
      <c r="F13" s="148"/>
      <c r="G13" s="148"/>
      <c r="H13" s="148"/>
    </row>
    <row r="15" spans="1:7" ht="12.75">
      <c r="A15" s="147" t="s">
        <v>484</v>
      </c>
      <c r="B15" t="s">
        <v>10</v>
      </c>
      <c r="G15" s="130">
        <v>85600</v>
      </c>
    </row>
    <row r="16" spans="1:2" ht="12.75">
      <c r="A16" s="147" t="s">
        <v>441</v>
      </c>
      <c r="B16" t="s">
        <v>352</v>
      </c>
    </row>
    <row r="17" spans="1:7" ht="12.75">
      <c r="A17" t="s">
        <v>442</v>
      </c>
      <c r="B17" t="s">
        <v>444</v>
      </c>
      <c r="G17" s="130">
        <v>42300</v>
      </c>
    </row>
    <row r="18" spans="1:7" ht="12.75">
      <c r="A18" t="s">
        <v>443</v>
      </c>
      <c r="B18" t="s">
        <v>445</v>
      </c>
      <c r="G18" s="130">
        <v>28000</v>
      </c>
    </row>
    <row r="19" spans="1:7" ht="12.75">
      <c r="A19" t="s">
        <v>461</v>
      </c>
      <c r="B19" t="s">
        <v>462</v>
      </c>
      <c r="G19" s="130">
        <v>3525</v>
      </c>
    </row>
    <row r="20" spans="1:7" ht="12.75">
      <c r="A20" s="147" t="s">
        <v>485</v>
      </c>
      <c r="B20" t="s">
        <v>456</v>
      </c>
      <c r="G20" s="130">
        <v>25000</v>
      </c>
    </row>
    <row r="21" spans="2:7" ht="33" customHeight="1">
      <c r="B21" s="532" t="s">
        <v>14</v>
      </c>
      <c r="C21" s="533"/>
      <c r="D21" s="533"/>
      <c r="E21" s="533"/>
      <c r="F21" s="533"/>
      <c r="G21" s="149">
        <f>SUM(G17:G20)+G15</f>
        <v>184425</v>
      </c>
    </row>
    <row r="23" spans="1:7" ht="12.75">
      <c r="A23" s="148" t="s">
        <v>19</v>
      </c>
      <c r="B23" s="148" t="s">
        <v>486</v>
      </c>
      <c r="C23" s="148"/>
      <c r="D23" s="148"/>
      <c r="E23" s="148"/>
      <c r="F23" s="148"/>
      <c r="G23" s="148"/>
    </row>
    <row r="24" spans="1:7" ht="12.75">
      <c r="A24" s="146" t="s">
        <v>487</v>
      </c>
      <c r="B24" t="s">
        <v>488</v>
      </c>
      <c r="G24" s="130">
        <v>34478</v>
      </c>
    </row>
    <row r="25" spans="2:7" ht="29.25" customHeight="1">
      <c r="B25" s="532" t="s">
        <v>489</v>
      </c>
      <c r="C25" s="440"/>
      <c r="D25" s="440"/>
      <c r="E25" s="440"/>
      <c r="F25" s="440"/>
      <c r="G25" s="149">
        <f>G24</f>
        <v>34478</v>
      </c>
    </row>
    <row r="26" spans="2:7" ht="16.5" customHeight="1">
      <c r="B26" s="302"/>
      <c r="C26" s="131"/>
      <c r="D26" s="131"/>
      <c r="E26" s="131"/>
      <c r="F26" s="131"/>
      <c r="G26" s="149"/>
    </row>
    <row r="27" spans="1:7" ht="15" customHeight="1">
      <c r="A27" s="148" t="s">
        <v>20</v>
      </c>
      <c r="B27" s="533" t="s">
        <v>490</v>
      </c>
      <c r="C27" s="443"/>
      <c r="D27" s="131"/>
      <c r="E27" s="131"/>
      <c r="F27" s="131"/>
      <c r="G27" s="149">
        <f>12308598-1081543-996376-20320-312963</f>
        <v>9897396</v>
      </c>
    </row>
    <row r="28" spans="2:7" ht="15" customHeight="1">
      <c r="B28" s="302"/>
      <c r="C28" s="131"/>
      <c r="D28" s="131"/>
      <c r="E28" s="131"/>
      <c r="F28" s="131"/>
      <c r="G28" s="149"/>
    </row>
    <row r="29" spans="2:7" ht="15.75" customHeight="1">
      <c r="B29" s="302"/>
      <c r="C29" s="131"/>
      <c r="D29" s="131"/>
      <c r="E29" s="131"/>
      <c r="F29" s="131"/>
      <c r="G29" s="149"/>
    </row>
    <row r="30" ht="12.75">
      <c r="G30" s="130"/>
    </row>
    <row r="31" spans="1:7" ht="17.25" customHeight="1">
      <c r="A31" s="303" t="s">
        <v>21</v>
      </c>
      <c r="B31" s="148" t="s">
        <v>15</v>
      </c>
      <c r="C31" s="148"/>
      <c r="D31" s="148"/>
      <c r="E31" s="148"/>
      <c r="F31" s="148"/>
      <c r="G31" s="149">
        <f>G21+G25+G27</f>
        <v>10116299</v>
      </c>
    </row>
  </sheetData>
  <sheetProtection/>
  <mergeCells count="9">
    <mergeCell ref="A9:I9"/>
    <mergeCell ref="B10:F10"/>
    <mergeCell ref="B25:F25"/>
    <mergeCell ref="B27:C27"/>
    <mergeCell ref="A3:H3"/>
    <mergeCell ref="B21:F21"/>
    <mergeCell ref="A6:I6"/>
    <mergeCell ref="A7:I7"/>
    <mergeCell ref="A8:I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37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5.75">
      <c r="A2" s="9"/>
      <c r="B2" s="9"/>
      <c r="C2" s="9"/>
    </row>
    <row r="3" spans="1:3" ht="15.75">
      <c r="A3" s="535" t="s">
        <v>509</v>
      </c>
      <c r="B3" s="535"/>
      <c r="C3" s="535"/>
    </row>
    <row r="4" spans="1:3" ht="12.75">
      <c r="A4" s="168"/>
      <c r="B4" s="168"/>
      <c r="C4" s="168"/>
    </row>
    <row r="5" spans="1:3" ht="15.75">
      <c r="A5" s="536" t="s">
        <v>8</v>
      </c>
      <c r="B5" s="536"/>
      <c r="C5" s="536"/>
    </row>
    <row r="6" spans="1:3" ht="15" customHeight="1">
      <c r="A6" s="536" t="s">
        <v>491</v>
      </c>
      <c r="B6" s="536"/>
      <c r="C6" s="536"/>
    </row>
    <row r="7" spans="1:3" ht="15.75">
      <c r="A7" s="536" t="s">
        <v>459</v>
      </c>
      <c r="B7" s="536"/>
      <c r="C7" s="536"/>
    </row>
    <row r="8" spans="1:3" ht="15.75">
      <c r="A8" s="9"/>
      <c r="B8" s="9"/>
      <c r="C8" s="9"/>
    </row>
    <row r="9" spans="1:3" ht="16.5" thickBot="1">
      <c r="A9" s="9"/>
      <c r="B9" s="9"/>
      <c r="C9" s="9"/>
    </row>
    <row r="10" spans="1:3" ht="47.25" customHeight="1" thickBot="1">
      <c r="A10" s="304" t="s">
        <v>392</v>
      </c>
      <c r="B10" s="305" t="s">
        <v>3</v>
      </c>
      <c r="C10" s="306" t="s">
        <v>492</v>
      </c>
    </row>
    <row r="11" spans="1:3" ht="15.75">
      <c r="A11" s="9"/>
      <c r="B11" s="9"/>
      <c r="C11" s="9"/>
    </row>
    <row r="12" spans="1:3" ht="15.75">
      <c r="A12" s="9"/>
      <c r="B12" s="9"/>
      <c r="C12" s="9"/>
    </row>
    <row r="13" spans="1:3" ht="12.75">
      <c r="A13" s="168"/>
      <c r="B13" s="168"/>
      <c r="C13" s="168"/>
    </row>
    <row r="14" spans="1:3" ht="12.75">
      <c r="A14" s="168"/>
      <c r="B14" s="168"/>
      <c r="C14" s="168"/>
    </row>
    <row r="15" spans="1:2" ht="12.75">
      <c r="A15" s="148" t="s">
        <v>18</v>
      </c>
      <c r="B15" s="148" t="s">
        <v>393</v>
      </c>
    </row>
    <row r="17" spans="1:3" ht="12.75">
      <c r="A17" s="146" t="s">
        <v>404</v>
      </c>
      <c r="B17" t="s">
        <v>394</v>
      </c>
      <c r="C17" s="130">
        <v>60624470</v>
      </c>
    </row>
    <row r="19" spans="2:3" ht="12.75">
      <c r="B19" s="148" t="s">
        <v>245</v>
      </c>
      <c r="C19" s="149">
        <v>60624470</v>
      </c>
    </row>
    <row r="21" spans="1:2" ht="12.75">
      <c r="A21" s="148" t="s">
        <v>19</v>
      </c>
      <c r="B21" s="148" t="s">
        <v>397</v>
      </c>
    </row>
    <row r="22" spans="1:3" ht="12.75">
      <c r="A22" s="146" t="s">
        <v>413</v>
      </c>
      <c r="B22" t="s">
        <v>398</v>
      </c>
      <c r="C22" s="130">
        <f>250000-21181</f>
        <v>228819</v>
      </c>
    </row>
    <row r="23" spans="1:3" ht="12.75">
      <c r="A23" s="301" t="s">
        <v>487</v>
      </c>
      <c r="B23" t="s">
        <v>395</v>
      </c>
      <c r="C23" s="150">
        <f>67500-5719</f>
        <v>61781</v>
      </c>
    </row>
    <row r="24" spans="2:3" ht="12.75">
      <c r="B24" s="148" t="s">
        <v>396</v>
      </c>
      <c r="C24" s="149">
        <f>C22+C23</f>
        <v>290600</v>
      </c>
    </row>
    <row r="25" spans="2:3" ht="12.75">
      <c r="B25" s="148"/>
      <c r="C25" s="149"/>
    </row>
    <row r="26" spans="1:3" ht="14.25">
      <c r="A26" s="303" t="s">
        <v>20</v>
      </c>
      <c r="B26" s="307" t="s">
        <v>493</v>
      </c>
      <c r="C26" s="149"/>
    </row>
    <row r="27" spans="1:3" ht="12.75">
      <c r="A27" s="301" t="s">
        <v>494</v>
      </c>
      <c r="B27" s="308" t="s">
        <v>508</v>
      </c>
      <c r="C27" s="165">
        <f>144410+175000+21181</f>
        <v>340591</v>
      </c>
    </row>
    <row r="28" spans="1:3" ht="12.75">
      <c r="A28" s="301" t="s">
        <v>438</v>
      </c>
      <c r="B28" t="s">
        <v>395</v>
      </c>
      <c r="C28" s="150">
        <f>38990+5719</f>
        <v>44709</v>
      </c>
    </row>
    <row r="29" spans="2:3" ht="12.75">
      <c r="B29" s="148" t="s">
        <v>396</v>
      </c>
      <c r="C29" s="149">
        <f>C27+C28</f>
        <v>385300</v>
      </c>
    </row>
    <row r="30" spans="2:3" ht="12.75">
      <c r="B30" s="148"/>
      <c r="C30" s="149"/>
    </row>
    <row r="31" spans="2:3" ht="12.75">
      <c r="B31" s="148"/>
      <c r="C31" s="149"/>
    </row>
    <row r="32" spans="1:3" ht="12.75">
      <c r="A32" t="s">
        <v>21</v>
      </c>
      <c r="B32" s="148" t="s">
        <v>501</v>
      </c>
      <c r="C32" s="149"/>
    </row>
    <row r="33" spans="1:3" ht="12.75">
      <c r="A33" s="146" t="s">
        <v>500</v>
      </c>
      <c r="B33" s="308" t="s">
        <v>495</v>
      </c>
      <c r="C33" s="165">
        <f>472441-153701-273180+32677</f>
        <v>78237</v>
      </c>
    </row>
    <row r="34" spans="1:3" ht="12.75">
      <c r="A34" s="301" t="s">
        <v>499</v>
      </c>
      <c r="B34" t="s">
        <v>395</v>
      </c>
      <c r="C34" s="150">
        <f>127559-73757-32677</f>
        <v>21125</v>
      </c>
    </row>
    <row r="35" spans="2:3" ht="12.75">
      <c r="B35" s="148" t="s">
        <v>396</v>
      </c>
      <c r="C35" s="149">
        <f>C33+C34</f>
        <v>99362</v>
      </c>
    </row>
    <row r="37" spans="2:3" ht="12.75">
      <c r="B37" s="148" t="s">
        <v>399</v>
      </c>
      <c r="C37" s="149">
        <f>C19+C24+C29+C35</f>
        <v>61399732</v>
      </c>
    </row>
    <row r="39" ht="41.25" customHeight="1"/>
  </sheetData>
  <sheetProtection/>
  <mergeCells count="4"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Bíró Balázs</cp:lastModifiedBy>
  <cp:lastPrinted>2019-02-07T11:49:05Z</cp:lastPrinted>
  <dcterms:created xsi:type="dcterms:W3CDTF">2002-11-26T17:22:50Z</dcterms:created>
  <dcterms:modified xsi:type="dcterms:W3CDTF">2020-01-19T14:02:50Z</dcterms:modified>
  <cp:category/>
  <cp:version/>
  <cp:contentType/>
  <cp:contentStatus/>
</cp:coreProperties>
</file>