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6380" windowHeight="8190" tabRatio="595"/>
  </bookViews>
  <sheets>
    <sheet name="címrendes bevétel" sheetId="1" r:id="rId1"/>
    <sheet name="címrendes kiadás" sheetId="2" r:id="rId2"/>
    <sheet name="Önkorm.bevétel" sheetId="3" r:id="rId3"/>
    <sheet name="Hivatal bevétel" sheetId="4" r:id="rId4"/>
    <sheet name="Önkorm.kiadás" sheetId="5" r:id="rId5"/>
    <sheet name="Hivatal kiad." sheetId="6" r:id="rId6"/>
    <sheet name="hitel 3.sz." sheetId="20" r:id="rId7"/>
    <sheet name="4.sz.mell. (2)" sheetId="21" r:id="rId8"/>
    <sheet name="5.mell. (2)" sheetId="22" r:id="rId9"/>
    <sheet name="kötelező-nem kötelező" sheetId="33" r:id="rId10"/>
    <sheet name="6.mell.(2)" sheetId="40" r:id="rId11"/>
    <sheet name="7.mell (2)" sheetId="24" r:id="rId12"/>
    <sheet name="9.m.II.f." sheetId="41" r:id="rId13"/>
    <sheet name="10.mell " sheetId="37" r:id="rId14"/>
    <sheet name="11a melléklet" sheetId="39" r:id="rId15"/>
    <sheet name="11b melléklet" sheetId="38" r:id="rId16"/>
    <sheet name="12. melléklet" sheetId="42" r:id="rId17"/>
    <sheet name="13.mell." sheetId="43" r:id="rId18"/>
  </sheets>
  <externalReferences>
    <externalReference r:id="rId19"/>
    <externalReference r:id="rId20"/>
    <externalReference r:id="rId21"/>
  </externalReferences>
  <definedNames>
    <definedName name="_xlnm.Print_Titles" localSheetId="14">'11a melléklet'!$6:$6</definedName>
    <definedName name="_xlnm.Print_Titles" localSheetId="0">'címrendes bevétel'!$5:$10</definedName>
    <definedName name="_xlnm.Print_Area" localSheetId="14">'11a melléklet'!$A$1:$F$142</definedName>
    <definedName name="_xlnm.Print_Area" localSheetId="15">'11b melléklet'!$A$1:$C$33</definedName>
    <definedName name="_xlnm.Print_Area" localSheetId="7">'4.sz.mell. (2)'!$A$1:$AG$41</definedName>
    <definedName name="_xlnm.Print_Area" localSheetId="8">'5.mell. (2)'!$A$1:$T$65</definedName>
    <definedName name="_xlnm.Print_Area" localSheetId="10">'6.mell.(2)'!$A$1:$G$64</definedName>
    <definedName name="_xlnm.Print_Area" localSheetId="11">'7.mell (2)'!$A$1:$AI$39</definedName>
    <definedName name="_xlnm.Print_Area" localSheetId="0">'címrendes bevétel'!$A$1:$AA$164</definedName>
    <definedName name="_xlnm.Print_Area" localSheetId="1">'címrendes kiadás'!$A$1:$AA$177</definedName>
    <definedName name="_xlnm.Print_Area" localSheetId="6">'hitel 3.sz.'!$A$1:$P$35</definedName>
    <definedName name="_xlnm.Print_Area" localSheetId="3">'Hivatal bevétel'!$A$1:$P$27</definedName>
    <definedName name="_xlnm.Print_Area" localSheetId="5">'Hivatal kiad.'!$A$1:$P$30</definedName>
    <definedName name="_xlnm.Print_Area" localSheetId="9">'kötelező-nem kötelező'!$A$1:$AH$66</definedName>
    <definedName name="_xlnm.Print_Area" localSheetId="2">Önkorm.bevétel!$A$1:$P$70</definedName>
    <definedName name="_xlnm.Print_Area" localSheetId="4">Önkorm.kiadás!$A$1:$P$110</definedName>
  </definedNames>
  <calcPr calcId="125725" fullCalcOnLoad="1"/>
</workbook>
</file>

<file path=xl/calcChain.xml><?xml version="1.0" encoding="utf-8"?>
<calcChain xmlns="http://schemas.openxmlformats.org/spreadsheetml/2006/main">
  <c r="C14" i="43"/>
  <c r="C17" i="42"/>
  <c r="D17"/>
  <c r="E17"/>
  <c r="F17"/>
  <c r="G17"/>
  <c r="H17"/>
  <c r="I17"/>
  <c r="J17"/>
  <c r="N7" i="41"/>
  <c r="N13" s="1"/>
  <c r="N8"/>
  <c r="N9"/>
  <c r="N10"/>
  <c r="N11"/>
  <c r="B13"/>
  <c r="C13"/>
  <c r="D13"/>
  <c r="E13"/>
  <c r="F13"/>
  <c r="G13"/>
  <c r="H13"/>
  <c r="I13"/>
  <c r="J13"/>
  <c r="K13"/>
  <c r="L13"/>
  <c r="M13"/>
  <c r="N15"/>
  <c r="N22" s="1"/>
  <c r="N16"/>
  <c r="N17"/>
  <c r="N18"/>
  <c r="N19"/>
  <c r="N20"/>
  <c r="N21"/>
  <c r="B22"/>
  <c r="C22"/>
  <c r="C23" s="1"/>
  <c r="D22"/>
  <c r="E22"/>
  <c r="E23" s="1"/>
  <c r="F22"/>
  <c r="G22"/>
  <c r="G23" s="1"/>
  <c r="H22"/>
  <c r="I22"/>
  <c r="I23" s="1"/>
  <c r="J22"/>
  <c r="K22"/>
  <c r="K23" s="1"/>
  <c r="L22"/>
  <c r="M22"/>
  <c r="M23" s="1"/>
  <c r="B23"/>
  <c r="D23"/>
  <c r="F23"/>
  <c r="H23"/>
  <c r="J23"/>
  <c r="L23"/>
  <c r="E10" i="40"/>
  <c r="F10" s="1"/>
  <c r="E11"/>
  <c r="F11"/>
  <c r="G11" s="1"/>
  <c r="E12"/>
  <c r="E14"/>
  <c r="E18"/>
  <c r="F18"/>
  <c r="G18"/>
  <c r="E20"/>
  <c r="E21"/>
  <c r="E22"/>
  <c r="F22"/>
  <c r="G22"/>
  <c r="E23"/>
  <c r="E24"/>
  <c r="E28"/>
  <c r="F28"/>
  <c r="G28" s="1"/>
  <c r="E29"/>
  <c r="F29" s="1"/>
  <c r="E30"/>
  <c r="E32"/>
  <c r="F32" s="1"/>
  <c r="G32" s="1"/>
  <c r="E33"/>
  <c r="F33"/>
  <c r="G33" s="1"/>
  <c r="E35"/>
  <c r="E44"/>
  <c r="E46" s="1"/>
  <c r="F46"/>
  <c r="G46"/>
  <c r="E51"/>
  <c r="E53"/>
  <c r="E55" s="1"/>
  <c r="E62" s="1"/>
  <c r="F53"/>
  <c r="G53"/>
  <c r="G55" s="1"/>
  <c r="F55"/>
  <c r="E58"/>
  <c r="E59"/>
  <c r="E60"/>
  <c r="F60"/>
  <c r="G60"/>
  <c r="R14" i="33"/>
  <c r="AD14"/>
  <c r="AG14" s="1"/>
  <c r="S14"/>
  <c r="AE14"/>
  <c r="T14"/>
  <c r="AF14"/>
  <c r="F15"/>
  <c r="R15" s="1"/>
  <c r="AD15" s="1"/>
  <c r="Z15"/>
  <c r="G13"/>
  <c r="G15" s="1"/>
  <c r="O15"/>
  <c r="AA15"/>
  <c r="H13"/>
  <c r="H15" s="1"/>
  <c r="P15"/>
  <c r="AB15"/>
  <c r="F16"/>
  <c r="R16"/>
  <c r="AD16" s="1"/>
  <c r="AG16" s="1"/>
  <c r="G16"/>
  <c r="S16" s="1"/>
  <c r="AE16" s="1"/>
  <c r="H16"/>
  <c r="T16"/>
  <c r="AF16" s="1"/>
  <c r="R17"/>
  <c r="AD17"/>
  <c r="G17"/>
  <c r="S17"/>
  <c r="AE17" s="1"/>
  <c r="T17"/>
  <c r="AF17" s="1"/>
  <c r="R19"/>
  <c r="AD19"/>
  <c r="G19"/>
  <c r="S19"/>
  <c r="AE19" s="1"/>
  <c r="AG19" s="1"/>
  <c r="T19"/>
  <c r="AF19" s="1"/>
  <c r="R20"/>
  <c r="AD20"/>
  <c r="AG20" s="1"/>
  <c r="S20"/>
  <c r="AE20"/>
  <c r="T20"/>
  <c r="AF20"/>
  <c r="F21"/>
  <c r="R21" s="1"/>
  <c r="AD21" s="1"/>
  <c r="Z21"/>
  <c r="G21"/>
  <c r="O21"/>
  <c r="S21"/>
  <c r="AA21"/>
  <c r="AE21"/>
  <c r="H21"/>
  <c r="P21"/>
  <c r="T21" s="1"/>
  <c r="AF21" s="1"/>
  <c r="AB21"/>
  <c r="R23"/>
  <c r="AD23"/>
  <c r="T23"/>
  <c r="AF23"/>
  <c r="R24"/>
  <c r="AD24" s="1"/>
  <c r="S24"/>
  <c r="AE24" s="1"/>
  <c r="T24"/>
  <c r="AF24" s="1"/>
  <c r="F25"/>
  <c r="N25"/>
  <c r="R25" s="1"/>
  <c r="AD25" s="1"/>
  <c r="Z25"/>
  <c r="O25"/>
  <c r="AA25"/>
  <c r="H25"/>
  <c r="P25"/>
  <c r="T25" s="1"/>
  <c r="AF25" s="1"/>
  <c r="AB25"/>
  <c r="R26"/>
  <c r="AD26"/>
  <c r="AG26" s="1"/>
  <c r="S26"/>
  <c r="AE26"/>
  <c r="T26"/>
  <c r="AF26"/>
  <c r="F27"/>
  <c r="N27"/>
  <c r="R27"/>
  <c r="Z27"/>
  <c r="AD27"/>
  <c r="O27"/>
  <c r="AA27"/>
  <c r="P27"/>
  <c r="AB27"/>
  <c r="F31"/>
  <c r="R31" s="1"/>
  <c r="AD31" s="1"/>
  <c r="G31"/>
  <c r="S31"/>
  <c r="AE31" s="1"/>
  <c r="H31"/>
  <c r="T31" s="1"/>
  <c r="AF31" s="1"/>
  <c r="F32"/>
  <c r="R32" s="1"/>
  <c r="AD32" s="1"/>
  <c r="G32"/>
  <c r="S32"/>
  <c r="AE32" s="1"/>
  <c r="H32"/>
  <c r="T32" s="1"/>
  <c r="AF32" s="1"/>
  <c r="F33"/>
  <c r="R33" s="1"/>
  <c r="AD33" s="1"/>
  <c r="G33"/>
  <c r="S33"/>
  <c r="AE33" s="1"/>
  <c r="H33"/>
  <c r="T33" s="1"/>
  <c r="AF33" s="1"/>
  <c r="R34"/>
  <c r="AD34" s="1"/>
  <c r="S34"/>
  <c r="AE34" s="1"/>
  <c r="T34"/>
  <c r="AF34" s="1"/>
  <c r="R35"/>
  <c r="AD35"/>
  <c r="G35"/>
  <c r="S35"/>
  <c r="AE35" s="1"/>
  <c r="H35"/>
  <c r="T35" s="1"/>
  <c r="AF35" s="1"/>
  <c r="R36"/>
  <c r="AD36" s="1"/>
  <c r="AG36" s="1"/>
  <c r="G36"/>
  <c r="S36" s="1"/>
  <c r="AE36" s="1"/>
  <c r="H36"/>
  <c r="T36"/>
  <c r="AF36" s="1"/>
  <c r="R37"/>
  <c r="AD37"/>
  <c r="S37"/>
  <c r="AE37"/>
  <c r="H37"/>
  <c r="T37"/>
  <c r="AF37" s="1"/>
  <c r="AG37" s="1"/>
  <c r="R38"/>
  <c r="AD38"/>
  <c r="T38"/>
  <c r="AF38"/>
  <c r="R39"/>
  <c r="AD39" s="1"/>
  <c r="AG39" s="1"/>
  <c r="G39"/>
  <c r="S39" s="1"/>
  <c r="AE39" s="1"/>
  <c r="T39"/>
  <c r="AF39"/>
  <c r="F40"/>
  <c r="N40"/>
  <c r="R40"/>
  <c r="Z40"/>
  <c r="AD40"/>
  <c r="O40"/>
  <c r="AA40"/>
  <c r="H40"/>
  <c r="P40"/>
  <c r="T40"/>
  <c r="AB40"/>
  <c r="AF40"/>
  <c r="R42"/>
  <c r="AD42" s="1"/>
  <c r="S42"/>
  <c r="AE42" s="1"/>
  <c r="T42"/>
  <c r="AF42" s="1"/>
  <c r="R43"/>
  <c r="AD43"/>
  <c r="G43"/>
  <c r="S43"/>
  <c r="AE43" s="1"/>
  <c r="AG43" s="1"/>
  <c r="T43"/>
  <c r="AF43" s="1"/>
  <c r="R44"/>
  <c r="AD44"/>
  <c r="S44"/>
  <c r="AE44"/>
  <c r="H44"/>
  <c r="T44"/>
  <c r="AF44" s="1"/>
  <c r="AG44" s="1"/>
  <c r="R45"/>
  <c r="AD45"/>
  <c r="AG45" s="1"/>
  <c r="S45"/>
  <c r="AE45"/>
  <c r="T45"/>
  <c r="AF45"/>
  <c r="R46"/>
  <c r="AD46" s="1"/>
  <c r="S46"/>
  <c r="AE46" s="1"/>
  <c r="T46"/>
  <c r="AF46" s="1"/>
  <c r="R47"/>
  <c r="AD47"/>
  <c r="G47"/>
  <c r="S47"/>
  <c r="AE47" s="1"/>
  <c r="AG47" s="1"/>
  <c r="T47"/>
  <c r="AF47" s="1"/>
  <c r="F48"/>
  <c r="N48"/>
  <c r="R48" s="1"/>
  <c r="AD48" s="1"/>
  <c r="Z48"/>
  <c r="G48"/>
  <c r="O48"/>
  <c r="S48"/>
  <c r="AA48"/>
  <c r="AE48"/>
  <c r="H48"/>
  <c r="P48"/>
  <c r="T48" s="1"/>
  <c r="AF48" s="1"/>
  <c r="AB48"/>
  <c r="F49"/>
  <c r="N49"/>
  <c r="R49" s="1"/>
  <c r="AD49" s="1"/>
  <c r="Z49"/>
  <c r="O49"/>
  <c r="AA49"/>
  <c r="H49"/>
  <c r="P49"/>
  <c r="T49" s="1"/>
  <c r="AF49" s="1"/>
  <c r="AB49"/>
  <c r="R53"/>
  <c r="AD53"/>
  <c r="G53"/>
  <c r="S53"/>
  <c r="AE53" s="1"/>
  <c r="AG53" s="1"/>
  <c r="T53"/>
  <c r="AF53" s="1"/>
  <c r="R54"/>
  <c r="AD54"/>
  <c r="G54"/>
  <c r="S54" s="1"/>
  <c r="AE54" s="1"/>
  <c r="H54"/>
  <c r="T54"/>
  <c r="AF54" s="1"/>
  <c r="F55"/>
  <c r="N55"/>
  <c r="R55" s="1"/>
  <c r="AD55" s="1"/>
  <c r="Z55"/>
  <c r="Z57" s="1"/>
  <c r="G55"/>
  <c r="G57" s="1"/>
  <c r="O55"/>
  <c r="S55"/>
  <c r="AA55"/>
  <c r="AE55"/>
  <c r="H55"/>
  <c r="P55"/>
  <c r="T55" s="1"/>
  <c r="AF55" s="1"/>
  <c r="AB55"/>
  <c r="AB57" s="1"/>
  <c r="AB64" s="1"/>
  <c r="R56"/>
  <c r="AD56"/>
  <c r="S56"/>
  <c r="AE56"/>
  <c r="H56"/>
  <c r="T56"/>
  <c r="AF56" s="1"/>
  <c r="AG56" s="1"/>
  <c r="O57"/>
  <c r="AA57"/>
  <c r="H57"/>
  <c r="R60"/>
  <c r="AD60" s="1"/>
  <c r="G60"/>
  <c r="S60" s="1"/>
  <c r="AE60" s="1"/>
  <c r="T60"/>
  <c r="AF60"/>
  <c r="R61"/>
  <c r="AD61" s="1"/>
  <c r="G61"/>
  <c r="S61" s="1"/>
  <c r="AE61" s="1"/>
  <c r="T61"/>
  <c r="AF61"/>
  <c r="F62"/>
  <c r="N62"/>
  <c r="R62"/>
  <c r="Z62"/>
  <c r="AD62"/>
  <c r="O62"/>
  <c r="AA62"/>
  <c r="H62"/>
  <c r="P62"/>
  <c r="T62"/>
  <c r="AB62"/>
  <c r="AF62"/>
  <c r="F64"/>
  <c r="O64"/>
  <c r="AA64"/>
  <c r="F65"/>
  <c r="N65"/>
  <c r="R65"/>
  <c r="Z65"/>
  <c r="AD65"/>
  <c r="O65"/>
  <c r="AA65"/>
  <c r="AC65" s="1"/>
  <c r="H65"/>
  <c r="P65"/>
  <c r="T65"/>
  <c r="AB65"/>
  <c r="AF65"/>
  <c r="R13"/>
  <c r="AD13" s="1"/>
  <c r="S13"/>
  <c r="AE13" s="1"/>
  <c r="T13"/>
  <c r="AF13" s="1"/>
  <c r="AC14"/>
  <c r="AC15"/>
  <c r="AC16"/>
  <c r="AC17"/>
  <c r="AC19"/>
  <c r="AC20"/>
  <c r="AC21"/>
  <c r="AC23"/>
  <c r="AC24"/>
  <c r="AC25"/>
  <c r="AC26"/>
  <c r="AC27"/>
  <c r="AC31"/>
  <c r="AC32"/>
  <c r="AC33"/>
  <c r="AC34"/>
  <c r="AC35"/>
  <c r="AC36"/>
  <c r="AC37"/>
  <c r="AC38"/>
  <c r="AC39"/>
  <c r="AC40"/>
  <c r="AC42"/>
  <c r="AC43"/>
  <c r="AC44"/>
  <c r="AC45"/>
  <c r="AC46"/>
  <c r="AC47"/>
  <c r="AC48"/>
  <c r="AC49"/>
  <c r="AC53"/>
  <c r="AC54"/>
  <c r="AC56"/>
  <c r="AC60"/>
  <c r="AC61"/>
  <c r="AC62"/>
  <c r="AC13"/>
  <c r="E63" i="39"/>
  <c r="E65"/>
  <c r="E87"/>
  <c r="E88"/>
  <c r="E89"/>
  <c r="E90"/>
  <c r="E92"/>
  <c r="E106"/>
  <c r="E109"/>
  <c r="E15"/>
  <c r="E12"/>
  <c r="E37"/>
  <c r="D69"/>
  <c r="C27" i="38"/>
  <c r="C11"/>
  <c r="C25" s="1"/>
  <c r="C31" s="1"/>
  <c r="C14"/>
  <c r="C18"/>
  <c r="C21"/>
  <c r="AH25" i="24"/>
  <c r="AD37"/>
  <c r="S38" i="22"/>
  <c r="S60"/>
  <c r="S55"/>
  <c r="S62" s="1"/>
  <c r="S53"/>
  <c r="S46"/>
  <c r="S47" s="1"/>
  <c r="S63" s="1"/>
  <c r="S23"/>
  <c r="S19"/>
  <c r="S13"/>
  <c r="S25" s="1"/>
  <c r="AF19" i="21"/>
  <c r="AF32"/>
  <c r="AF38"/>
  <c r="AF31"/>
  <c r="O38"/>
  <c r="O31"/>
  <c r="O19"/>
  <c r="Z175" i="2"/>
  <c r="Z171"/>
  <c r="W149"/>
  <c r="Z152"/>
  <c r="Z150"/>
  <c r="Z148"/>
  <c r="Z125"/>
  <c r="Z151" s="1"/>
  <c r="Z121"/>
  <c r="AA120"/>
  <c r="W104"/>
  <c r="AA104"/>
  <c r="Z110"/>
  <c r="Z149" s="1"/>
  <c r="AA109"/>
  <c r="Z101"/>
  <c r="Z95"/>
  <c r="AA91"/>
  <c r="AA92"/>
  <c r="AA93"/>
  <c r="AA94"/>
  <c r="Z44"/>
  <c r="Z45"/>
  <c r="Z46"/>
  <c r="Z47"/>
  <c r="Z48"/>
  <c r="Z49"/>
  <c r="Z50"/>
  <c r="Z51"/>
  <c r="Z52"/>
  <c r="Z53"/>
  <c r="Z19"/>
  <c r="O106" i="5"/>
  <c r="O105"/>
  <c r="O100"/>
  <c r="O99"/>
  <c r="O101" s="1"/>
  <c r="O108" s="1"/>
  <c r="O98"/>
  <c r="O95"/>
  <c r="P75"/>
  <c r="P76"/>
  <c r="B77"/>
  <c r="O57"/>
  <c r="O77" s="1"/>
  <c r="P49"/>
  <c r="O34"/>
  <c r="O33"/>
  <c r="O32"/>
  <c r="P23"/>
  <c r="O8"/>
  <c r="O51" s="1"/>
  <c r="Z120" i="1"/>
  <c r="Z133"/>
  <c r="Z132"/>
  <c r="Z134" s="1"/>
  <c r="Z129"/>
  <c r="Z128"/>
  <c r="Z130" s="1"/>
  <c r="Z125"/>
  <c r="Z124"/>
  <c r="Z126" s="1"/>
  <c r="Z118"/>
  <c r="Z152"/>
  <c r="Z147"/>
  <c r="Z144"/>
  <c r="Z148" s="1"/>
  <c r="Z162" s="1"/>
  <c r="O17" i="3"/>
  <c r="Z51" i="1"/>
  <c r="Z56"/>
  <c r="Z57" s="1"/>
  <c r="Z121" s="1"/>
  <c r="Z29"/>
  <c r="Z23"/>
  <c r="Z20"/>
  <c r="Z30" s="1"/>
  <c r="Z119" s="1"/>
  <c r="Z62"/>
  <c r="Z122" s="1"/>
  <c r="Z74"/>
  <c r="Z70"/>
  <c r="Z66"/>
  <c r="Z39"/>
  <c r="O38" i="3"/>
  <c r="O54"/>
  <c r="O68"/>
  <c r="O64"/>
  <c r="O62"/>
  <c r="O58"/>
  <c r="P53"/>
  <c r="B54"/>
  <c r="P37"/>
  <c r="B38"/>
  <c r="O11"/>
  <c r="O18" s="1"/>
  <c r="O69" s="1"/>
  <c r="O15"/>
  <c r="Z28" i="2"/>
  <c r="Z134"/>
  <c r="Z135"/>
  <c r="AA133"/>
  <c r="O23" i="6"/>
  <c r="O27" s="1"/>
  <c r="O26"/>
  <c r="O17"/>
  <c r="O12"/>
  <c r="O14" s="1"/>
  <c r="O21"/>
  <c r="O20"/>
  <c r="Z88" i="1"/>
  <c r="Z84"/>
  <c r="Z80"/>
  <c r="Z89" s="1"/>
  <c r="O22" i="4"/>
  <c r="O16"/>
  <c r="Z140" i="2"/>
  <c r="Z141" s="1"/>
  <c r="Z35"/>
  <c r="Z156" i="1"/>
  <c r="Z101"/>
  <c r="Z97"/>
  <c r="Z93"/>
  <c r="F21" i="22"/>
  <c r="M44" i="2"/>
  <c r="F29" i="22" s="1"/>
  <c r="H29"/>
  <c r="L29" s="1"/>
  <c r="P29" s="1"/>
  <c r="T29" s="1"/>
  <c r="M45" i="2"/>
  <c r="M46"/>
  <c r="F31" i="22" s="1"/>
  <c r="H31" s="1"/>
  <c r="H32"/>
  <c r="L32" s="1"/>
  <c r="P32" s="1"/>
  <c r="T32" s="1"/>
  <c r="F33"/>
  <c r="H33" s="1"/>
  <c r="L33" s="1"/>
  <c r="P33" s="1"/>
  <c r="R33" s="1"/>
  <c r="T33"/>
  <c r="M49" i="2"/>
  <c r="F34" i="22"/>
  <c r="H34" s="1"/>
  <c r="M50" i="2"/>
  <c r="F35" i="22"/>
  <c r="H35" s="1"/>
  <c r="L35" s="1"/>
  <c r="P35" s="1"/>
  <c r="R35" s="1"/>
  <c r="M51" i="2"/>
  <c r="G38" i="33" s="1"/>
  <c r="F36" i="22"/>
  <c r="H36" s="1"/>
  <c r="M52" i="2"/>
  <c r="F37" i="22"/>
  <c r="H37" s="1"/>
  <c r="L37" s="1"/>
  <c r="P37" s="1"/>
  <c r="R37" s="1"/>
  <c r="T37"/>
  <c r="M147" i="2"/>
  <c r="F40" i="22" s="1"/>
  <c r="H40"/>
  <c r="L40" s="1"/>
  <c r="P40" s="1"/>
  <c r="T40" s="1"/>
  <c r="F41"/>
  <c r="H41" s="1"/>
  <c r="F42"/>
  <c r="H42" s="1"/>
  <c r="F43"/>
  <c r="H43" s="1"/>
  <c r="M151" i="2"/>
  <c r="F44" i="22"/>
  <c r="H44" s="1"/>
  <c r="L44" s="1"/>
  <c r="P44" s="1"/>
  <c r="T44" s="1"/>
  <c r="M152" i="2"/>
  <c r="F45" i="22"/>
  <c r="H45" s="1"/>
  <c r="L45" s="1"/>
  <c r="P45" s="1"/>
  <c r="T51"/>
  <c r="F52"/>
  <c r="H52" s="1"/>
  <c r="L52"/>
  <c r="F51"/>
  <c r="F53"/>
  <c r="F54"/>
  <c r="H54"/>
  <c r="L54" s="1"/>
  <c r="P54" s="1"/>
  <c r="F55"/>
  <c r="M171" i="2"/>
  <c r="F58" i="22"/>
  <c r="M175" i="2"/>
  <c r="F59" i="22"/>
  <c r="H59" s="1"/>
  <c r="L59" s="1"/>
  <c r="Z41" i="2"/>
  <c r="P12" i="6"/>
  <c r="P10" i="5"/>
  <c r="P34"/>
  <c r="P51"/>
  <c r="P71"/>
  <c r="D77"/>
  <c r="P86"/>
  <c r="P90"/>
  <c r="P107"/>
  <c r="P9" i="4"/>
  <c r="P13"/>
  <c r="P19"/>
  <c r="P20"/>
  <c r="P21"/>
  <c r="P23"/>
  <c r="P24"/>
  <c r="D9" i="3"/>
  <c r="H9" s="1"/>
  <c r="L9"/>
  <c r="P9" s="1"/>
  <c r="D10"/>
  <c r="H10" s="1"/>
  <c r="L10"/>
  <c r="B11"/>
  <c r="C11"/>
  <c r="D11"/>
  <c r="G11"/>
  <c r="H11"/>
  <c r="L11" s="1"/>
  <c r="D12"/>
  <c r="H12"/>
  <c r="L12" s="1"/>
  <c r="P12" s="1"/>
  <c r="L13"/>
  <c r="P13"/>
  <c r="L14"/>
  <c r="P14"/>
  <c r="D15"/>
  <c r="H15"/>
  <c r="L15" s="1"/>
  <c r="P15"/>
  <c r="L16"/>
  <c r="P16"/>
  <c r="H17"/>
  <c r="L17"/>
  <c r="B18"/>
  <c r="C18"/>
  <c r="D18"/>
  <c r="G18"/>
  <c r="H18"/>
  <c r="K18"/>
  <c r="L18"/>
  <c r="D19"/>
  <c r="D20"/>
  <c r="H20" s="1"/>
  <c r="D21"/>
  <c r="H22"/>
  <c r="H23"/>
  <c r="L23"/>
  <c r="P23" s="1"/>
  <c r="H24"/>
  <c r="H25"/>
  <c r="L25"/>
  <c r="P25" s="1"/>
  <c r="H26"/>
  <c r="H27"/>
  <c r="L27"/>
  <c r="P27" s="1"/>
  <c r="H28"/>
  <c r="H29"/>
  <c r="L29"/>
  <c r="P29" s="1"/>
  <c r="H30"/>
  <c r="H31"/>
  <c r="L31"/>
  <c r="P31" s="1"/>
  <c r="L32"/>
  <c r="H33"/>
  <c r="L33" s="1"/>
  <c r="P33"/>
  <c r="L34"/>
  <c r="P34"/>
  <c r="P35"/>
  <c r="L36"/>
  <c r="P36" s="1"/>
  <c r="C38"/>
  <c r="D38" s="1"/>
  <c r="G38"/>
  <c r="K38"/>
  <c r="D39"/>
  <c r="H39"/>
  <c r="D40"/>
  <c r="H40"/>
  <c r="L40" s="1"/>
  <c r="P40"/>
  <c r="H41"/>
  <c r="L41"/>
  <c r="P42"/>
  <c r="H43"/>
  <c r="L43"/>
  <c r="P43" s="1"/>
  <c r="H44"/>
  <c r="H45"/>
  <c r="L45"/>
  <c r="P45" s="1"/>
  <c r="H46"/>
  <c r="H47"/>
  <c r="L47"/>
  <c r="P47" s="1"/>
  <c r="L48"/>
  <c r="H49"/>
  <c r="L49" s="1"/>
  <c r="P49"/>
  <c r="H50"/>
  <c r="L50"/>
  <c r="H51"/>
  <c r="L51" s="1"/>
  <c r="P51"/>
  <c r="L52"/>
  <c r="P52"/>
  <c r="C54"/>
  <c r="D54"/>
  <c r="F54" s="1"/>
  <c r="G54"/>
  <c r="H54"/>
  <c r="K54"/>
  <c r="L54"/>
  <c r="P54" s="1"/>
  <c r="H55"/>
  <c r="L55" s="1"/>
  <c r="P55"/>
  <c r="H56"/>
  <c r="L56"/>
  <c r="H57"/>
  <c r="L57" s="1"/>
  <c r="P57"/>
  <c r="D58"/>
  <c r="G58"/>
  <c r="H58" s="1"/>
  <c r="L58" s="1"/>
  <c r="K58"/>
  <c r="P58"/>
  <c r="D59"/>
  <c r="H59"/>
  <c r="D60"/>
  <c r="H60"/>
  <c r="L60" s="1"/>
  <c r="P60"/>
  <c r="D61"/>
  <c r="H61"/>
  <c r="B62"/>
  <c r="C62"/>
  <c r="D62" s="1"/>
  <c r="G62"/>
  <c r="K62"/>
  <c r="D63"/>
  <c r="H63"/>
  <c r="B64"/>
  <c r="C64"/>
  <c r="D64" s="1"/>
  <c r="H64"/>
  <c r="K64"/>
  <c r="L64"/>
  <c r="P64" s="1"/>
  <c r="D65"/>
  <c r="H65" s="1"/>
  <c r="L65"/>
  <c r="D66"/>
  <c r="H66" s="1"/>
  <c r="L66"/>
  <c r="P66" s="1"/>
  <c r="L67"/>
  <c r="P67" s="1"/>
  <c r="B68"/>
  <c r="C68"/>
  <c r="D68"/>
  <c r="H68" s="1"/>
  <c r="K68"/>
  <c r="C69"/>
  <c r="G69"/>
  <c r="K69"/>
  <c r="D8"/>
  <c r="H8"/>
  <c r="Z145" i="2"/>
  <c r="Z146"/>
  <c r="O11"/>
  <c r="S11"/>
  <c r="W11" s="1"/>
  <c r="AA11"/>
  <c r="O12"/>
  <c r="S12"/>
  <c r="O13"/>
  <c r="S13"/>
  <c r="W13" s="1"/>
  <c r="AA13"/>
  <c r="O14"/>
  <c r="S14"/>
  <c r="W14" s="1"/>
  <c r="O15"/>
  <c r="S15"/>
  <c r="W15" s="1"/>
  <c r="AA15"/>
  <c r="O16"/>
  <c r="S16"/>
  <c r="W16" s="1"/>
  <c r="O17"/>
  <c r="S17"/>
  <c r="W17" s="1"/>
  <c r="AA17"/>
  <c r="O18"/>
  <c r="S18"/>
  <c r="W18" s="1"/>
  <c r="M19"/>
  <c r="N19"/>
  <c r="O19" s="1"/>
  <c r="R19"/>
  <c r="V19"/>
  <c r="O22"/>
  <c r="S22"/>
  <c r="W22" s="1"/>
  <c r="AA22" s="1"/>
  <c r="O23"/>
  <c r="S23"/>
  <c r="W23" s="1"/>
  <c r="AA23"/>
  <c r="O24"/>
  <c r="S24"/>
  <c r="W24" s="1"/>
  <c r="AA24" s="1"/>
  <c r="AA25"/>
  <c r="O26"/>
  <c r="S26" s="1"/>
  <c r="W26"/>
  <c r="O27"/>
  <c r="S27" s="1"/>
  <c r="W27"/>
  <c r="AA27" s="1"/>
  <c r="M28"/>
  <c r="N28"/>
  <c r="O28"/>
  <c r="R28"/>
  <c r="S28"/>
  <c r="V28"/>
  <c r="W28"/>
  <c r="O31"/>
  <c r="S31" s="1"/>
  <c r="W31" s="1"/>
  <c r="O32"/>
  <c r="S32" s="1"/>
  <c r="O33"/>
  <c r="S33" s="1"/>
  <c r="W33" s="1"/>
  <c r="S34"/>
  <c r="M35"/>
  <c r="O35"/>
  <c r="R35"/>
  <c r="S35"/>
  <c r="V35"/>
  <c r="W35"/>
  <c r="AA35" s="1"/>
  <c r="O38"/>
  <c r="S38" s="1"/>
  <c r="O39"/>
  <c r="S39" s="1"/>
  <c r="W39" s="1"/>
  <c r="AA39" s="1"/>
  <c r="O40"/>
  <c r="S40" s="1"/>
  <c r="M41"/>
  <c r="O41" s="1"/>
  <c r="S41" s="1"/>
  <c r="R41"/>
  <c r="V41"/>
  <c r="O44"/>
  <c r="R44"/>
  <c r="S44" s="1"/>
  <c r="V44"/>
  <c r="R45"/>
  <c r="V45"/>
  <c r="O46"/>
  <c r="R46"/>
  <c r="S46" s="1"/>
  <c r="W46" s="1"/>
  <c r="V46"/>
  <c r="AA46"/>
  <c r="O47"/>
  <c r="S47"/>
  <c r="W47" s="1"/>
  <c r="AA47" s="1"/>
  <c r="W48"/>
  <c r="AA48"/>
  <c r="O49"/>
  <c r="R49"/>
  <c r="S49" s="1"/>
  <c r="V49"/>
  <c r="O50"/>
  <c r="R50"/>
  <c r="S50" s="1"/>
  <c r="V50"/>
  <c r="O51"/>
  <c r="S51"/>
  <c r="V51"/>
  <c r="W51"/>
  <c r="AA51" s="1"/>
  <c r="O52"/>
  <c r="R52"/>
  <c r="S52"/>
  <c r="V52"/>
  <c r="W52"/>
  <c r="AA52" s="1"/>
  <c r="O10"/>
  <c r="S10" s="1"/>
  <c r="W10"/>
  <c r="O170"/>
  <c r="S170" s="1"/>
  <c r="W170"/>
  <c r="O171"/>
  <c r="R171"/>
  <c r="S171"/>
  <c r="V171"/>
  <c r="W171"/>
  <c r="AA171" s="1"/>
  <c r="O173"/>
  <c r="O174"/>
  <c r="S174" s="1"/>
  <c r="O175"/>
  <c r="V175"/>
  <c r="V176" s="1"/>
  <c r="M176"/>
  <c r="O176"/>
  <c r="Q176" s="1"/>
  <c r="R176"/>
  <c r="S176"/>
  <c r="W176" s="1"/>
  <c r="O169"/>
  <c r="O64"/>
  <c r="S64" s="1"/>
  <c r="W64" s="1"/>
  <c r="S65"/>
  <c r="S66"/>
  <c r="W66"/>
  <c r="AA66" s="1"/>
  <c r="S67"/>
  <c r="R68"/>
  <c r="S68"/>
  <c r="W68" s="1"/>
  <c r="AA68"/>
  <c r="S69"/>
  <c r="W69"/>
  <c r="AA69" s="1"/>
  <c r="S70"/>
  <c r="W70" s="1"/>
  <c r="AA70"/>
  <c r="S71"/>
  <c r="W71"/>
  <c r="AA71" s="1"/>
  <c r="R72"/>
  <c r="S72" s="1"/>
  <c r="W72"/>
  <c r="S73"/>
  <c r="W73" s="1"/>
  <c r="AA73"/>
  <c r="AA74"/>
  <c r="S75"/>
  <c r="W75" s="1"/>
  <c r="S76"/>
  <c r="W76"/>
  <c r="AA76" s="1"/>
  <c r="S77"/>
  <c r="W77" s="1"/>
  <c r="S78"/>
  <c r="W78"/>
  <c r="AA78" s="1"/>
  <c r="S79"/>
  <c r="W79" s="1"/>
  <c r="S80"/>
  <c r="W80"/>
  <c r="AA80" s="1"/>
  <c r="S81"/>
  <c r="W81" s="1"/>
  <c r="S82"/>
  <c r="W82"/>
  <c r="AA82" s="1"/>
  <c r="S83"/>
  <c r="W83" s="1"/>
  <c r="S84"/>
  <c r="W84"/>
  <c r="AA84" s="1"/>
  <c r="S85"/>
  <c r="W85" s="1"/>
  <c r="S86"/>
  <c r="W86"/>
  <c r="AA86" s="1"/>
  <c r="W87"/>
  <c r="S88"/>
  <c r="W88" s="1"/>
  <c r="AA88"/>
  <c r="S89"/>
  <c r="W89"/>
  <c r="W90"/>
  <c r="AA90" s="1"/>
  <c r="N95"/>
  <c r="R95"/>
  <c r="R147" s="1"/>
  <c r="V95"/>
  <c r="V147" s="1"/>
  <c r="O97"/>
  <c r="S97"/>
  <c r="W97" s="1"/>
  <c r="AA97"/>
  <c r="S98"/>
  <c r="W98"/>
  <c r="AA98" s="1"/>
  <c r="W99"/>
  <c r="AA99" s="1"/>
  <c r="W100"/>
  <c r="AA100" s="1"/>
  <c r="M101"/>
  <c r="R101"/>
  <c r="V101"/>
  <c r="V148" s="1"/>
  <c r="O103"/>
  <c r="S103"/>
  <c r="W103" s="1"/>
  <c r="S105"/>
  <c r="W105"/>
  <c r="AA105" s="1"/>
  <c r="S106"/>
  <c r="S107"/>
  <c r="W107"/>
  <c r="AA107" s="1"/>
  <c r="W108"/>
  <c r="M110"/>
  <c r="O110" s="1"/>
  <c r="R110"/>
  <c r="R149" s="1"/>
  <c r="V110"/>
  <c r="V149" s="1"/>
  <c r="AA110"/>
  <c r="O112"/>
  <c r="S112" s="1"/>
  <c r="W112"/>
  <c r="AA112" s="1"/>
  <c r="S113"/>
  <c r="W113" s="1"/>
  <c r="AA113"/>
  <c r="S114"/>
  <c r="W114"/>
  <c r="AA114" s="1"/>
  <c r="S115"/>
  <c r="W115" s="1"/>
  <c r="AA115"/>
  <c r="W116"/>
  <c r="AA116"/>
  <c r="AA117"/>
  <c r="AA118"/>
  <c r="AA119"/>
  <c r="M121"/>
  <c r="N121"/>
  <c r="O121"/>
  <c r="R121"/>
  <c r="S121"/>
  <c r="U121" s="1"/>
  <c r="V121"/>
  <c r="W121"/>
  <c r="AA121" s="1"/>
  <c r="S123"/>
  <c r="W123" s="1"/>
  <c r="AA123"/>
  <c r="W124"/>
  <c r="AA124"/>
  <c r="O125"/>
  <c r="R125"/>
  <c r="S125" s="1"/>
  <c r="W125" s="1"/>
  <c r="V125"/>
  <c r="AA125"/>
  <c r="O126"/>
  <c r="S126"/>
  <c r="N127"/>
  <c r="V127"/>
  <c r="O131"/>
  <c r="S131" s="1"/>
  <c r="W131"/>
  <c r="AA131" s="1"/>
  <c r="S132"/>
  <c r="W132" s="1"/>
  <c r="AA132"/>
  <c r="M134"/>
  <c r="O134"/>
  <c r="Q134" s="1"/>
  <c r="R134"/>
  <c r="S134"/>
  <c r="V134"/>
  <c r="W134"/>
  <c r="AA134" s="1"/>
  <c r="M135"/>
  <c r="O135" s="1"/>
  <c r="R135"/>
  <c r="V135"/>
  <c r="S139"/>
  <c r="W139"/>
  <c r="AA139" s="1"/>
  <c r="O140"/>
  <c r="R140"/>
  <c r="S140"/>
  <c r="V140"/>
  <c r="W140"/>
  <c r="AA140" s="1"/>
  <c r="O141"/>
  <c r="R141"/>
  <c r="S141"/>
  <c r="V141"/>
  <c r="W141"/>
  <c r="AA141" s="1"/>
  <c r="S144"/>
  <c r="W144" s="1"/>
  <c r="AA144"/>
  <c r="R145"/>
  <c r="S145"/>
  <c r="V145"/>
  <c r="W145"/>
  <c r="AA145" s="1"/>
  <c r="R146"/>
  <c r="S146" s="1"/>
  <c r="V146"/>
  <c r="O148"/>
  <c r="O149"/>
  <c r="AA149"/>
  <c r="O150"/>
  <c r="R150"/>
  <c r="S150" s="1"/>
  <c r="W150" s="1"/>
  <c r="V150"/>
  <c r="AA150"/>
  <c r="O151"/>
  <c r="R151"/>
  <c r="S151" s="1"/>
  <c r="W151" s="1"/>
  <c r="V151"/>
  <c r="AA151"/>
  <c r="O152"/>
  <c r="R152"/>
  <c r="S152" s="1"/>
  <c r="W152" s="1"/>
  <c r="V152"/>
  <c r="AA152"/>
  <c r="M153"/>
  <c r="V153"/>
  <c r="O63"/>
  <c r="S63" s="1"/>
  <c r="W63"/>
  <c r="AA63" s="1"/>
  <c r="Z160" i="1"/>
  <c r="Z161" s="1"/>
  <c r="AA20"/>
  <c r="AA50"/>
  <c r="AA95"/>
  <c r="AA106"/>
  <c r="Z114"/>
  <c r="Z110"/>
  <c r="Z115" s="1"/>
  <c r="Z106"/>
  <c r="AH19" i="24"/>
  <c r="AH32"/>
  <c r="AG37"/>
  <c r="AF37"/>
  <c r="AE37"/>
  <c r="AB25"/>
  <c r="B25" i="37"/>
  <c r="B16"/>
  <c r="B26" s="1"/>
  <c r="AA37" i="24"/>
  <c r="Z37"/>
  <c r="Y37"/>
  <c r="X37"/>
  <c r="W15" i="33"/>
  <c r="W21"/>
  <c r="W25"/>
  <c r="W57"/>
  <c r="V15"/>
  <c r="V21"/>
  <c r="V25"/>
  <c r="V57"/>
  <c r="W40"/>
  <c r="W48"/>
  <c r="W49"/>
  <c r="W62"/>
  <c r="W65"/>
  <c r="V40"/>
  <c r="V48"/>
  <c r="V49" s="1"/>
  <c r="V62"/>
  <c r="W55"/>
  <c r="V55"/>
  <c r="X14"/>
  <c r="Y15"/>
  <c r="X15"/>
  <c r="X16"/>
  <c r="X17"/>
  <c r="X19"/>
  <c r="X20"/>
  <c r="Y21"/>
  <c r="X21"/>
  <c r="X23"/>
  <c r="X24"/>
  <c r="Y25"/>
  <c r="X25"/>
  <c r="X26"/>
  <c r="Y27"/>
  <c r="X31"/>
  <c r="X32"/>
  <c r="X33"/>
  <c r="X34"/>
  <c r="X35"/>
  <c r="X36"/>
  <c r="X37"/>
  <c r="X38"/>
  <c r="X39"/>
  <c r="Y40"/>
  <c r="X40"/>
  <c r="X42"/>
  <c r="X43"/>
  <c r="X44"/>
  <c r="X45"/>
  <c r="X46"/>
  <c r="X47"/>
  <c r="Y48"/>
  <c r="X48"/>
  <c r="Y49"/>
  <c r="X49"/>
  <c r="X53"/>
  <c r="X54"/>
  <c r="Y55"/>
  <c r="X55"/>
  <c r="X56"/>
  <c r="Y57"/>
  <c r="X57" s="1"/>
  <c r="X60"/>
  <c r="X61"/>
  <c r="Y62"/>
  <c r="Y64"/>
  <c r="Y65"/>
  <c r="Q38" i="22"/>
  <c r="R40"/>
  <c r="R44"/>
  <c r="Q60"/>
  <c r="Q55"/>
  <c r="Q53"/>
  <c r="Q46"/>
  <c r="Q23"/>
  <c r="Q19"/>
  <c r="Q13"/>
  <c r="AD19" i="21"/>
  <c r="AD38"/>
  <c r="AD31"/>
  <c r="M32"/>
  <c r="M19"/>
  <c r="M38"/>
  <c r="M31"/>
  <c r="N11" i="6"/>
  <c r="M23"/>
  <c r="M27"/>
  <c r="M28"/>
  <c r="M17"/>
  <c r="M14"/>
  <c r="N10" i="5"/>
  <c r="N34"/>
  <c r="N91"/>
  <c r="N93"/>
  <c r="M108"/>
  <c r="M101"/>
  <c r="M95"/>
  <c r="N95" s="1"/>
  <c r="M77"/>
  <c r="M51"/>
  <c r="M10"/>
  <c r="N9" i="4"/>
  <c r="N15"/>
  <c r="M24"/>
  <c r="M22"/>
  <c r="M16"/>
  <c r="M9"/>
  <c r="N9" i="3"/>
  <c r="M11"/>
  <c r="N11" s="1"/>
  <c r="N12"/>
  <c r="N15"/>
  <c r="N16"/>
  <c r="M18"/>
  <c r="N18" s="1"/>
  <c r="N23"/>
  <c r="N25"/>
  <c r="N27"/>
  <c r="N29"/>
  <c r="N31"/>
  <c r="N33"/>
  <c r="N34"/>
  <c r="M38"/>
  <c r="N40"/>
  <c r="N43"/>
  <c r="N45"/>
  <c r="N47"/>
  <c r="N49"/>
  <c r="N51"/>
  <c r="N52"/>
  <c r="M54"/>
  <c r="N54" s="1"/>
  <c r="N55"/>
  <c r="N57"/>
  <c r="M58"/>
  <c r="N58"/>
  <c r="N60"/>
  <c r="M62"/>
  <c r="M64"/>
  <c r="N64"/>
  <c r="N67"/>
  <c r="M68"/>
  <c r="M69"/>
  <c r="X171" i="2"/>
  <c r="Y171" s="1"/>
  <c r="X175"/>
  <c r="Y66"/>
  <c r="Y68"/>
  <c r="Y69"/>
  <c r="Y70"/>
  <c r="Y71"/>
  <c r="Y73"/>
  <c r="Y76"/>
  <c r="Y78"/>
  <c r="Y80"/>
  <c r="Y82"/>
  <c r="Y84"/>
  <c r="Y86"/>
  <c r="Y88"/>
  <c r="Y90"/>
  <c r="X95"/>
  <c r="Y97"/>
  <c r="Y98"/>
  <c r="Y99"/>
  <c r="Y100"/>
  <c r="X101"/>
  <c r="S104"/>
  <c r="U104" s="1"/>
  <c r="Y104"/>
  <c r="Y105"/>
  <c r="Y107"/>
  <c r="X110"/>
  <c r="Y110" s="1"/>
  <c r="Y112"/>
  <c r="Y113"/>
  <c r="Y114"/>
  <c r="Y115"/>
  <c r="Y116"/>
  <c r="X121"/>
  <c r="Y121"/>
  <c r="Y123"/>
  <c r="Y124"/>
  <c r="X125"/>
  <c r="Y125"/>
  <c r="X127"/>
  <c r="Y131"/>
  <c r="Y132"/>
  <c r="X134"/>
  <c r="Y134" s="1"/>
  <c r="Y139"/>
  <c r="X140"/>
  <c r="Y140"/>
  <c r="X141"/>
  <c r="Y141"/>
  <c r="Y144"/>
  <c r="X145"/>
  <c r="Y145" s="1"/>
  <c r="X147"/>
  <c r="X148"/>
  <c r="X149"/>
  <c r="Y149" s="1"/>
  <c r="X150"/>
  <c r="X151"/>
  <c r="Y151" s="1"/>
  <c r="X152"/>
  <c r="X153"/>
  <c r="Y153" s="1"/>
  <c r="Y63"/>
  <c r="Y11"/>
  <c r="Y15"/>
  <c r="Y17"/>
  <c r="X19"/>
  <c r="Y22"/>
  <c r="Y23"/>
  <c r="Y27"/>
  <c r="X28"/>
  <c r="Y28"/>
  <c r="X35"/>
  <c r="Y35"/>
  <c r="X41"/>
  <c r="X44"/>
  <c r="X45"/>
  <c r="X46"/>
  <c r="X48"/>
  <c r="Y48" s="1"/>
  <c r="X49"/>
  <c r="X50"/>
  <c r="X51"/>
  <c r="Y51" s="1"/>
  <c r="X52"/>
  <c r="Y52" s="1"/>
  <c r="X47"/>
  <c r="Y28" i="1"/>
  <c r="Y44"/>
  <c r="X124"/>
  <c r="X130"/>
  <c r="X133"/>
  <c r="X132"/>
  <c r="X129"/>
  <c r="X125"/>
  <c r="X128"/>
  <c r="X161"/>
  <c r="X160"/>
  <c r="Y160" s="1"/>
  <c r="X156"/>
  <c r="X152"/>
  <c r="Y152" s="1"/>
  <c r="X147"/>
  <c r="X144"/>
  <c r="X114"/>
  <c r="X110"/>
  <c r="X106"/>
  <c r="X115" s="1"/>
  <c r="X101"/>
  <c r="X97"/>
  <c r="X93"/>
  <c r="X88"/>
  <c r="X84"/>
  <c r="X80"/>
  <c r="X89" s="1"/>
  <c r="X74"/>
  <c r="X70"/>
  <c r="X66"/>
  <c r="X62"/>
  <c r="X56"/>
  <c r="X51"/>
  <c r="M51"/>
  <c r="X39"/>
  <c r="X57" s="1"/>
  <c r="X29"/>
  <c r="X23"/>
  <c r="Y23" s="1"/>
  <c r="X20"/>
  <c r="X13"/>
  <c r="Q14" i="33"/>
  <c r="I14"/>
  <c r="U14" s="1"/>
  <c r="Q15"/>
  <c r="I13"/>
  <c r="I15"/>
  <c r="U15" s="1"/>
  <c r="Q16"/>
  <c r="I16"/>
  <c r="U16"/>
  <c r="Q17"/>
  <c r="I17"/>
  <c r="U17" s="1"/>
  <c r="Q19"/>
  <c r="I19"/>
  <c r="U19"/>
  <c r="Q20"/>
  <c r="I20"/>
  <c r="U20" s="1"/>
  <c r="Q21"/>
  <c r="I21"/>
  <c r="U21"/>
  <c r="Q23"/>
  <c r="Q24"/>
  <c r="I24"/>
  <c r="U24"/>
  <c r="Q25"/>
  <c r="Q26"/>
  <c r="I26"/>
  <c r="U26"/>
  <c r="Q27"/>
  <c r="Q31"/>
  <c r="I31"/>
  <c r="U31"/>
  <c r="Q32"/>
  <c r="I32"/>
  <c r="U32" s="1"/>
  <c r="Q33"/>
  <c r="I33"/>
  <c r="U33"/>
  <c r="Q34"/>
  <c r="I34"/>
  <c r="U34" s="1"/>
  <c r="Q35"/>
  <c r="I35"/>
  <c r="U35"/>
  <c r="Q36"/>
  <c r="I36"/>
  <c r="U36" s="1"/>
  <c r="Q37"/>
  <c r="I37"/>
  <c r="U37"/>
  <c r="Q38"/>
  <c r="I38"/>
  <c r="U38" s="1"/>
  <c r="Q39"/>
  <c r="I39"/>
  <c r="U39"/>
  <c r="Q40"/>
  <c r="Q42"/>
  <c r="I42"/>
  <c r="U42"/>
  <c r="Q43"/>
  <c r="I43"/>
  <c r="U43" s="1"/>
  <c r="Q44"/>
  <c r="I44"/>
  <c r="U44"/>
  <c r="Q45"/>
  <c r="I45"/>
  <c r="U45" s="1"/>
  <c r="Q46"/>
  <c r="I46"/>
  <c r="U46"/>
  <c r="Q47"/>
  <c r="I47"/>
  <c r="U47" s="1"/>
  <c r="Q48"/>
  <c r="I48"/>
  <c r="U48"/>
  <c r="Q49"/>
  <c r="Q53"/>
  <c r="I53"/>
  <c r="U53"/>
  <c r="Q54"/>
  <c r="I54"/>
  <c r="U54" s="1"/>
  <c r="Q55"/>
  <c r="I55"/>
  <c r="U55" s="1"/>
  <c r="Q56"/>
  <c r="I56"/>
  <c r="U56" s="1"/>
  <c r="Q60"/>
  <c r="I60"/>
  <c r="U60" s="1"/>
  <c r="Q61"/>
  <c r="Q62"/>
  <c r="Q65"/>
  <c r="Q13"/>
  <c r="U13" s="1"/>
  <c r="R37" i="24"/>
  <c r="O19" i="22"/>
  <c r="O53"/>
  <c r="O55" s="1"/>
  <c r="O60"/>
  <c r="O46"/>
  <c r="O38"/>
  <c r="O47" s="1"/>
  <c r="O63" s="1"/>
  <c r="O23"/>
  <c r="O13"/>
  <c r="AC10" i="21"/>
  <c r="AE10" s="1"/>
  <c r="AC14"/>
  <c r="AC26"/>
  <c r="AE26" s="1"/>
  <c r="AB38"/>
  <c r="AB31"/>
  <c r="AB19"/>
  <c r="AB32" s="1"/>
  <c r="AB39" s="1"/>
  <c r="L14"/>
  <c r="K19"/>
  <c r="K32"/>
  <c r="K38"/>
  <c r="K31"/>
  <c r="O48" i="2"/>
  <c r="R48"/>
  <c r="M53"/>
  <c r="N53"/>
  <c r="O53"/>
  <c r="Q53" s="1"/>
  <c r="M125"/>
  <c r="K101" i="5"/>
  <c r="K108"/>
  <c r="B101"/>
  <c r="B102"/>
  <c r="B108" s="1"/>
  <c r="D108"/>
  <c r="G101"/>
  <c r="G108"/>
  <c r="D9"/>
  <c r="H9"/>
  <c r="L9" s="1"/>
  <c r="B10"/>
  <c r="D10" s="1"/>
  <c r="G10"/>
  <c r="K10"/>
  <c r="K51" s="1"/>
  <c r="K109" s="1"/>
  <c r="D11"/>
  <c r="H11"/>
  <c r="L11" s="1"/>
  <c r="D12"/>
  <c r="D13"/>
  <c r="H13"/>
  <c r="L13" s="1"/>
  <c r="H14"/>
  <c r="H15"/>
  <c r="L15" s="1"/>
  <c r="H17"/>
  <c r="H18"/>
  <c r="L18" s="1"/>
  <c r="H19"/>
  <c r="H20"/>
  <c r="L20" s="1"/>
  <c r="L21"/>
  <c r="N21" s="1"/>
  <c r="L22"/>
  <c r="D24"/>
  <c r="D25"/>
  <c r="H25"/>
  <c r="L25" s="1"/>
  <c r="D26"/>
  <c r="D27"/>
  <c r="H27"/>
  <c r="L27" s="1"/>
  <c r="D28"/>
  <c r="D29"/>
  <c r="H29"/>
  <c r="L29" s="1"/>
  <c r="D30"/>
  <c r="D31"/>
  <c r="H31"/>
  <c r="L31" s="1"/>
  <c r="D32"/>
  <c r="D33"/>
  <c r="H33"/>
  <c r="L33" s="1"/>
  <c r="H34"/>
  <c r="L34" s="1"/>
  <c r="H35"/>
  <c r="H36"/>
  <c r="L36" s="1"/>
  <c r="P36" s="1"/>
  <c r="L37"/>
  <c r="P37" s="1"/>
  <c r="H38"/>
  <c r="L38"/>
  <c r="N38" s="1"/>
  <c r="H39"/>
  <c r="L39"/>
  <c r="P39" s="1"/>
  <c r="H40"/>
  <c r="L40"/>
  <c r="H41"/>
  <c r="L41"/>
  <c r="P41" s="1"/>
  <c r="H42"/>
  <c r="L42"/>
  <c r="N42" s="1"/>
  <c r="H43"/>
  <c r="L43"/>
  <c r="P43" s="1"/>
  <c r="H44"/>
  <c r="L44"/>
  <c r="H45"/>
  <c r="L45"/>
  <c r="P45" s="1"/>
  <c r="H46"/>
  <c r="L46"/>
  <c r="N46" s="1"/>
  <c r="H47"/>
  <c r="L47"/>
  <c r="P47" s="1"/>
  <c r="H48"/>
  <c r="L48"/>
  <c r="H50"/>
  <c r="L50"/>
  <c r="P50" s="1"/>
  <c r="D52"/>
  <c r="H52"/>
  <c r="L52" s="1"/>
  <c r="P52" s="1"/>
  <c r="D53"/>
  <c r="D54"/>
  <c r="H54"/>
  <c r="L54" s="1"/>
  <c r="P54" s="1"/>
  <c r="D55"/>
  <c r="D56"/>
  <c r="H56"/>
  <c r="L56" s="1"/>
  <c r="P56" s="1"/>
  <c r="D57"/>
  <c r="D58"/>
  <c r="H58"/>
  <c r="L58" s="1"/>
  <c r="P58" s="1"/>
  <c r="D59"/>
  <c r="D60"/>
  <c r="H60"/>
  <c r="L60" s="1"/>
  <c r="P60" s="1"/>
  <c r="D61"/>
  <c r="D62"/>
  <c r="H62"/>
  <c r="L62" s="1"/>
  <c r="P62" s="1"/>
  <c r="D63"/>
  <c r="D64"/>
  <c r="H64"/>
  <c r="L64" s="1"/>
  <c r="P64" s="1"/>
  <c r="D65"/>
  <c r="H66"/>
  <c r="L66"/>
  <c r="P66" s="1"/>
  <c r="H67"/>
  <c r="L67"/>
  <c r="N67" s="1"/>
  <c r="H68"/>
  <c r="L68"/>
  <c r="P68" s="1"/>
  <c r="L69"/>
  <c r="P69" s="1"/>
  <c r="L70"/>
  <c r="P70" s="1"/>
  <c r="L71"/>
  <c r="N71" s="1"/>
  <c r="L72"/>
  <c r="P72" s="1"/>
  <c r="L73"/>
  <c r="P73" s="1"/>
  <c r="L74"/>
  <c r="P74" s="1"/>
  <c r="K77"/>
  <c r="G77"/>
  <c r="G109" s="1"/>
  <c r="D78"/>
  <c r="H78"/>
  <c r="L78" s="1"/>
  <c r="P78" s="1"/>
  <c r="D79"/>
  <c r="H79" s="1"/>
  <c r="J79" s="1"/>
  <c r="L79"/>
  <c r="D80"/>
  <c r="H80"/>
  <c r="L80" s="1"/>
  <c r="P80" s="1"/>
  <c r="D81"/>
  <c r="H81" s="1"/>
  <c r="J81" s="1"/>
  <c r="L81"/>
  <c r="D82"/>
  <c r="H82"/>
  <c r="L82" s="1"/>
  <c r="P82" s="1"/>
  <c r="D83"/>
  <c r="H83" s="1"/>
  <c r="J83" s="1"/>
  <c r="L83"/>
  <c r="D84"/>
  <c r="H84"/>
  <c r="L84" s="1"/>
  <c r="P84" s="1"/>
  <c r="D85"/>
  <c r="H85" s="1"/>
  <c r="J85" s="1"/>
  <c r="L85"/>
  <c r="D87"/>
  <c r="H87"/>
  <c r="L87" s="1"/>
  <c r="P87" s="1"/>
  <c r="D88"/>
  <c r="H88" s="1"/>
  <c r="J88" s="1"/>
  <c r="L88"/>
  <c r="D89"/>
  <c r="H89"/>
  <c r="L89" s="1"/>
  <c r="P89" s="1"/>
  <c r="L90"/>
  <c r="N90" s="1"/>
  <c r="L91"/>
  <c r="P91" s="1"/>
  <c r="L92"/>
  <c r="L93"/>
  <c r="P93" s="1"/>
  <c r="L94"/>
  <c r="N94" s="1"/>
  <c r="B95"/>
  <c r="D95"/>
  <c r="G95"/>
  <c r="H95"/>
  <c r="K95"/>
  <c r="L95"/>
  <c r="P95" s="1"/>
  <c r="D96"/>
  <c r="H96"/>
  <c r="D98"/>
  <c r="H98" s="1"/>
  <c r="L98" s="1"/>
  <c r="D99"/>
  <c r="H99"/>
  <c r="D100"/>
  <c r="H100" s="1"/>
  <c r="L100" s="1"/>
  <c r="D101"/>
  <c r="H101"/>
  <c r="L101" s="1"/>
  <c r="D102"/>
  <c r="H102" s="1"/>
  <c r="J102" s="1"/>
  <c r="D103"/>
  <c r="H103"/>
  <c r="L103" s="1"/>
  <c r="N103" s="1"/>
  <c r="D104"/>
  <c r="H104" s="1"/>
  <c r="J104" s="1"/>
  <c r="D105"/>
  <c r="H105"/>
  <c r="L105" s="1"/>
  <c r="D106"/>
  <c r="H106" s="1"/>
  <c r="J106" s="1"/>
  <c r="H107"/>
  <c r="L107"/>
  <c r="N107" s="1"/>
  <c r="C109"/>
  <c r="D8"/>
  <c r="H8"/>
  <c r="L8" s="1"/>
  <c r="P8" s="1"/>
  <c r="D9" i="6"/>
  <c r="H9" s="1"/>
  <c r="J9" s="1"/>
  <c r="L10"/>
  <c r="N10" s="1"/>
  <c r="L11"/>
  <c r="P11" s="1"/>
  <c r="L12"/>
  <c r="N12" s="1"/>
  <c r="L13"/>
  <c r="B14"/>
  <c r="D14"/>
  <c r="F14" s="1"/>
  <c r="G14"/>
  <c r="H14"/>
  <c r="K14"/>
  <c r="L14"/>
  <c r="P14" s="1"/>
  <c r="D15"/>
  <c r="H15"/>
  <c r="H16"/>
  <c r="L16" s="1"/>
  <c r="N16" s="1"/>
  <c r="D17"/>
  <c r="G17"/>
  <c r="H17"/>
  <c r="K17"/>
  <c r="L17"/>
  <c r="D19"/>
  <c r="H19"/>
  <c r="L19" s="1"/>
  <c r="D20"/>
  <c r="H20" s="1"/>
  <c r="J20" s="1"/>
  <c r="D21"/>
  <c r="H21"/>
  <c r="L21" s="1"/>
  <c r="N21" s="1"/>
  <c r="D22"/>
  <c r="H22" s="1"/>
  <c r="J22" s="1"/>
  <c r="B23"/>
  <c r="D23"/>
  <c r="G23"/>
  <c r="H23"/>
  <c r="K23"/>
  <c r="L23"/>
  <c r="D24"/>
  <c r="H24"/>
  <c r="D25"/>
  <c r="B26"/>
  <c r="D26"/>
  <c r="H26" s="1"/>
  <c r="K26"/>
  <c r="K27" s="1"/>
  <c r="K28" s="1"/>
  <c r="B27"/>
  <c r="D27" s="1"/>
  <c r="G27"/>
  <c r="G28" s="1"/>
  <c r="B28"/>
  <c r="C28"/>
  <c r="D28"/>
  <c r="H28" s="1"/>
  <c r="L28" s="1"/>
  <c r="D8"/>
  <c r="H8"/>
  <c r="L8" s="1"/>
  <c r="N8" s="1"/>
  <c r="V56" i="1"/>
  <c r="V51"/>
  <c r="V39"/>
  <c r="V57" s="1"/>
  <c r="V121"/>
  <c r="V124"/>
  <c r="W13"/>
  <c r="AA13" s="1"/>
  <c r="W19"/>
  <c r="AA19" s="1"/>
  <c r="W53"/>
  <c r="AA53" s="1"/>
  <c r="W54"/>
  <c r="AA54" s="1"/>
  <c r="W55"/>
  <c r="Y55" s="1"/>
  <c r="V66"/>
  <c r="W69"/>
  <c r="AA69" s="1"/>
  <c r="W82"/>
  <c r="W87"/>
  <c r="AA87" s="1"/>
  <c r="W99"/>
  <c r="AA99" s="1"/>
  <c r="W141"/>
  <c r="AA141" s="1"/>
  <c r="W146"/>
  <c r="AA146" s="1"/>
  <c r="W152"/>
  <c r="AA152" s="1"/>
  <c r="W160"/>
  <c r="AA160" s="1"/>
  <c r="V160"/>
  <c r="V156"/>
  <c r="V152"/>
  <c r="V133"/>
  <c r="V132"/>
  <c r="V134" s="1"/>
  <c r="V129"/>
  <c r="V128"/>
  <c r="V125"/>
  <c r="V126" s="1"/>
  <c r="V62"/>
  <c r="V122"/>
  <c r="V20"/>
  <c r="V29"/>
  <c r="V118"/>
  <c r="V110"/>
  <c r="V114"/>
  <c r="V106"/>
  <c r="V101"/>
  <c r="V97"/>
  <c r="V93"/>
  <c r="V102" s="1"/>
  <c r="V84"/>
  <c r="V88"/>
  <c r="V80"/>
  <c r="V89" s="1"/>
  <c r="B9" i="4"/>
  <c r="D9"/>
  <c r="F9" s="1"/>
  <c r="G9"/>
  <c r="H9"/>
  <c r="D10"/>
  <c r="H10"/>
  <c r="D11"/>
  <c r="H11" s="1"/>
  <c r="L11"/>
  <c r="P11" s="1"/>
  <c r="D12"/>
  <c r="H12"/>
  <c r="L13"/>
  <c r="L14"/>
  <c r="P14" s="1"/>
  <c r="H15"/>
  <c r="L15" s="1"/>
  <c r="P15" s="1"/>
  <c r="B16"/>
  <c r="D16" s="1"/>
  <c r="H16" s="1"/>
  <c r="G16"/>
  <c r="K16"/>
  <c r="D17"/>
  <c r="L18"/>
  <c r="P18" s="1"/>
  <c r="B22"/>
  <c r="D22" s="1"/>
  <c r="H22" s="1"/>
  <c r="G22"/>
  <c r="K22"/>
  <c r="H24"/>
  <c r="K24"/>
  <c r="D8"/>
  <c r="H8" s="1"/>
  <c r="L8"/>
  <c r="P8" s="1"/>
  <c r="V74" i="1"/>
  <c r="V144"/>
  <c r="V148" s="1"/>
  <c r="V162" s="1"/>
  <c r="V147"/>
  <c r="V161" s="1"/>
  <c r="V70"/>
  <c r="V23"/>
  <c r="V13"/>
  <c r="W9" i="24"/>
  <c r="W19"/>
  <c r="AB19" s="1"/>
  <c r="W25"/>
  <c r="W32"/>
  <c r="AB32" s="1"/>
  <c r="W37"/>
  <c r="V37"/>
  <c r="U37"/>
  <c r="T37"/>
  <c r="K40" i="33"/>
  <c r="K48"/>
  <c r="K49"/>
  <c r="K62"/>
  <c r="K65"/>
  <c r="L40"/>
  <c r="L48"/>
  <c r="L49" s="1"/>
  <c r="L62"/>
  <c r="M31"/>
  <c r="M32"/>
  <c r="M33"/>
  <c r="M34"/>
  <c r="M35"/>
  <c r="M36"/>
  <c r="M37"/>
  <c r="M38"/>
  <c r="M39"/>
  <c r="J48"/>
  <c r="M48" s="1"/>
  <c r="M60"/>
  <c r="M61"/>
  <c r="M62" s="1"/>
  <c r="J40"/>
  <c r="J49"/>
  <c r="J62"/>
  <c r="J65"/>
  <c r="K15"/>
  <c r="K21"/>
  <c r="M21" s="1"/>
  <c r="M27" s="1"/>
  <c r="M64" s="1"/>
  <c r="K25"/>
  <c r="K27"/>
  <c r="K55"/>
  <c r="K57"/>
  <c r="L15"/>
  <c r="L21"/>
  <c r="L25"/>
  <c r="L55"/>
  <c r="L57" s="1"/>
  <c r="J15"/>
  <c r="M15"/>
  <c r="M16"/>
  <c r="M17"/>
  <c r="J21"/>
  <c r="J25"/>
  <c r="M25"/>
  <c r="M26"/>
  <c r="M55"/>
  <c r="M56"/>
  <c r="M57" s="1"/>
  <c r="J55"/>
  <c r="J57"/>
  <c r="J64" s="1"/>
  <c r="M43"/>
  <c r="M44"/>
  <c r="M45"/>
  <c r="M46"/>
  <c r="M47"/>
  <c r="M42"/>
  <c r="M24"/>
  <c r="M23"/>
  <c r="M20"/>
  <c r="M19"/>
  <c r="M14"/>
  <c r="M13"/>
  <c r="P37" i="24"/>
  <c r="O37"/>
  <c r="N37"/>
  <c r="M37"/>
  <c r="N33" i="22"/>
  <c r="N35"/>
  <c r="N37"/>
  <c r="N40"/>
  <c r="N44"/>
  <c r="M38"/>
  <c r="M46"/>
  <c r="M60"/>
  <c r="M55"/>
  <c r="M53"/>
  <c r="M23"/>
  <c r="M19"/>
  <c r="M13"/>
  <c r="AA10" i="21"/>
  <c r="AA14"/>
  <c r="AA26"/>
  <c r="Z38"/>
  <c r="Z31"/>
  <c r="Z19"/>
  <c r="T110" i="2"/>
  <c r="I38" i="21"/>
  <c r="I19"/>
  <c r="I31"/>
  <c r="U170" i="2"/>
  <c r="T171"/>
  <c r="U171" s="1"/>
  <c r="T175"/>
  <c r="U132"/>
  <c r="T134"/>
  <c r="U134" s="1"/>
  <c r="U139"/>
  <c r="T140"/>
  <c r="U140"/>
  <c r="T141"/>
  <c r="U141"/>
  <c r="U144"/>
  <c r="T145"/>
  <c r="U145" s="1"/>
  <c r="T95"/>
  <c r="T147" s="1"/>
  <c r="T101"/>
  <c r="T148"/>
  <c r="T149"/>
  <c r="T121"/>
  <c r="T150" s="1"/>
  <c r="U150"/>
  <c r="T125"/>
  <c r="T151"/>
  <c r="U151" s="1"/>
  <c r="T152"/>
  <c r="T127"/>
  <c r="U131"/>
  <c r="U66"/>
  <c r="U68"/>
  <c r="U69"/>
  <c r="U70"/>
  <c r="U71"/>
  <c r="U72"/>
  <c r="U73"/>
  <c r="U75"/>
  <c r="U76"/>
  <c r="U78"/>
  <c r="U79"/>
  <c r="U80"/>
  <c r="U82"/>
  <c r="U83"/>
  <c r="U84"/>
  <c r="U86"/>
  <c r="U88"/>
  <c r="U89"/>
  <c r="U97"/>
  <c r="U98"/>
  <c r="U103"/>
  <c r="U105"/>
  <c r="U107"/>
  <c r="U112"/>
  <c r="U113"/>
  <c r="U114"/>
  <c r="U115"/>
  <c r="U123"/>
  <c r="U63"/>
  <c r="T48"/>
  <c r="U48" s="1"/>
  <c r="T49"/>
  <c r="U49" s="1"/>
  <c r="T50"/>
  <c r="U50" s="1"/>
  <c r="T51"/>
  <c r="U51" s="1"/>
  <c r="T52"/>
  <c r="U52" s="1"/>
  <c r="T19"/>
  <c r="T28"/>
  <c r="T35"/>
  <c r="T41"/>
  <c r="T53"/>
  <c r="U11"/>
  <c r="U15"/>
  <c r="U16"/>
  <c r="U17"/>
  <c r="U22"/>
  <c r="U23"/>
  <c r="U24"/>
  <c r="U26"/>
  <c r="U27"/>
  <c r="U28"/>
  <c r="U31"/>
  <c r="U33"/>
  <c r="U35"/>
  <c r="U41"/>
  <c r="T44"/>
  <c r="U44"/>
  <c r="T45"/>
  <c r="T46"/>
  <c r="U46"/>
  <c r="U10"/>
  <c r="J9" i="5"/>
  <c r="J13"/>
  <c r="J18"/>
  <c r="J25"/>
  <c r="J29"/>
  <c r="J33"/>
  <c r="I34"/>
  <c r="J34"/>
  <c r="J36"/>
  <c r="J38"/>
  <c r="J39"/>
  <c r="J40"/>
  <c r="J41"/>
  <c r="J42"/>
  <c r="J43"/>
  <c r="J44"/>
  <c r="J45"/>
  <c r="J46"/>
  <c r="J47"/>
  <c r="J48"/>
  <c r="J50"/>
  <c r="J52"/>
  <c r="J56"/>
  <c r="J60"/>
  <c r="J64"/>
  <c r="I65"/>
  <c r="J66"/>
  <c r="J67"/>
  <c r="J68"/>
  <c r="I77"/>
  <c r="J80"/>
  <c r="J84"/>
  <c r="J89"/>
  <c r="J90"/>
  <c r="J91"/>
  <c r="J92"/>
  <c r="J93"/>
  <c r="I95"/>
  <c r="J95"/>
  <c r="J100"/>
  <c r="I101"/>
  <c r="J101"/>
  <c r="J103"/>
  <c r="J105"/>
  <c r="J107"/>
  <c r="I109"/>
  <c r="J8"/>
  <c r="I23" i="6"/>
  <c r="I26"/>
  <c r="I14"/>
  <c r="I17"/>
  <c r="J14"/>
  <c r="J19"/>
  <c r="J21"/>
  <c r="J23"/>
  <c r="J8"/>
  <c r="I9" i="4"/>
  <c r="J9"/>
  <c r="J11"/>
  <c r="I16"/>
  <c r="J16" s="1"/>
  <c r="I22"/>
  <c r="I24"/>
  <c r="J8"/>
  <c r="I18" i="3"/>
  <c r="I38"/>
  <c r="I54"/>
  <c r="I58"/>
  <c r="J58" s="1"/>
  <c r="I62"/>
  <c r="I64"/>
  <c r="I68"/>
  <c r="I69"/>
  <c r="J9"/>
  <c r="J10"/>
  <c r="J11"/>
  <c r="J12"/>
  <c r="J15"/>
  <c r="J17"/>
  <c r="J18"/>
  <c r="J23"/>
  <c r="J25"/>
  <c r="J27"/>
  <c r="J29"/>
  <c r="J31"/>
  <c r="J33"/>
  <c r="J40"/>
  <c r="J41"/>
  <c r="J43"/>
  <c r="J45"/>
  <c r="J47"/>
  <c r="J49"/>
  <c r="J50"/>
  <c r="J51"/>
  <c r="J54"/>
  <c r="J55"/>
  <c r="J56"/>
  <c r="J57"/>
  <c r="J60"/>
  <c r="J64"/>
  <c r="J65"/>
  <c r="J66"/>
  <c r="T152" i="1"/>
  <c r="U152" s="1"/>
  <c r="T160"/>
  <c r="T156"/>
  <c r="T147"/>
  <c r="T144"/>
  <c r="T148" s="1"/>
  <c r="T133"/>
  <c r="T132"/>
  <c r="T129"/>
  <c r="T128"/>
  <c r="T125"/>
  <c r="T124"/>
  <c r="T118"/>
  <c r="T110"/>
  <c r="T106"/>
  <c r="T115" s="1"/>
  <c r="T101"/>
  <c r="T97"/>
  <c r="T93"/>
  <c r="T102" s="1"/>
  <c r="T88"/>
  <c r="T84"/>
  <c r="T80"/>
  <c r="T20"/>
  <c r="M20"/>
  <c r="T23"/>
  <c r="T74"/>
  <c r="U74" s="1"/>
  <c r="T56"/>
  <c r="T70"/>
  <c r="T66"/>
  <c r="T62"/>
  <c r="T122" s="1"/>
  <c r="U56"/>
  <c r="S56"/>
  <c r="W56" s="1"/>
  <c r="AA56" s="1"/>
  <c r="M56"/>
  <c r="T39"/>
  <c r="T57" s="1"/>
  <c r="T121" s="1"/>
  <c r="T51"/>
  <c r="T13"/>
  <c r="M13"/>
  <c r="N13"/>
  <c r="O13"/>
  <c r="R13"/>
  <c r="S13"/>
  <c r="U13" s="1"/>
  <c r="O16"/>
  <c r="O17"/>
  <c r="S17"/>
  <c r="U17" s="1"/>
  <c r="O18"/>
  <c r="N20"/>
  <c r="O20"/>
  <c r="S20" s="1"/>
  <c r="W20" s="1"/>
  <c r="Y20" s="1"/>
  <c r="U20"/>
  <c r="O22"/>
  <c r="S22"/>
  <c r="U22" s="1"/>
  <c r="M23"/>
  <c r="N23"/>
  <c r="O23"/>
  <c r="S23" s="1"/>
  <c r="W23" s="1"/>
  <c r="AA23" s="1"/>
  <c r="U23"/>
  <c r="O25"/>
  <c r="S25"/>
  <c r="U25" s="1"/>
  <c r="O26"/>
  <c r="S26" s="1"/>
  <c r="W26" s="1"/>
  <c r="AA26" s="1"/>
  <c r="U26"/>
  <c r="O27"/>
  <c r="S27"/>
  <c r="U27" s="1"/>
  <c r="O28"/>
  <c r="S28" s="1"/>
  <c r="W28" s="1"/>
  <c r="AA28" s="1"/>
  <c r="U28"/>
  <c r="T29"/>
  <c r="M29"/>
  <c r="N29"/>
  <c r="O29"/>
  <c r="S29" s="1"/>
  <c r="U29" s="1"/>
  <c r="R31"/>
  <c r="O35"/>
  <c r="O36"/>
  <c r="S36"/>
  <c r="U36" s="1"/>
  <c r="O37"/>
  <c r="S37" s="1"/>
  <c r="W37" s="1"/>
  <c r="AA37" s="1"/>
  <c r="U37"/>
  <c r="O38"/>
  <c r="S38"/>
  <c r="U38" s="1"/>
  <c r="M39"/>
  <c r="M57" s="1"/>
  <c r="M121" s="1"/>
  <c r="N39"/>
  <c r="O39"/>
  <c r="R39"/>
  <c r="S39"/>
  <c r="O41"/>
  <c r="S41" s="1"/>
  <c r="U41" s="1"/>
  <c r="O43"/>
  <c r="S43"/>
  <c r="U43" s="1"/>
  <c r="O47"/>
  <c r="S47" s="1"/>
  <c r="W47" s="1"/>
  <c r="O48"/>
  <c r="S48"/>
  <c r="O49"/>
  <c r="S49" s="1"/>
  <c r="U49" s="1"/>
  <c r="N51"/>
  <c r="O51" s="1"/>
  <c r="Q51" s="1"/>
  <c r="R51"/>
  <c r="R57" s="1"/>
  <c r="N57"/>
  <c r="O59"/>
  <c r="S59"/>
  <c r="O60"/>
  <c r="S60" s="1"/>
  <c r="W60" s="1"/>
  <c r="O61"/>
  <c r="S61"/>
  <c r="M62"/>
  <c r="O62" s="1"/>
  <c r="S62" s="1"/>
  <c r="W62" s="1"/>
  <c r="AA62" s="1"/>
  <c r="R62"/>
  <c r="U62"/>
  <c r="O64"/>
  <c r="S64"/>
  <c r="O65"/>
  <c r="S65" s="1"/>
  <c r="W65" s="1"/>
  <c r="U65"/>
  <c r="M66"/>
  <c r="N66"/>
  <c r="O66" s="1"/>
  <c r="S66" s="1"/>
  <c r="W66" s="1"/>
  <c r="R66"/>
  <c r="U66"/>
  <c r="O68"/>
  <c r="S68"/>
  <c r="O69"/>
  <c r="S69" s="1"/>
  <c r="U69"/>
  <c r="M70"/>
  <c r="O70"/>
  <c r="Q70" s="1"/>
  <c r="R70"/>
  <c r="S70"/>
  <c r="O72"/>
  <c r="S72" s="1"/>
  <c r="W72" s="1"/>
  <c r="U72"/>
  <c r="O73"/>
  <c r="S73"/>
  <c r="W73" s="1"/>
  <c r="AA73" s="1"/>
  <c r="M74"/>
  <c r="O74"/>
  <c r="S74" s="1"/>
  <c r="W74" s="1"/>
  <c r="AA74" s="1"/>
  <c r="R75"/>
  <c r="O79"/>
  <c r="M80"/>
  <c r="O80"/>
  <c r="R80"/>
  <c r="S80"/>
  <c r="W80" s="1"/>
  <c r="AA80" s="1"/>
  <c r="U82"/>
  <c r="O83"/>
  <c r="S83" s="1"/>
  <c r="W83" s="1"/>
  <c r="AA83" s="1"/>
  <c r="M84"/>
  <c r="O84" s="1"/>
  <c r="R84"/>
  <c r="R89" s="1"/>
  <c r="O86"/>
  <c r="S86"/>
  <c r="W86" s="1"/>
  <c r="AA86" s="1"/>
  <c r="O87"/>
  <c r="S87"/>
  <c r="M88"/>
  <c r="O88"/>
  <c r="S88" s="1"/>
  <c r="W88" s="1"/>
  <c r="AA88" s="1"/>
  <c r="M89"/>
  <c r="O89" s="1"/>
  <c r="O92"/>
  <c r="S92"/>
  <c r="M93"/>
  <c r="R93"/>
  <c r="O95"/>
  <c r="S95"/>
  <c r="W95" s="1"/>
  <c r="O96"/>
  <c r="S96"/>
  <c r="W96" s="1"/>
  <c r="AA96" s="1"/>
  <c r="M97"/>
  <c r="O97"/>
  <c r="R97"/>
  <c r="S97"/>
  <c r="W97" s="1"/>
  <c r="AA97" s="1"/>
  <c r="O99"/>
  <c r="S99"/>
  <c r="U99" s="1"/>
  <c r="O100"/>
  <c r="S100" s="1"/>
  <c r="W100" s="1"/>
  <c r="AA100" s="1"/>
  <c r="M101"/>
  <c r="O101" s="1"/>
  <c r="R101"/>
  <c r="O105"/>
  <c r="M106"/>
  <c r="O106"/>
  <c r="S106" s="1"/>
  <c r="W106" s="1"/>
  <c r="U106"/>
  <c r="O108"/>
  <c r="S108"/>
  <c r="U108" s="1"/>
  <c r="O109"/>
  <c r="S109" s="1"/>
  <c r="W109" s="1"/>
  <c r="AA109" s="1"/>
  <c r="M110"/>
  <c r="O110" s="1"/>
  <c r="S110" s="1"/>
  <c r="W110" s="1"/>
  <c r="R110"/>
  <c r="U110"/>
  <c r="O112"/>
  <c r="S112"/>
  <c r="W112" s="1"/>
  <c r="AA112" s="1"/>
  <c r="O113"/>
  <c r="S113"/>
  <c r="W113" s="1"/>
  <c r="AA113" s="1"/>
  <c r="M114"/>
  <c r="O114"/>
  <c r="S114" s="1"/>
  <c r="W114" s="1"/>
  <c r="AA114" s="1"/>
  <c r="R115"/>
  <c r="R119"/>
  <c r="R121"/>
  <c r="M122"/>
  <c r="R122"/>
  <c r="M124"/>
  <c r="F17" i="22" s="1"/>
  <c r="O124" i="1"/>
  <c r="Q124" s="1"/>
  <c r="R124"/>
  <c r="S124"/>
  <c r="W124" s="1"/>
  <c r="AA124" s="1"/>
  <c r="M125"/>
  <c r="R125"/>
  <c r="R126" s="1"/>
  <c r="N126"/>
  <c r="N135" s="1"/>
  <c r="M128"/>
  <c r="G23" i="33" s="1"/>
  <c r="I23" s="1"/>
  <c r="U23" s="1"/>
  <c r="O128" i="1"/>
  <c r="R128"/>
  <c r="S128"/>
  <c r="M129"/>
  <c r="R129"/>
  <c r="R130" s="1"/>
  <c r="M132"/>
  <c r="O132" s="1"/>
  <c r="S132" s="1"/>
  <c r="W132" s="1"/>
  <c r="AA132" s="1"/>
  <c r="M134"/>
  <c r="R134"/>
  <c r="O142"/>
  <c r="M144"/>
  <c r="N144"/>
  <c r="R144"/>
  <c r="R148" s="1"/>
  <c r="O146"/>
  <c r="S146"/>
  <c r="U146" s="1"/>
  <c r="M147"/>
  <c r="M161" s="1"/>
  <c r="N147"/>
  <c r="O147"/>
  <c r="R147"/>
  <c r="S147"/>
  <c r="W147" s="1"/>
  <c r="AA147" s="1"/>
  <c r="O151"/>
  <c r="S151" s="1"/>
  <c r="W151" s="1"/>
  <c r="M152"/>
  <c r="O152"/>
  <c r="R152"/>
  <c r="S152"/>
  <c r="O155"/>
  <c r="S155" s="1"/>
  <c r="W155" s="1"/>
  <c r="Y155" s="1"/>
  <c r="M156"/>
  <c r="O156"/>
  <c r="R156"/>
  <c r="S156"/>
  <c r="U156" s="1"/>
  <c r="O159"/>
  <c r="S159" s="1"/>
  <c r="W159" s="1"/>
  <c r="M160"/>
  <c r="O160"/>
  <c r="R160"/>
  <c r="S160"/>
  <c r="N161"/>
  <c r="N162" s="1"/>
  <c r="R161"/>
  <c r="R162"/>
  <c r="O12"/>
  <c r="S12"/>
  <c r="K60" i="22"/>
  <c r="K53"/>
  <c r="K55" s="1"/>
  <c r="K46"/>
  <c r="K38"/>
  <c r="K23"/>
  <c r="K19"/>
  <c r="K25" s="1"/>
  <c r="K62" s="1"/>
  <c r="K13"/>
  <c r="X19" i="21"/>
  <c r="X32" s="1"/>
  <c r="X39" s="1"/>
  <c r="X38"/>
  <c r="X31"/>
  <c r="Y29"/>
  <c r="AC29" s="1"/>
  <c r="AG29" s="1"/>
  <c r="G19"/>
  <c r="G31"/>
  <c r="G32"/>
  <c r="G38"/>
  <c r="G39"/>
  <c r="B58" i="3"/>
  <c r="L32" i="24"/>
  <c r="K37"/>
  <c r="L9"/>
  <c r="L19"/>
  <c r="L25"/>
  <c r="J37"/>
  <c r="I37"/>
  <c r="H51" i="22"/>
  <c r="L51" s="1"/>
  <c r="S19" i="21"/>
  <c r="S31"/>
  <c r="H14"/>
  <c r="J14" s="1"/>
  <c r="O42" i="1"/>
  <c r="S42" s="1"/>
  <c r="W42" s="1"/>
  <c r="Y42" s="1"/>
  <c r="O44"/>
  <c r="S44" s="1"/>
  <c r="W44" s="1"/>
  <c r="AA44" s="1"/>
  <c r="O45"/>
  <c r="S45" s="1"/>
  <c r="W45" s="1"/>
  <c r="AA45" s="1"/>
  <c r="O46"/>
  <c r="S46" s="1"/>
  <c r="W46" s="1"/>
  <c r="Y46" s="1"/>
  <c r="O133"/>
  <c r="S133" s="1"/>
  <c r="W133" s="1"/>
  <c r="AA133" s="1"/>
  <c r="O141"/>
  <c r="S141" s="1"/>
  <c r="O143"/>
  <c r="S143" s="1"/>
  <c r="W143" s="1"/>
  <c r="AA143" s="1"/>
  <c r="P110" i="2"/>
  <c r="Q27"/>
  <c r="Q36" i="1"/>
  <c r="Q37"/>
  <c r="Q38"/>
  <c r="P39"/>
  <c r="Q39" s="1"/>
  <c r="Q26"/>
  <c r="Q27"/>
  <c r="Q28"/>
  <c r="P29"/>
  <c r="P20"/>
  <c r="P23"/>
  <c r="P13"/>
  <c r="Q17"/>
  <c r="Q20"/>
  <c r="I60" i="22"/>
  <c r="I53"/>
  <c r="I46"/>
  <c r="I38"/>
  <c r="I23"/>
  <c r="I19"/>
  <c r="I13"/>
  <c r="V38" i="21"/>
  <c r="V31"/>
  <c r="V19"/>
  <c r="E31"/>
  <c r="E19"/>
  <c r="E32" s="1"/>
  <c r="E39" s="1"/>
  <c r="E38"/>
  <c r="P44" i="2"/>
  <c r="P45"/>
  <c r="P46"/>
  <c r="P48"/>
  <c r="P49"/>
  <c r="P50"/>
  <c r="P51"/>
  <c r="P52"/>
  <c r="P53"/>
  <c r="P35"/>
  <c r="P28"/>
  <c r="P19"/>
  <c r="P95"/>
  <c r="P134"/>
  <c r="P140"/>
  <c r="Q140"/>
  <c r="Q141" s="1"/>
  <c r="P141"/>
  <c r="M140"/>
  <c r="M141"/>
  <c r="E9" i="4"/>
  <c r="E16"/>
  <c r="E22"/>
  <c r="E24"/>
  <c r="F24"/>
  <c r="E54" i="3"/>
  <c r="E11"/>
  <c r="E38"/>
  <c r="E58"/>
  <c r="E62"/>
  <c r="F62" s="1"/>
  <c r="E64"/>
  <c r="E68"/>
  <c r="F58"/>
  <c r="P51" i="1"/>
  <c r="P57"/>
  <c r="P121" s="1"/>
  <c r="P118"/>
  <c r="P62"/>
  <c r="P122"/>
  <c r="P124"/>
  <c r="P125"/>
  <c r="P126" s="1"/>
  <c r="P128"/>
  <c r="P129"/>
  <c r="P130"/>
  <c r="P132"/>
  <c r="P133"/>
  <c r="P134" s="1"/>
  <c r="P160"/>
  <c r="P156"/>
  <c r="P152"/>
  <c r="P144"/>
  <c r="P147"/>
  <c r="P148" s="1"/>
  <c r="P106"/>
  <c r="P110"/>
  <c r="P114"/>
  <c r="P93"/>
  <c r="P97"/>
  <c r="P101"/>
  <c r="P80"/>
  <c r="P84"/>
  <c r="P88"/>
  <c r="P66"/>
  <c r="P70"/>
  <c r="P74"/>
  <c r="Q13"/>
  <c r="Q22"/>
  <c r="Q25"/>
  <c r="Q43"/>
  <c r="Q48"/>
  <c r="Q59"/>
  <c r="Q60"/>
  <c r="Q61"/>
  <c r="Q62"/>
  <c r="Q64"/>
  <c r="Q65"/>
  <c r="Q69"/>
  <c r="Q72"/>
  <c r="Q80"/>
  <c r="O82"/>
  <c r="Q82"/>
  <c r="Q106"/>
  <c r="Q132"/>
  <c r="Q146"/>
  <c r="Q147"/>
  <c r="Q12"/>
  <c r="E23" i="6"/>
  <c r="F23" s="1"/>
  <c r="E26"/>
  <c r="E27"/>
  <c r="F27" s="1"/>
  <c r="E14"/>
  <c r="E17"/>
  <c r="E28" s="1"/>
  <c r="F17"/>
  <c r="B17"/>
  <c r="P171" i="2"/>
  <c r="P175"/>
  <c r="P176"/>
  <c r="P101"/>
  <c r="P148"/>
  <c r="P121"/>
  <c r="P150" s="1"/>
  <c r="P151"/>
  <c r="P152"/>
  <c r="P135"/>
  <c r="Q63"/>
  <c r="E77" i="5"/>
  <c r="E10"/>
  <c r="E51"/>
  <c r="E95"/>
  <c r="E101"/>
  <c r="F101" s="1"/>
  <c r="E102"/>
  <c r="E108"/>
  <c r="J33" i="22"/>
  <c r="J35"/>
  <c r="J37"/>
  <c r="J40"/>
  <c r="J45"/>
  <c r="J52"/>
  <c r="J54"/>
  <c r="W12" i="21"/>
  <c r="W24"/>
  <c r="W28"/>
  <c r="B19"/>
  <c r="D19" s="1"/>
  <c r="H19" s="1"/>
  <c r="F28"/>
  <c r="F9" i="6"/>
  <c r="F15"/>
  <c r="F19"/>
  <c r="F21"/>
  <c r="F24"/>
  <c r="F26"/>
  <c r="F28"/>
  <c r="F8"/>
  <c r="F9" i="5"/>
  <c r="F11"/>
  <c r="F13"/>
  <c r="F25"/>
  <c r="F27"/>
  <c r="F29"/>
  <c r="F31"/>
  <c r="F33"/>
  <c r="F52"/>
  <c r="F54"/>
  <c r="F56"/>
  <c r="F58"/>
  <c r="F60"/>
  <c r="F62"/>
  <c r="F64"/>
  <c r="F78"/>
  <c r="F79"/>
  <c r="F80"/>
  <c r="F81"/>
  <c r="F82"/>
  <c r="F83"/>
  <c r="F84"/>
  <c r="F85"/>
  <c r="F87"/>
  <c r="F88"/>
  <c r="F89"/>
  <c r="F95"/>
  <c r="F96"/>
  <c r="F99"/>
  <c r="F102"/>
  <c r="F103"/>
  <c r="F104"/>
  <c r="F105"/>
  <c r="F106"/>
  <c r="F8"/>
  <c r="F10" i="4"/>
  <c r="F11"/>
  <c r="F12"/>
  <c r="F22"/>
  <c r="F8"/>
  <c r="F9" i="3"/>
  <c r="F10"/>
  <c r="F12"/>
  <c r="F15"/>
  <c r="F20"/>
  <c r="F38"/>
  <c r="F39"/>
  <c r="F40"/>
  <c r="F59"/>
  <c r="F60"/>
  <c r="F61"/>
  <c r="F63"/>
  <c r="F64"/>
  <c r="F65"/>
  <c r="F66"/>
  <c r="F68"/>
  <c r="F8"/>
  <c r="Q170" i="2"/>
  <c r="Q171"/>
  <c r="Q174"/>
  <c r="Q64"/>
  <c r="Q97"/>
  <c r="Q103"/>
  <c r="Q112"/>
  <c r="Q126"/>
  <c r="Q131"/>
  <c r="Q135"/>
  <c r="Q148"/>
  <c r="Q150"/>
  <c r="Q152"/>
  <c r="Q11"/>
  <c r="Q12"/>
  <c r="Q14"/>
  <c r="Q15"/>
  <c r="Q16"/>
  <c r="Q17"/>
  <c r="Q18"/>
  <c r="Q19"/>
  <c r="Q22"/>
  <c r="Q23"/>
  <c r="Q24"/>
  <c r="Q28"/>
  <c r="Q31"/>
  <c r="Q32"/>
  <c r="Q33"/>
  <c r="Q38"/>
  <c r="Q40"/>
  <c r="P41"/>
  <c r="Q41"/>
  <c r="Q44"/>
  <c r="Q46"/>
  <c r="Q48"/>
  <c r="Q49"/>
  <c r="Q50"/>
  <c r="Q51"/>
  <c r="Q52"/>
  <c r="Q10"/>
  <c r="C31" i="21"/>
  <c r="B31"/>
  <c r="D31" s="1"/>
  <c r="D23"/>
  <c r="H37" i="24"/>
  <c r="G37"/>
  <c r="G38" i="22"/>
  <c r="G46"/>
  <c r="G47" s="1"/>
  <c r="G63" s="1"/>
  <c r="G60"/>
  <c r="G19"/>
  <c r="G25" s="1"/>
  <c r="G62" s="1"/>
  <c r="G53"/>
  <c r="G55" s="1"/>
  <c r="D28" i="21"/>
  <c r="H28" s="1"/>
  <c r="T31"/>
  <c r="U14"/>
  <c r="Y14" s="1"/>
  <c r="T19"/>
  <c r="T32" s="1"/>
  <c r="T39" s="1"/>
  <c r="C19"/>
  <c r="C32"/>
  <c r="C39" s="1"/>
  <c r="C38"/>
  <c r="D37"/>
  <c r="H37" s="1"/>
  <c r="U9"/>
  <c r="W9" s="1"/>
  <c r="U10"/>
  <c r="Y10" s="1"/>
  <c r="U11"/>
  <c r="W11" s="1"/>
  <c r="U12"/>
  <c r="Y12" s="1"/>
  <c r="AC12" s="1"/>
  <c r="U13"/>
  <c r="W13" s="1"/>
  <c r="U24"/>
  <c r="Y24" s="1"/>
  <c r="AC24" s="1"/>
  <c r="U25"/>
  <c r="W25" s="1"/>
  <c r="U26"/>
  <c r="Y26" s="1"/>
  <c r="U27"/>
  <c r="W27" s="1"/>
  <c r="U28"/>
  <c r="Y28" s="1"/>
  <c r="AC28" s="1"/>
  <c r="U36"/>
  <c r="W36" s="1"/>
  <c r="U8"/>
  <c r="Y8" s="1"/>
  <c r="D9"/>
  <c r="D10"/>
  <c r="H10" s="1"/>
  <c r="D11"/>
  <c r="D12"/>
  <c r="F12" s="1"/>
  <c r="D13"/>
  <c r="D24"/>
  <c r="H24" s="1"/>
  <c r="D25"/>
  <c r="D26"/>
  <c r="F26" s="1"/>
  <c r="D27"/>
  <c r="D36"/>
  <c r="D8"/>
  <c r="D37" i="24"/>
  <c r="E37"/>
  <c r="C37"/>
  <c r="F25"/>
  <c r="F32"/>
  <c r="F19"/>
  <c r="F9"/>
  <c r="O30" i="20"/>
  <c r="G25"/>
  <c r="H25"/>
  <c r="H26" s="1"/>
  <c r="I25"/>
  <c r="I26" s="1"/>
  <c r="J25"/>
  <c r="J26" s="1"/>
  <c r="K25"/>
  <c r="K26" s="1"/>
  <c r="L25"/>
  <c r="L26" s="1"/>
  <c r="M25"/>
  <c r="M26" s="1"/>
  <c r="N25"/>
  <c r="N26" s="1"/>
  <c r="O25"/>
  <c r="O26" s="1"/>
  <c r="P25"/>
  <c r="P26" s="1"/>
  <c r="F37" i="24"/>
  <c r="B38" i="21"/>
  <c r="D38" s="1"/>
  <c r="S38"/>
  <c r="U38" s="1"/>
  <c r="C26" i="20"/>
  <c r="P10"/>
  <c r="P11"/>
  <c r="P12"/>
  <c r="C13"/>
  <c r="D13"/>
  <c r="D16" s="1"/>
  <c r="E13"/>
  <c r="F13"/>
  <c r="G13"/>
  <c r="H13"/>
  <c r="H16" s="1"/>
  <c r="I13"/>
  <c r="J13"/>
  <c r="J16" s="1"/>
  <c r="K13"/>
  <c r="L13"/>
  <c r="L16" s="1"/>
  <c r="M13"/>
  <c r="N13"/>
  <c r="N16" s="1"/>
  <c r="O13"/>
  <c r="P13"/>
  <c r="P16" s="1"/>
  <c r="F14"/>
  <c r="P14"/>
  <c r="P15"/>
  <c r="C16"/>
  <c r="F16" s="1"/>
  <c r="E16"/>
  <c r="G16"/>
  <c r="I16"/>
  <c r="K16"/>
  <c r="M16"/>
  <c r="O16"/>
  <c r="G26"/>
  <c r="Q35" i="2"/>
  <c r="F8" i="37"/>
  <c r="F16" s="1"/>
  <c r="F9"/>
  <c r="F10"/>
  <c r="F11"/>
  <c r="F12"/>
  <c r="F13"/>
  <c r="F14"/>
  <c r="F15"/>
  <c r="C16"/>
  <c r="D16"/>
  <c r="E16"/>
  <c r="F17"/>
  <c r="F25" s="1"/>
  <c r="F18"/>
  <c r="F19"/>
  <c r="F20"/>
  <c r="F21"/>
  <c r="F22"/>
  <c r="F23"/>
  <c r="F24"/>
  <c r="C25"/>
  <c r="D25"/>
  <c r="E25"/>
  <c r="C26"/>
  <c r="C42" s="1"/>
  <c r="C43" s="1"/>
  <c r="C44" s="1"/>
  <c r="D26"/>
  <c r="E26"/>
  <c r="E42" s="1"/>
  <c r="E43" s="1"/>
  <c r="E44" s="1"/>
  <c r="F27"/>
  <c r="F28"/>
  <c r="F29"/>
  <c r="F30"/>
  <c r="F31"/>
  <c r="F32"/>
  <c r="F33"/>
  <c r="F34"/>
  <c r="F35"/>
  <c r="F37"/>
  <c r="F38"/>
  <c r="F39"/>
  <c r="F40"/>
  <c r="B41"/>
  <c r="C41"/>
  <c r="F41" s="1"/>
  <c r="D41"/>
  <c r="E41"/>
  <c r="B42"/>
  <c r="D42"/>
  <c r="B43"/>
  <c r="D43"/>
  <c r="B44"/>
  <c r="D44"/>
  <c r="L42" i="22" l="1"/>
  <c r="J42"/>
  <c r="L31"/>
  <c r="J31"/>
  <c r="P59"/>
  <c r="N59"/>
  <c r="J59"/>
  <c r="J29"/>
  <c r="N54"/>
  <c r="N29"/>
  <c r="I61" i="33"/>
  <c r="U61" s="1"/>
  <c r="R29" i="22"/>
  <c r="T35"/>
  <c r="H38" i="21"/>
  <c r="L38" s="1"/>
  <c r="P38" s="1"/>
  <c r="F38"/>
  <c r="L28"/>
  <c r="J28"/>
  <c r="AA72" i="1"/>
  <c r="Y72"/>
  <c r="Y65"/>
  <c r="AA65"/>
  <c r="Y60"/>
  <c r="AA60"/>
  <c r="P100" i="5"/>
  <c r="N100"/>
  <c r="X121" i="1"/>
  <c r="Y38" i="21"/>
  <c r="AC38" s="1"/>
  <c r="AG38" s="1"/>
  <c r="W38"/>
  <c r="L24"/>
  <c r="J24"/>
  <c r="J10"/>
  <c r="L10"/>
  <c r="AG28"/>
  <c r="AE28"/>
  <c r="AG24"/>
  <c r="AE24"/>
  <c r="AG12"/>
  <c r="AE12"/>
  <c r="L37"/>
  <c r="J37"/>
  <c r="H31"/>
  <c r="L31" s="1"/>
  <c r="F31"/>
  <c r="L19"/>
  <c r="P19" s="1"/>
  <c r="J19"/>
  <c r="AA110" i="1"/>
  <c r="Y110"/>
  <c r="AA66"/>
  <c r="Y66"/>
  <c r="AA47"/>
  <c r="Y47"/>
  <c r="F14" i="22"/>
  <c r="H14" s="1"/>
  <c r="O121" i="1"/>
  <c r="S121" s="1"/>
  <c r="W121" s="1"/>
  <c r="AA121" s="1"/>
  <c r="P98" i="5"/>
  <c r="N98"/>
  <c r="U121" i="1"/>
  <c r="F26" i="37"/>
  <c r="N163" i="1"/>
  <c r="Y128"/>
  <c r="H8" i="21"/>
  <c r="F8"/>
  <c r="H36"/>
  <c r="F36"/>
  <c r="AC8"/>
  <c r="AA8"/>
  <c r="H23"/>
  <c r="F23"/>
  <c r="E18" i="3"/>
  <c r="F11"/>
  <c r="U19" i="21"/>
  <c r="Y19" s="1"/>
  <c r="AC19" s="1"/>
  <c r="S32"/>
  <c r="W12" i="1"/>
  <c r="U12"/>
  <c r="AA159"/>
  <c r="Y159"/>
  <c r="AA151"/>
  <c r="Y151"/>
  <c r="O161"/>
  <c r="M162"/>
  <c r="O162" s="1"/>
  <c r="S142"/>
  <c r="Q142"/>
  <c r="F24" i="22"/>
  <c r="H24" s="1"/>
  <c r="O134" i="1"/>
  <c r="S134" s="1"/>
  <c r="W134" s="1"/>
  <c r="AA134" s="1"/>
  <c r="W128"/>
  <c r="AA128" s="1"/>
  <c r="U128"/>
  <c r="F15" i="22"/>
  <c r="H15" s="1"/>
  <c r="O122" i="1"/>
  <c r="S122" s="1"/>
  <c r="S105"/>
  <c r="Q105"/>
  <c r="R102"/>
  <c r="R118"/>
  <c r="R120" s="1"/>
  <c r="R135" s="1"/>
  <c r="R163" s="1"/>
  <c r="W92"/>
  <c r="U92"/>
  <c r="W70"/>
  <c r="AA70" s="1"/>
  <c r="U70"/>
  <c r="W68"/>
  <c r="U68"/>
  <c r="W64"/>
  <c r="U64"/>
  <c r="S18"/>
  <c r="Q18"/>
  <c r="S16"/>
  <c r="Q16"/>
  <c r="J17" i="6"/>
  <c r="M47" i="22"/>
  <c r="L12" i="4"/>
  <c r="J12"/>
  <c r="L10"/>
  <c r="J10"/>
  <c r="AA82" i="1"/>
  <c r="Y82"/>
  <c r="H25" i="6"/>
  <c r="F25"/>
  <c r="P88" i="5"/>
  <c r="N88"/>
  <c r="P85"/>
  <c r="N85"/>
  <c r="P83"/>
  <c r="N83"/>
  <c r="P81"/>
  <c r="N81"/>
  <c r="P79"/>
  <c r="N79"/>
  <c r="P48"/>
  <c r="N48"/>
  <c r="P44"/>
  <c r="N44"/>
  <c r="P40"/>
  <c r="N40"/>
  <c r="L35"/>
  <c r="J35"/>
  <c r="P33"/>
  <c r="N33"/>
  <c r="P31"/>
  <c r="N31"/>
  <c r="P29"/>
  <c r="N29"/>
  <c r="P27"/>
  <c r="N27"/>
  <c r="P25"/>
  <c r="N25"/>
  <c r="P20"/>
  <c r="N20"/>
  <c r="P18"/>
  <c r="N18"/>
  <c r="P15"/>
  <c r="N15"/>
  <c r="P13"/>
  <c r="N13"/>
  <c r="P11"/>
  <c r="N11"/>
  <c r="H10"/>
  <c r="J10" s="1"/>
  <c r="F10"/>
  <c r="P14" i="21"/>
  <c r="N14"/>
  <c r="AG14"/>
  <c r="AE14"/>
  <c r="Y124" i="1"/>
  <c r="X126"/>
  <c r="Y126" s="1"/>
  <c r="M25" i="4"/>
  <c r="N51" i="5"/>
  <c r="M109"/>
  <c r="N109" s="1"/>
  <c r="Q25" i="22"/>
  <c r="Q47"/>
  <c r="W126" i="2"/>
  <c r="U126"/>
  <c r="AA108"/>
  <c r="Y108"/>
  <c r="AA103"/>
  <c r="Y103"/>
  <c r="R148"/>
  <c r="R127"/>
  <c r="AA85"/>
  <c r="Y85"/>
  <c r="AA81"/>
  <c r="Y81"/>
  <c r="AA77"/>
  <c r="Y77"/>
  <c r="W67"/>
  <c r="U67"/>
  <c r="AA64"/>
  <c r="Y64"/>
  <c r="S175"/>
  <c r="W175" s="1"/>
  <c r="AA175" s="1"/>
  <c r="Q175"/>
  <c r="S173"/>
  <c r="Q173"/>
  <c r="AA170"/>
  <c r="Y170"/>
  <c r="AA10"/>
  <c r="Y10"/>
  <c r="W34"/>
  <c r="U34"/>
  <c r="W32"/>
  <c r="U32"/>
  <c r="AA18"/>
  <c r="Y18"/>
  <c r="AA14"/>
  <c r="Y14"/>
  <c r="L8" i="3"/>
  <c r="J8"/>
  <c r="L68"/>
  <c r="P68" s="1"/>
  <c r="J68"/>
  <c r="P65"/>
  <c r="N65"/>
  <c r="L61"/>
  <c r="J61"/>
  <c r="L46"/>
  <c r="J46"/>
  <c r="L39"/>
  <c r="J39"/>
  <c r="P32"/>
  <c r="N32"/>
  <c r="L28"/>
  <c r="J28"/>
  <c r="L24"/>
  <c r="J24"/>
  <c r="H21"/>
  <c r="F21"/>
  <c r="H19"/>
  <c r="F19"/>
  <c r="P17"/>
  <c r="N17"/>
  <c r="P52" i="22"/>
  <c r="N52"/>
  <c r="R45"/>
  <c r="T45"/>
  <c r="L41"/>
  <c r="J41"/>
  <c r="L36"/>
  <c r="J36"/>
  <c r="F30"/>
  <c r="H30" s="1"/>
  <c r="O45" i="2"/>
  <c r="S57" i="33"/>
  <c r="AE57" s="1"/>
  <c r="I57"/>
  <c r="T15"/>
  <c r="AF15" s="1"/>
  <c r="H27"/>
  <c r="G29" i="40"/>
  <c r="G37" s="1"/>
  <c r="G47" s="1"/>
  <c r="G63" s="1"/>
  <c r="F37"/>
  <c r="F47" s="1"/>
  <c r="F63" s="1"/>
  <c r="H27" i="21"/>
  <c r="F27"/>
  <c r="H25"/>
  <c r="F25"/>
  <c r="H13"/>
  <c r="F13"/>
  <c r="H11"/>
  <c r="F11"/>
  <c r="H9"/>
  <c r="F9"/>
  <c r="E109" i="5"/>
  <c r="P147" i="2"/>
  <c r="P30" i="1"/>
  <c r="Q23"/>
  <c r="Q110" i="2"/>
  <c r="P149"/>
  <c r="Q149" s="1"/>
  <c r="O144" i="1"/>
  <c r="N148"/>
  <c r="F22" i="22"/>
  <c r="H22" s="1"/>
  <c r="O129" i="1"/>
  <c r="M130"/>
  <c r="O130" s="1"/>
  <c r="S130" s="1"/>
  <c r="W130" s="1"/>
  <c r="AA130" s="1"/>
  <c r="F18" i="22"/>
  <c r="H18" s="1"/>
  <c r="O125" i="1"/>
  <c r="M126"/>
  <c r="O126" s="1"/>
  <c r="S126" s="1"/>
  <c r="W126" s="1"/>
  <c r="AA126" s="1"/>
  <c r="O93"/>
  <c r="S93" s="1"/>
  <c r="M102"/>
  <c r="O102" s="1"/>
  <c r="S102" s="1"/>
  <c r="W102" s="1"/>
  <c r="S84"/>
  <c r="Q84"/>
  <c r="S79"/>
  <c r="Q79"/>
  <c r="W61"/>
  <c r="U61"/>
  <c r="W59"/>
  <c r="U59"/>
  <c r="W48"/>
  <c r="U48"/>
  <c r="W39"/>
  <c r="U39"/>
  <c r="S35"/>
  <c r="Q35"/>
  <c r="M118"/>
  <c r="T161"/>
  <c r="U147"/>
  <c r="I27" i="6"/>
  <c r="J27" s="1"/>
  <c r="J26"/>
  <c r="M25" i="22"/>
  <c r="AH9" i="24"/>
  <c r="AH37" s="1"/>
  <c r="AB9"/>
  <c r="H17" i="4"/>
  <c r="F17"/>
  <c r="L24" i="6"/>
  <c r="J24"/>
  <c r="P23"/>
  <c r="N23"/>
  <c r="N19"/>
  <c r="P19"/>
  <c r="P17"/>
  <c r="N17"/>
  <c r="L15"/>
  <c r="J15"/>
  <c r="P13"/>
  <c r="N13"/>
  <c r="P105" i="5"/>
  <c r="N105"/>
  <c r="L99"/>
  <c r="J99"/>
  <c r="L96"/>
  <c r="J96"/>
  <c r="P92"/>
  <c r="N92"/>
  <c r="H65"/>
  <c r="F65"/>
  <c r="H63"/>
  <c r="F63"/>
  <c r="H61"/>
  <c r="F61"/>
  <c r="H59"/>
  <c r="F59"/>
  <c r="H57"/>
  <c r="F57"/>
  <c r="H55"/>
  <c r="F55"/>
  <c r="H53"/>
  <c r="F53"/>
  <c r="H32"/>
  <c r="F32"/>
  <c r="H30"/>
  <c r="F30"/>
  <c r="H28"/>
  <c r="F28"/>
  <c r="H26"/>
  <c r="F26"/>
  <c r="H24"/>
  <c r="F24"/>
  <c r="L19"/>
  <c r="J19"/>
  <c r="L17"/>
  <c r="J17"/>
  <c r="L14"/>
  <c r="J14"/>
  <c r="H12"/>
  <c r="F12"/>
  <c r="P9"/>
  <c r="N9"/>
  <c r="X102" i="1"/>
  <c r="Y102" s="1"/>
  <c r="X148"/>
  <c r="X53" i="2"/>
  <c r="AD32" i="21"/>
  <c r="W106" i="2"/>
  <c r="U106"/>
  <c r="O95"/>
  <c r="S95" s="1"/>
  <c r="W95" s="1"/>
  <c r="N147"/>
  <c r="AA89"/>
  <c r="Y89"/>
  <c r="AA87"/>
  <c r="Y87"/>
  <c r="AA83"/>
  <c r="Y83"/>
  <c r="AA79"/>
  <c r="Y79"/>
  <c r="AA75"/>
  <c r="Y75"/>
  <c r="AA72"/>
  <c r="Y72"/>
  <c r="W65"/>
  <c r="U65"/>
  <c r="S169"/>
  <c r="Q169"/>
  <c r="W174"/>
  <c r="U174"/>
  <c r="W40"/>
  <c r="U40"/>
  <c r="W38"/>
  <c r="U38"/>
  <c r="AA33"/>
  <c r="Y33"/>
  <c r="AA31"/>
  <c r="Y31"/>
  <c r="AA26"/>
  <c r="Y26"/>
  <c r="AA16"/>
  <c r="Y16"/>
  <c r="W12"/>
  <c r="U12"/>
  <c r="L63" i="3"/>
  <c r="J63"/>
  <c r="L59"/>
  <c r="J59"/>
  <c r="P56"/>
  <c r="N56"/>
  <c r="P50"/>
  <c r="N50"/>
  <c r="P48"/>
  <c r="N48"/>
  <c r="L44"/>
  <c r="J44"/>
  <c r="P41"/>
  <c r="N41"/>
  <c r="L30"/>
  <c r="J30"/>
  <c r="L26"/>
  <c r="J26"/>
  <c r="L22"/>
  <c r="J22"/>
  <c r="L20"/>
  <c r="J20"/>
  <c r="P10"/>
  <c r="N10"/>
  <c r="T54" i="22"/>
  <c r="R54"/>
  <c r="L43"/>
  <c r="J43"/>
  <c r="L34"/>
  <c r="J34"/>
  <c r="H21"/>
  <c r="L21" s="1"/>
  <c r="F24" i="21"/>
  <c r="F10"/>
  <c r="P89" i="1"/>
  <c r="Q89" s="1"/>
  <c r="P115"/>
  <c r="Q126"/>
  <c r="Q121"/>
  <c r="W19" i="21"/>
  <c r="V32"/>
  <c r="I25" i="22"/>
  <c r="H12" i="21"/>
  <c r="H26"/>
  <c r="U31"/>
  <c r="Y25"/>
  <c r="Y11"/>
  <c r="S89" i="1"/>
  <c r="W89" s="1"/>
  <c r="AA89" s="1"/>
  <c r="N75"/>
  <c r="T30"/>
  <c r="U80"/>
  <c r="U124"/>
  <c r="T126"/>
  <c r="U126" s="1"/>
  <c r="U175" i="2"/>
  <c r="J38" i="21"/>
  <c r="K64" i="33"/>
  <c r="L22" i="4"/>
  <c r="K25"/>
  <c r="L16"/>
  <c r="W49" i="1"/>
  <c r="W41"/>
  <c r="W36"/>
  <c r="W29"/>
  <c r="AA29" s="1"/>
  <c r="W25"/>
  <c r="H108" i="5"/>
  <c r="K39" i="21"/>
  <c r="X31" i="1"/>
  <c r="X30"/>
  <c r="Y62"/>
  <c r="Y70"/>
  <c r="Y89"/>
  <c r="Y147"/>
  <c r="Y132"/>
  <c r="Y80"/>
  <c r="Y56"/>
  <c r="Y175" i="2"/>
  <c r="N87" i="5"/>
  <c r="N82"/>
  <c r="N78"/>
  <c r="N72"/>
  <c r="N68"/>
  <c r="N64"/>
  <c r="N60"/>
  <c r="N56"/>
  <c r="N52"/>
  <c r="N47"/>
  <c r="N43"/>
  <c r="N39"/>
  <c r="N28" i="6"/>
  <c r="AE29" i="21"/>
  <c r="AA155" i="1"/>
  <c r="AA42"/>
  <c r="R53" i="2"/>
  <c r="W41"/>
  <c r="AA41" s="1"/>
  <c r="H77" i="5"/>
  <c r="L77" s="1"/>
  <c r="P77" s="1"/>
  <c r="P67"/>
  <c r="P42"/>
  <c r="P16" i="6"/>
  <c r="AG26" i="21"/>
  <c r="Z135" i="1"/>
  <c r="Z163" s="1"/>
  <c r="AG55" i="33"/>
  <c r="AG54"/>
  <c r="AG46"/>
  <c r="AG42"/>
  <c r="AG35"/>
  <c r="AG34"/>
  <c r="AG33"/>
  <c r="AG32"/>
  <c r="AG31"/>
  <c r="AG24"/>
  <c r="AG21"/>
  <c r="G62" i="40"/>
  <c r="Q39" i="2"/>
  <c r="Q121"/>
  <c r="F16" i="4"/>
  <c r="F100" i="5"/>
  <c r="F98"/>
  <c r="F77"/>
  <c r="F22" i="6"/>
  <c r="F20"/>
  <c r="F37" i="21"/>
  <c r="B32"/>
  <c r="F19"/>
  <c r="W8"/>
  <c r="W26"/>
  <c r="W14"/>
  <c r="W10"/>
  <c r="F108" i="5"/>
  <c r="P127" i="2"/>
  <c r="Q49" i="1"/>
  <c r="Q47"/>
  <c r="Q41"/>
  <c r="Q74"/>
  <c r="Q66"/>
  <c r="P102"/>
  <c r="Q148"/>
  <c r="Q130"/>
  <c r="E25" i="4"/>
  <c r="I47" i="22"/>
  <c r="Q29" i="1"/>
  <c r="Y36" i="21"/>
  <c r="Y27"/>
  <c r="Y13"/>
  <c r="Y9"/>
  <c r="L37" i="24"/>
  <c r="K47" i="22"/>
  <c r="K63" s="1"/>
  <c r="U159" i="1"/>
  <c r="U155"/>
  <c r="U151"/>
  <c r="M148"/>
  <c r="O148" s="1"/>
  <c r="S148" s="1"/>
  <c r="W148" s="1"/>
  <c r="AA148" s="1"/>
  <c r="M115"/>
  <c r="O115" s="1"/>
  <c r="S115" s="1"/>
  <c r="S101"/>
  <c r="U60"/>
  <c r="U47"/>
  <c r="M30"/>
  <c r="T89"/>
  <c r="U89" s="1"/>
  <c r="U102"/>
  <c r="T130"/>
  <c r="U132"/>
  <c r="T134"/>
  <c r="U160"/>
  <c r="I25" i="4"/>
  <c r="J25" s="1"/>
  <c r="J22"/>
  <c r="J16" i="6"/>
  <c r="J98" i="5"/>
  <c r="J87"/>
  <c r="J82"/>
  <c r="J78"/>
  <c r="J62"/>
  <c r="J58"/>
  <c r="J54"/>
  <c r="J31"/>
  <c r="J27"/>
  <c r="J20"/>
  <c r="J15"/>
  <c r="J11"/>
  <c r="U39" i="2"/>
  <c r="U18"/>
  <c r="U14"/>
  <c r="U125"/>
  <c r="U85"/>
  <c r="U81"/>
  <c r="U77"/>
  <c r="U64"/>
  <c r="U152"/>
  <c r="T146"/>
  <c r="U146" s="1"/>
  <c r="T135"/>
  <c r="T176"/>
  <c r="U176" s="1"/>
  <c r="I32" i="21"/>
  <c r="AA19"/>
  <c r="Z32"/>
  <c r="AA28"/>
  <c r="AA24"/>
  <c r="AA12"/>
  <c r="N45" i="22"/>
  <c r="L27" i="33"/>
  <c r="L64" s="1"/>
  <c r="M40"/>
  <c r="M49" s="1"/>
  <c r="M65" s="1"/>
  <c r="L65"/>
  <c r="V30" i="1"/>
  <c r="V119" s="1"/>
  <c r="V120" s="1"/>
  <c r="V135" s="1"/>
  <c r="V163" s="1"/>
  <c r="G25" i="4"/>
  <c r="V115" i="1"/>
  <c r="V130"/>
  <c r="W156"/>
  <c r="W108"/>
  <c r="O57"/>
  <c r="S51"/>
  <c r="W51" s="1"/>
  <c r="AA51" s="1"/>
  <c r="W43"/>
  <c r="W38"/>
  <c r="W27"/>
  <c r="W22"/>
  <c r="W17"/>
  <c r="H27" i="6"/>
  <c r="L27" s="1"/>
  <c r="P27" s="1"/>
  <c r="L26"/>
  <c r="L22"/>
  <c r="L20"/>
  <c r="L9"/>
  <c r="L106" i="5"/>
  <c r="L104"/>
  <c r="L102"/>
  <c r="P101"/>
  <c r="B51"/>
  <c r="O25" i="22"/>
  <c r="O62" s="1"/>
  <c r="B25" i="4"/>
  <c r="D25" s="1"/>
  <c r="H25" s="1"/>
  <c r="Y29" i="1"/>
  <c r="Y51"/>
  <c r="Y74"/>
  <c r="X118"/>
  <c r="Y146"/>
  <c r="Y106"/>
  <c r="Y99"/>
  <c r="Y69"/>
  <c r="Y53"/>
  <c r="Y37"/>
  <c r="Y26"/>
  <c r="Y13"/>
  <c r="Y49" i="2"/>
  <c r="Y46"/>
  <c r="Y39"/>
  <c r="Y24"/>
  <c r="Y152"/>
  <c r="Y150"/>
  <c r="X146"/>
  <c r="X135"/>
  <c r="X176"/>
  <c r="Y176" s="1"/>
  <c r="N68" i="3"/>
  <c r="N66"/>
  <c r="N36"/>
  <c r="N8" i="4"/>
  <c r="N11"/>
  <c r="N77" i="5"/>
  <c r="N101"/>
  <c r="N8"/>
  <c r="N89"/>
  <c r="N84"/>
  <c r="N80"/>
  <c r="N74"/>
  <c r="N70"/>
  <c r="N66"/>
  <c r="N62"/>
  <c r="N58"/>
  <c r="N54"/>
  <c r="N50"/>
  <c r="N45"/>
  <c r="N41"/>
  <c r="N36"/>
  <c r="AB37" i="24"/>
  <c r="AA55" i="1"/>
  <c r="AA46"/>
  <c r="S149" i="2"/>
  <c r="U149" s="1"/>
  <c r="V53"/>
  <c r="P11" i="3"/>
  <c r="P103" i="5"/>
  <c r="P94"/>
  <c r="P46"/>
  <c r="P38"/>
  <c r="P21"/>
  <c r="P8" i="6"/>
  <c r="P21"/>
  <c r="AG10" i="21"/>
  <c r="O109" i="5"/>
  <c r="P109" s="1"/>
  <c r="AG13" i="33"/>
  <c r="S23"/>
  <c r="AE23" s="1"/>
  <c r="AG23" s="1"/>
  <c r="G25"/>
  <c r="F19" i="22"/>
  <c r="H19" s="1"/>
  <c r="L19" s="1"/>
  <c r="H17"/>
  <c r="P22" i="5"/>
  <c r="N22"/>
  <c r="M39" i="21"/>
  <c r="O101" i="2"/>
  <c r="M127"/>
  <c r="O127" s="1"/>
  <c r="AA29" i="21"/>
  <c r="X122" i="1"/>
  <c r="X134"/>
  <c r="Y134" s="1"/>
  <c r="N18" i="4"/>
  <c r="N73" i="5"/>
  <c r="N69"/>
  <c r="N14" i="6"/>
  <c r="N27"/>
  <c r="AE38" i="21"/>
  <c r="X62" i="33"/>
  <c r="V65"/>
  <c r="X65" s="1"/>
  <c r="V27"/>
  <c r="V64" s="1"/>
  <c r="W27"/>
  <c r="W64" s="1"/>
  <c r="X64" s="1"/>
  <c r="W146" i="2"/>
  <c r="AA146" s="1"/>
  <c r="S135"/>
  <c r="W135" s="1"/>
  <c r="AA135" s="1"/>
  <c r="S110"/>
  <c r="U110" s="1"/>
  <c r="W50"/>
  <c r="AA50" s="1"/>
  <c r="W49"/>
  <c r="AA49" s="1"/>
  <c r="W44"/>
  <c r="AA44" s="1"/>
  <c r="AA28"/>
  <c r="S19"/>
  <c r="W19" s="1"/>
  <c r="AA19" s="1"/>
  <c r="H62" i="3"/>
  <c r="H38"/>
  <c r="P18"/>
  <c r="B69"/>
  <c r="D69" s="1"/>
  <c r="H69" s="1"/>
  <c r="L69" s="1"/>
  <c r="P69" s="1"/>
  <c r="P10" i="6"/>
  <c r="O28"/>
  <c r="P28" s="1"/>
  <c r="E62" i="39"/>
  <c r="E141" s="1"/>
  <c r="H58" i="22"/>
  <c r="F60"/>
  <c r="H55"/>
  <c r="S38" i="33"/>
  <c r="AE38" s="1"/>
  <c r="AG38" s="1"/>
  <c r="G40"/>
  <c r="Z147" i="2"/>
  <c r="Z153" s="1"/>
  <c r="AA153" s="1"/>
  <c r="Z127"/>
  <c r="E35" i="39"/>
  <c r="E43"/>
  <c r="Z64" i="33"/>
  <c r="AC64" s="1"/>
  <c r="AC57"/>
  <c r="G27"/>
  <c r="S27" s="1"/>
  <c r="AE27" s="1"/>
  <c r="S15"/>
  <c r="AE15" s="1"/>
  <c r="F12" i="40"/>
  <c r="F24" s="1"/>
  <c r="F62" s="1"/>
  <c r="G10"/>
  <c r="G12" s="1"/>
  <c r="G24" s="1"/>
  <c r="H53" i="22"/>
  <c r="F46"/>
  <c r="H46" s="1"/>
  <c r="L46" s="1"/>
  <c r="P46" s="1"/>
  <c r="F38"/>
  <c r="Z102" i="1"/>
  <c r="O25" i="4"/>
  <c r="Z31" i="1"/>
  <c r="Z75" s="1"/>
  <c r="Z176" i="2"/>
  <c r="AA176" s="1"/>
  <c r="O32" i="21"/>
  <c r="O39" s="1"/>
  <c r="AF39"/>
  <c r="AG61" i="33"/>
  <c r="AG60"/>
  <c r="AG48"/>
  <c r="AG17"/>
  <c r="AG15"/>
  <c r="N23" i="41"/>
  <c r="E37" i="40"/>
  <c r="E47" s="1"/>
  <c r="E63" s="1"/>
  <c r="AC55" i="33"/>
  <c r="G62"/>
  <c r="P57"/>
  <c r="N57"/>
  <c r="T59" i="22" l="1"/>
  <c r="R59"/>
  <c r="P31"/>
  <c r="N31"/>
  <c r="P42"/>
  <c r="N42"/>
  <c r="P64" i="33"/>
  <c r="T57"/>
  <c r="AF57" s="1"/>
  <c r="H38" i="22"/>
  <c r="F47"/>
  <c r="H47" s="1"/>
  <c r="L47" s="1"/>
  <c r="P47" s="1"/>
  <c r="T47" s="1"/>
  <c r="L53"/>
  <c r="J53"/>
  <c r="L55"/>
  <c r="J55"/>
  <c r="L58"/>
  <c r="J58"/>
  <c r="L38" i="3"/>
  <c r="J38"/>
  <c r="S101" i="2"/>
  <c r="Q101"/>
  <c r="P19" i="22"/>
  <c r="N19"/>
  <c r="X120" i="1"/>
  <c r="D51" i="5"/>
  <c r="B109"/>
  <c r="D109" s="1"/>
  <c r="H109" s="1"/>
  <c r="J109" s="1"/>
  <c r="P102"/>
  <c r="N102"/>
  <c r="P106"/>
  <c r="N106"/>
  <c r="P20" i="6"/>
  <c r="N20"/>
  <c r="P26"/>
  <c r="N26"/>
  <c r="AA17" i="1"/>
  <c r="Y17"/>
  <c r="AA27"/>
  <c r="Y27"/>
  <c r="AA43"/>
  <c r="Y43"/>
  <c r="S57"/>
  <c r="Q57"/>
  <c r="AA156"/>
  <c r="Y156"/>
  <c r="O30"/>
  <c r="S30" s="1"/>
  <c r="W30" s="1"/>
  <c r="AA30" s="1"/>
  <c r="M119"/>
  <c r="W101"/>
  <c r="U101"/>
  <c r="AC13" i="21"/>
  <c r="AA13"/>
  <c r="AC36"/>
  <c r="AA36"/>
  <c r="I63" i="22"/>
  <c r="J47"/>
  <c r="D32" i="21"/>
  <c r="B39"/>
  <c r="D39" s="1"/>
  <c r="X75" i="1"/>
  <c r="J108" i="5"/>
  <c r="L108"/>
  <c r="AA41" i="1"/>
  <c r="Y41"/>
  <c r="AC11" i="21"/>
  <c r="AA11"/>
  <c r="W31"/>
  <c r="Y31"/>
  <c r="J12"/>
  <c r="L12"/>
  <c r="I62" i="22"/>
  <c r="P21"/>
  <c r="N21"/>
  <c r="P34"/>
  <c r="N34"/>
  <c r="P43"/>
  <c r="N43"/>
  <c r="P20" i="3"/>
  <c r="N20"/>
  <c r="P22"/>
  <c r="N22"/>
  <c r="P26"/>
  <c r="N26"/>
  <c r="P30"/>
  <c r="N30"/>
  <c r="P44"/>
  <c r="N44"/>
  <c r="P59"/>
  <c r="N59"/>
  <c r="P63"/>
  <c r="N63"/>
  <c r="AA12" i="2"/>
  <c r="Y12"/>
  <c r="AA38"/>
  <c r="Y38"/>
  <c r="AA40"/>
  <c r="Y40"/>
  <c r="AA174"/>
  <c r="Y174"/>
  <c r="W169"/>
  <c r="U169"/>
  <c r="AA65"/>
  <c r="Y65"/>
  <c r="AA95"/>
  <c r="Y95"/>
  <c r="AA106"/>
  <c r="Y106"/>
  <c r="J12" i="5"/>
  <c r="L12"/>
  <c r="P14"/>
  <c r="N14"/>
  <c r="N17"/>
  <c r="P17"/>
  <c r="P19"/>
  <c r="N19"/>
  <c r="J24"/>
  <c r="L24"/>
  <c r="J26"/>
  <c r="L26"/>
  <c r="J28"/>
  <c r="L28"/>
  <c r="J30"/>
  <c r="L30"/>
  <c r="J32"/>
  <c r="L32"/>
  <c r="J53"/>
  <c r="L53"/>
  <c r="J55"/>
  <c r="L55"/>
  <c r="J57"/>
  <c r="L57"/>
  <c r="J59"/>
  <c r="L59"/>
  <c r="J61"/>
  <c r="L61"/>
  <c r="J63"/>
  <c r="L63"/>
  <c r="L65"/>
  <c r="J65"/>
  <c r="P96"/>
  <c r="N96"/>
  <c r="N99"/>
  <c r="P99"/>
  <c r="P15" i="6"/>
  <c r="N15"/>
  <c r="P24"/>
  <c r="N24"/>
  <c r="J17" i="4"/>
  <c r="L17"/>
  <c r="W35" i="1"/>
  <c r="U35"/>
  <c r="AA39"/>
  <c r="Y39"/>
  <c r="AA48"/>
  <c r="Y48"/>
  <c r="AA59"/>
  <c r="Y59"/>
  <c r="AA61"/>
  <c r="Y61"/>
  <c r="W79"/>
  <c r="U79"/>
  <c r="W84"/>
  <c r="U84"/>
  <c r="U93"/>
  <c r="W93"/>
  <c r="S125"/>
  <c r="Q125"/>
  <c r="L22" i="22"/>
  <c r="J22"/>
  <c r="S144" i="1"/>
  <c r="Q144"/>
  <c r="P119"/>
  <c r="Q30"/>
  <c r="P31"/>
  <c r="P153" i="2"/>
  <c r="Q153" s="1"/>
  <c r="L9" i="21"/>
  <c r="J9"/>
  <c r="L11"/>
  <c r="J11"/>
  <c r="L13"/>
  <c r="J13"/>
  <c r="L25"/>
  <c r="J25"/>
  <c r="L27"/>
  <c r="J27"/>
  <c r="S45" i="2"/>
  <c r="Q45"/>
  <c r="Q63" i="22"/>
  <c r="R47"/>
  <c r="Q62"/>
  <c r="M63"/>
  <c r="N47"/>
  <c r="W122" i="1"/>
  <c r="AA122" s="1"/>
  <c r="U122"/>
  <c r="Q162"/>
  <c r="S162"/>
  <c r="W162" s="1"/>
  <c r="AA162" s="1"/>
  <c r="U32" i="21"/>
  <c r="Y32" s="1"/>
  <c r="AC32" s="1"/>
  <c r="AG32" s="1"/>
  <c r="S39"/>
  <c r="U39" s="1"/>
  <c r="Y39" s="1"/>
  <c r="AC39" s="1"/>
  <c r="AG39" s="1"/>
  <c r="L14" i="22"/>
  <c r="J14"/>
  <c r="P31" i="21"/>
  <c r="N31"/>
  <c r="N37"/>
  <c r="P37"/>
  <c r="N24"/>
  <c r="P24"/>
  <c r="N28"/>
  <c r="P28"/>
  <c r="N64" i="33"/>
  <c r="R57"/>
  <c r="AD57" s="1"/>
  <c r="AG57" s="1"/>
  <c r="Q57"/>
  <c r="S62"/>
  <c r="AE62" s="1"/>
  <c r="AG62" s="1"/>
  <c r="I62"/>
  <c r="U62" s="1"/>
  <c r="T46" i="22"/>
  <c r="R46"/>
  <c r="G49" i="33"/>
  <c r="S40"/>
  <c r="AE40" s="1"/>
  <c r="AG40" s="1"/>
  <c r="I40"/>
  <c r="U40" s="1"/>
  <c r="F63" i="22"/>
  <c r="H63" s="1"/>
  <c r="L63" s="1"/>
  <c r="P63" s="1"/>
  <c r="T63" s="1"/>
  <c r="H60"/>
  <c r="L62" i="3"/>
  <c r="J62"/>
  <c r="L17" i="22"/>
  <c r="J17"/>
  <c r="S25" i="33"/>
  <c r="AE25" s="1"/>
  <c r="AG25" s="1"/>
  <c r="I25"/>
  <c r="P104" i="5"/>
  <c r="N104"/>
  <c r="P9" i="6"/>
  <c r="N9"/>
  <c r="P22"/>
  <c r="N22"/>
  <c r="AA22" i="1"/>
  <c r="Y22"/>
  <c r="AA38"/>
  <c r="Y38"/>
  <c r="AA108"/>
  <c r="Y108"/>
  <c r="Z39" i="21"/>
  <c r="AA39" s="1"/>
  <c r="I39"/>
  <c r="AC9"/>
  <c r="AA9"/>
  <c r="AC27"/>
  <c r="AA27"/>
  <c r="X119" i="1"/>
  <c r="Y30"/>
  <c r="AA25"/>
  <c r="Y25"/>
  <c r="AA36"/>
  <c r="Y36"/>
  <c r="AA49"/>
  <c r="Y49"/>
  <c r="P16" i="4"/>
  <c r="L25"/>
  <c r="P25" s="1"/>
  <c r="P22"/>
  <c r="N22"/>
  <c r="T31" i="1"/>
  <c r="U30"/>
  <c r="T119"/>
  <c r="AC25" i="21"/>
  <c r="AA25"/>
  <c r="L26"/>
  <c r="J26"/>
  <c r="W32"/>
  <c r="V39"/>
  <c r="W39" s="1"/>
  <c r="O147" i="2"/>
  <c r="S147" s="1"/>
  <c r="N153"/>
  <c r="O153" s="1"/>
  <c r="AE32" i="21"/>
  <c r="AD39"/>
  <c r="AE39" s="1"/>
  <c r="X162" i="1"/>
  <c r="Y162" s="1"/>
  <c r="Y148"/>
  <c r="M62" i="22"/>
  <c r="F11"/>
  <c r="M120" i="1"/>
  <c r="O118"/>
  <c r="J18" i="22"/>
  <c r="L18"/>
  <c r="S129" i="1"/>
  <c r="Q129"/>
  <c r="T27" i="33"/>
  <c r="AF27" s="1"/>
  <c r="H64"/>
  <c r="T64" s="1"/>
  <c r="AF64" s="1"/>
  <c r="L30" i="22"/>
  <c r="J30"/>
  <c r="P36"/>
  <c r="N36"/>
  <c r="P41"/>
  <c r="N41"/>
  <c r="T52"/>
  <c r="R52"/>
  <c r="L19" i="3"/>
  <c r="J19"/>
  <c r="L21"/>
  <c r="J21"/>
  <c r="P24"/>
  <c r="N24"/>
  <c r="P28"/>
  <c r="N28"/>
  <c r="P39"/>
  <c r="N39"/>
  <c r="P46"/>
  <c r="N46"/>
  <c r="P61"/>
  <c r="N61"/>
  <c r="P8"/>
  <c r="N8"/>
  <c r="AA32" i="2"/>
  <c r="Y32"/>
  <c r="AA34"/>
  <c r="Y34"/>
  <c r="W173"/>
  <c r="U173"/>
  <c r="AA67"/>
  <c r="Y67"/>
  <c r="R153"/>
  <c r="S148"/>
  <c r="AA126"/>
  <c r="Y126"/>
  <c r="P35" i="5"/>
  <c r="N35"/>
  <c r="L25" i="6"/>
  <c r="J25"/>
  <c r="P10" i="4"/>
  <c r="N10"/>
  <c r="P12"/>
  <c r="N12"/>
  <c r="W16" i="1"/>
  <c r="U16"/>
  <c r="W18"/>
  <c r="U18"/>
  <c r="AA64"/>
  <c r="Y64"/>
  <c r="AA68"/>
  <c r="Y68"/>
  <c r="AA92"/>
  <c r="Y92"/>
  <c r="U105"/>
  <c r="W105"/>
  <c r="L15" i="22"/>
  <c r="J15"/>
  <c r="L24"/>
  <c r="J24"/>
  <c r="W142" i="1"/>
  <c r="U142"/>
  <c r="S161"/>
  <c r="W161" s="1"/>
  <c r="Q161"/>
  <c r="AA12"/>
  <c r="Y12"/>
  <c r="AG19" i="21"/>
  <c r="AE19"/>
  <c r="E69" i="3"/>
  <c r="F69" s="1"/>
  <c r="F18"/>
  <c r="L23" i="21"/>
  <c r="J23"/>
  <c r="AG8"/>
  <c r="AE8"/>
  <c r="J36"/>
  <c r="L36"/>
  <c r="L8"/>
  <c r="J8"/>
  <c r="N10"/>
  <c r="P10"/>
  <c r="AG27" i="33"/>
  <c r="Y135" i="2"/>
  <c r="Y19"/>
  <c r="V31" i="1"/>
  <c r="V75" s="1"/>
  <c r="T153" i="2"/>
  <c r="Y44"/>
  <c r="U161" i="1"/>
  <c r="M31"/>
  <c r="F109" i="5"/>
  <c r="G64" i="33"/>
  <c r="Y130" i="1"/>
  <c r="X27" i="33"/>
  <c r="Y122" i="1"/>
  <c r="S127" i="2"/>
  <c r="U127" s="1"/>
  <c r="N19" i="21"/>
  <c r="Y146" i="2"/>
  <c r="U135"/>
  <c r="U95"/>
  <c r="U19"/>
  <c r="T162" i="1"/>
  <c r="U162" s="1"/>
  <c r="U134"/>
  <c r="U130"/>
  <c r="U51"/>
  <c r="W115"/>
  <c r="F25" i="4"/>
  <c r="Q134" i="1"/>
  <c r="Q127" i="2"/>
  <c r="N38" i="21"/>
  <c r="N69" i="3"/>
  <c r="Y41" i="2"/>
  <c r="Y50"/>
  <c r="AA38" i="21"/>
  <c r="J31"/>
  <c r="J77" i="5"/>
  <c r="U148" i="1"/>
  <c r="J46" i="22"/>
  <c r="Q115" i="1"/>
  <c r="F23" i="22"/>
  <c r="H23" s="1"/>
  <c r="AA102" i="1"/>
  <c r="Q95" i="2"/>
  <c r="U57" i="33"/>
  <c r="N16" i="4"/>
  <c r="N46" i="22"/>
  <c r="I28" i="6"/>
  <c r="J28" s="1"/>
  <c r="J69" i="3"/>
  <c r="J19" i="22"/>
  <c r="Q122" i="1"/>
  <c r="U115"/>
  <c r="Y121"/>
  <c r="T42" i="22" l="1"/>
  <c r="R42"/>
  <c r="T31"/>
  <c r="R31"/>
  <c r="N63"/>
  <c r="R63"/>
  <c r="J63"/>
  <c r="L23"/>
  <c r="J23"/>
  <c r="AA115" i="1"/>
  <c r="Y115"/>
  <c r="S64" i="33"/>
  <c r="AE64" s="1"/>
  <c r="I64"/>
  <c r="M75" i="1"/>
  <c r="O75" s="1"/>
  <c r="S75" s="1"/>
  <c r="W75" s="1"/>
  <c r="AA75" s="1"/>
  <c r="O31"/>
  <c r="S31" s="1"/>
  <c r="W31" s="1"/>
  <c r="P36" i="21"/>
  <c r="N36"/>
  <c r="AA105" i="1"/>
  <c r="Y105"/>
  <c r="W148" i="2"/>
  <c r="U148"/>
  <c r="P18" i="22"/>
  <c r="N18"/>
  <c r="S118" i="1"/>
  <c r="Q118"/>
  <c r="H11" i="22"/>
  <c r="W147" i="2"/>
  <c r="U147"/>
  <c r="P26" i="21"/>
  <c r="N26"/>
  <c r="AG25"/>
  <c r="AE25"/>
  <c r="U25" i="33"/>
  <c r="I27"/>
  <c r="U27" s="1"/>
  <c r="L60" i="22"/>
  <c r="J60"/>
  <c r="S49" i="33"/>
  <c r="AE49" s="1"/>
  <c r="AG49" s="1"/>
  <c r="I49"/>
  <c r="U49" s="1"/>
  <c r="R64"/>
  <c r="AD64" s="1"/>
  <c r="AG64" s="1"/>
  <c r="Q64"/>
  <c r="P14" i="22"/>
  <c r="N14"/>
  <c r="W45" i="2"/>
  <c r="S53"/>
  <c r="U45"/>
  <c r="P27" i="21"/>
  <c r="N27"/>
  <c r="P25"/>
  <c r="N25"/>
  <c r="P13"/>
  <c r="N13"/>
  <c r="P11"/>
  <c r="N11"/>
  <c r="P9"/>
  <c r="N9"/>
  <c r="AA93" i="1"/>
  <c r="Y93"/>
  <c r="P17" i="4"/>
  <c r="N17"/>
  <c r="N63" i="5"/>
  <c r="P63"/>
  <c r="P61"/>
  <c r="N61"/>
  <c r="N59"/>
  <c r="P59"/>
  <c r="P57"/>
  <c r="N57"/>
  <c r="N55"/>
  <c r="P55"/>
  <c r="P53"/>
  <c r="N53"/>
  <c r="P32"/>
  <c r="N32"/>
  <c r="P30"/>
  <c r="N30"/>
  <c r="P28"/>
  <c r="N28"/>
  <c r="N26"/>
  <c r="P26"/>
  <c r="P24"/>
  <c r="N24"/>
  <c r="N12"/>
  <c r="P12"/>
  <c r="AA169" i="2"/>
  <c r="Y169"/>
  <c r="R43" i="22"/>
  <c r="T43"/>
  <c r="T34"/>
  <c r="R34"/>
  <c r="R21"/>
  <c r="T21"/>
  <c r="AG11" i="21"/>
  <c r="AE11"/>
  <c r="H32"/>
  <c r="F32"/>
  <c r="AG36"/>
  <c r="AE36"/>
  <c r="AG13"/>
  <c r="AE13"/>
  <c r="AA101" i="1"/>
  <c r="Y101"/>
  <c r="W57"/>
  <c r="U57"/>
  <c r="H51" i="5"/>
  <c r="J51" s="1"/>
  <c r="F51"/>
  <c r="X135" i="1"/>
  <c r="T19" i="22"/>
  <c r="R19"/>
  <c r="W101" i="2"/>
  <c r="U101"/>
  <c r="N38" i="3"/>
  <c r="P38"/>
  <c r="P58" i="22"/>
  <c r="N58"/>
  <c r="P55"/>
  <c r="N55"/>
  <c r="P53"/>
  <c r="N53"/>
  <c r="L38"/>
  <c r="J38"/>
  <c r="P8" i="21"/>
  <c r="N8"/>
  <c r="P23"/>
  <c r="N23"/>
  <c r="AA161" i="1"/>
  <c r="Y161"/>
  <c r="AA142"/>
  <c r="Y142"/>
  <c r="P24" i="22"/>
  <c r="N24"/>
  <c r="P15"/>
  <c r="N15"/>
  <c r="AA18" i="1"/>
  <c r="Y18"/>
  <c r="Y16"/>
  <c r="AA16"/>
  <c r="P25" i="6"/>
  <c r="N25"/>
  <c r="AA173" i="2"/>
  <c r="Y173"/>
  <c r="P21" i="3"/>
  <c r="N21"/>
  <c r="P19"/>
  <c r="N19"/>
  <c r="R41" i="22"/>
  <c r="T41"/>
  <c r="T36"/>
  <c r="R36"/>
  <c r="P30"/>
  <c r="N30"/>
  <c r="W129" i="1"/>
  <c r="U129"/>
  <c r="M135"/>
  <c r="O120"/>
  <c r="S120" s="1"/>
  <c r="W120" s="1"/>
  <c r="AA120" s="1"/>
  <c r="T120"/>
  <c r="T75"/>
  <c r="U31"/>
  <c r="AG27" i="21"/>
  <c r="AE27"/>
  <c r="AG9"/>
  <c r="AE9"/>
  <c r="P17" i="22"/>
  <c r="N17"/>
  <c r="P62" i="3"/>
  <c r="N62"/>
  <c r="Q31" i="1"/>
  <c r="P75"/>
  <c r="Q75" s="1"/>
  <c r="P120"/>
  <c r="W144"/>
  <c r="U144"/>
  <c r="N22" i="22"/>
  <c r="P22"/>
  <c r="W125" i="1"/>
  <c r="U125"/>
  <c r="AA84"/>
  <c r="Y84"/>
  <c r="AA79"/>
  <c r="Y79"/>
  <c r="AA35"/>
  <c r="Y35"/>
  <c r="P65" i="5"/>
  <c r="N65"/>
  <c r="P12" i="21"/>
  <c r="N12"/>
  <c r="AC31"/>
  <c r="AA31"/>
  <c r="P108" i="5"/>
  <c r="N108"/>
  <c r="H39" i="21"/>
  <c r="L39" s="1"/>
  <c r="F39"/>
  <c r="F12" i="22"/>
  <c r="H12" s="1"/>
  <c r="O119" i="1"/>
  <c r="S119" s="1"/>
  <c r="W119" s="1"/>
  <c r="AA119" s="1"/>
  <c r="G65" i="33"/>
  <c r="N25" i="4"/>
  <c r="S153" i="2"/>
  <c r="U153" s="1"/>
  <c r="J39" i="21"/>
  <c r="AA32"/>
  <c r="Q147" i="2"/>
  <c r="Y75" i="1"/>
  <c r="T22" i="22" l="1"/>
  <c r="R22"/>
  <c r="P135" i="1"/>
  <c r="Q120"/>
  <c r="T135"/>
  <c r="U120"/>
  <c r="AA45" i="2"/>
  <c r="Y45"/>
  <c r="T14" i="22"/>
  <c r="R14"/>
  <c r="P60"/>
  <c r="N60"/>
  <c r="AA147" i="2"/>
  <c r="Y147"/>
  <c r="L11" i="22"/>
  <c r="J11"/>
  <c r="W118" i="1"/>
  <c r="U118"/>
  <c r="T18" i="22"/>
  <c r="R18"/>
  <c r="AA148" i="2"/>
  <c r="Y148"/>
  <c r="P23" i="22"/>
  <c r="N23"/>
  <c r="S65" i="33"/>
  <c r="AE65" s="1"/>
  <c r="AG65" s="1"/>
  <c r="I65"/>
  <c r="U65" s="1"/>
  <c r="L12" i="22"/>
  <c r="J12"/>
  <c r="P39" i="21"/>
  <c r="N39"/>
  <c r="AG31"/>
  <c r="AE31"/>
  <c r="AA125" i="1"/>
  <c r="Y125"/>
  <c r="AA144"/>
  <c r="Y144"/>
  <c r="T17" i="22"/>
  <c r="R17"/>
  <c r="O135" i="1"/>
  <c r="S135" s="1"/>
  <c r="W135" s="1"/>
  <c r="AA135" s="1"/>
  <c r="M163"/>
  <c r="O163" s="1"/>
  <c r="S163" s="1"/>
  <c r="W163" s="1"/>
  <c r="AA163" s="1"/>
  <c r="AA129"/>
  <c r="Y129"/>
  <c r="T30" i="22"/>
  <c r="R30"/>
  <c r="R15"/>
  <c r="T15"/>
  <c r="T24"/>
  <c r="R24"/>
  <c r="P38"/>
  <c r="N38"/>
  <c r="T53"/>
  <c r="R53"/>
  <c r="T55"/>
  <c r="R55"/>
  <c r="T58"/>
  <c r="R58"/>
  <c r="AA101" i="2"/>
  <c r="Y101"/>
  <c r="W127"/>
  <c r="X163" i="1"/>
  <c r="Y163" s="1"/>
  <c r="AA57"/>
  <c r="Y57"/>
  <c r="L32" i="21"/>
  <c r="J32"/>
  <c r="W53" i="2"/>
  <c r="U53"/>
  <c r="AA31" i="1"/>
  <c r="Y31"/>
  <c r="Y120"/>
  <c r="Y119"/>
  <c r="Q119"/>
  <c r="U75"/>
  <c r="U119"/>
  <c r="F13" i="22"/>
  <c r="U64" i="33"/>
  <c r="H13" i="22" l="1"/>
  <c r="F25"/>
  <c r="AA127" i="2"/>
  <c r="Y127"/>
  <c r="T38" i="22"/>
  <c r="R38"/>
  <c r="P12"/>
  <c r="N12"/>
  <c r="T23"/>
  <c r="R23"/>
  <c r="AA118" i="1"/>
  <c r="Y118"/>
  <c r="P11" i="22"/>
  <c r="N11"/>
  <c r="T60"/>
  <c r="R60"/>
  <c r="T163" i="1"/>
  <c r="U163" s="1"/>
  <c r="U135"/>
  <c r="P163"/>
  <c r="Q163" s="1"/>
  <c r="Q135"/>
  <c r="AA53" i="2"/>
  <c r="Y53"/>
  <c r="P32" i="21"/>
  <c r="N32"/>
  <c r="Y135" i="1"/>
  <c r="T11" i="22" l="1"/>
  <c r="R11"/>
  <c r="T12"/>
  <c r="R12"/>
  <c r="L13"/>
  <c r="J13"/>
  <c r="H25"/>
  <c r="F62"/>
  <c r="H62" s="1"/>
  <c r="L25" l="1"/>
  <c r="N25" s="1"/>
  <c r="J25"/>
  <c r="P13"/>
  <c r="N13"/>
  <c r="L62"/>
  <c r="J62"/>
  <c r="P62" l="1"/>
  <c r="N62"/>
  <c r="T13"/>
  <c r="P25"/>
  <c r="R13"/>
  <c r="T62" l="1"/>
  <c r="R62"/>
  <c r="T25"/>
  <c r="R25"/>
</calcChain>
</file>

<file path=xl/sharedStrings.xml><?xml version="1.0" encoding="utf-8"?>
<sst xmlns="http://schemas.openxmlformats.org/spreadsheetml/2006/main" count="2039" uniqueCount="898">
  <si>
    <r>
      <t>10 melléklet a 20/2013.(XII.20.) önkormányzati rendelethez</t>
    </r>
    <r>
      <rPr>
        <b/>
        <u/>
        <vertAlign val="superscript"/>
        <sz val="10"/>
        <rFont val="Arial"/>
        <family val="2"/>
        <charset val="238"/>
      </rPr>
      <t>1</t>
    </r>
  </si>
  <si>
    <r>
      <t>11/a melléklet a 20/2013.(XII.20.) önkormányzati rendelethez</t>
    </r>
    <r>
      <rPr>
        <b/>
        <u/>
        <vertAlign val="superscript"/>
        <sz val="12"/>
        <rFont val="Times New Roman"/>
        <family val="1"/>
        <charset val="238"/>
      </rPr>
      <t>1</t>
    </r>
  </si>
  <si>
    <r>
      <t>11/b melléklet 20/2013.(XII.20.) önkormányzati rendelethez</t>
    </r>
    <r>
      <rPr>
        <b/>
        <u/>
        <vertAlign val="superscript"/>
        <sz val="12"/>
        <rFont val="Arial"/>
        <family val="2"/>
        <charset val="238"/>
      </rPr>
      <t>1</t>
    </r>
  </si>
  <si>
    <r>
      <t>1</t>
    </r>
    <r>
      <rPr>
        <sz val="9"/>
        <rFont val="Arial CE"/>
        <family val="2"/>
        <charset val="238"/>
      </rPr>
      <t>módosította a 20/2013.(XII.20.)sz. rendelet - rendelkezéseit a 2013. évi költségvetési évre kell alkalmazni</t>
    </r>
  </si>
  <si>
    <t>Müködési és felhalmozási célú bevételek és kiadások alakulása 2013 - 2015. évben</t>
  </si>
  <si>
    <t>Q</t>
  </si>
  <si>
    <t>ebből: KEOP-4.2.0/B. Termál hőell.rendsz.fejl.</t>
  </si>
  <si>
    <t xml:space="preserve">Finanszírozási bevételek </t>
  </si>
  <si>
    <r>
      <t>6 melléklet a 6/2013.(III.22.) önkormányzati rendelethez</t>
    </r>
    <r>
      <rPr>
        <b/>
        <u/>
        <vertAlign val="superscript"/>
        <sz val="10"/>
        <rFont val="Arial CE"/>
        <charset val="238"/>
      </rPr>
      <t>1</t>
    </r>
  </si>
  <si>
    <r>
      <t>1</t>
    </r>
    <r>
      <rPr>
        <sz val="8"/>
        <rFont val="Arial CE"/>
        <family val="2"/>
        <charset val="238"/>
      </rPr>
      <t>módosította a 6/2013.(III.22.)sz. rendelet - rendelkezéseit a 2013. évi költségvetési évre kell alkalmazni</t>
    </r>
  </si>
  <si>
    <t>9 melléklet a 1/2013.(II.22.) önkormányzati rendelethez</t>
  </si>
  <si>
    <t>2013. Évi előirányzat-felhasználási ütemterv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</si>
  <si>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</si>
  <si>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</si>
  <si>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</si>
  <si>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</si>
  <si>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</si>
  <si>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</si>
  <si>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</si>
  <si>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</si>
  <si>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</si>
  <si>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</si>
  <si>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</si>
  <si>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</si>
  <si>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</t>
  </si>
  <si>
    <t>1.Saját bevétel</t>
  </si>
  <si>
    <t>2.Átvett pénzeszk.</t>
  </si>
  <si>
    <t>3.Támogatás</t>
  </si>
  <si>
    <t>4.Hitel,kötvény</t>
  </si>
  <si>
    <t>Pénzforg.nélküli bevétel</t>
  </si>
  <si>
    <t>5.Előző havi záró</t>
  </si>
  <si>
    <t>6.Bevételek összesen</t>
  </si>
  <si>
    <t>Kiadások</t>
  </si>
  <si>
    <t>7.Működési kiadás dologi nélk.</t>
  </si>
  <si>
    <t>8.Dologi kiadások</t>
  </si>
  <si>
    <t>9.Adósságszolgálat</t>
  </si>
  <si>
    <t>10.Felujitások</t>
  </si>
  <si>
    <t>11. Beruházások</t>
  </si>
  <si>
    <t>12. Felhalm.pe.átadás</t>
  </si>
  <si>
    <t>12.Tartalék</t>
  </si>
  <si>
    <t>13.Kiadások összesen</t>
  </si>
  <si>
    <t>14.Egyenleg</t>
  </si>
  <si>
    <t>12 melléklet a 1/2013.(II.22.) önkormányzati rendelethez</t>
  </si>
  <si>
    <t>Európai Uniós támogatással megvalósuló projektek 2013. évben</t>
  </si>
  <si>
    <t>KT határozat száma</t>
  </si>
  <si>
    <t>Tárgy</t>
  </si>
  <si>
    <t>Teljes költségvetés (eFt)</t>
  </si>
  <si>
    <t>Teljes saját forrás (eFt)</t>
  </si>
  <si>
    <t xml:space="preserve">2013. évi saját forrás </t>
  </si>
  <si>
    <t>2013. évi ÖM saját forrás kiegészítés (BM Önerő Alap)</t>
  </si>
  <si>
    <t>ÖM saját forrás kiegészítés (BM Önerő Alap)</t>
  </si>
  <si>
    <t>Új EU Önerő Alap</t>
  </si>
  <si>
    <t>Pályázati forrás</t>
  </si>
  <si>
    <t>Összes forrás</t>
  </si>
  <si>
    <t>400/2010.                (VI.04.)</t>
  </si>
  <si>
    <t>Szarvas és Gyomaendrőd közötti biztonságos kerékpárút építése  KÖZOP-3.2.0/c-08-2010-0007</t>
  </si>
  <si>
    <t>550/2011.                 (IX.22.)</t>
  </si>
  <si>
    <t>Szarvas Város szennyvíztisztító rendszerének komplex fejlesztése KEOP-1.2.0/B/10-2010-0036</t>
  </si>
  <si>
    <t>3/2011.               (I.06.)</t>
  </si>
  <si>
    <t>Szarvas kistérségi székhely központjának integrált fejlesztése (Városrehabilitáció)                                   DAOP-5.1.2/A-09-2F-2011-0003</t>
  </si>
  <si>
    <t>413/2012. (VI.21.)</t>
  </si>
  <si>
    <t>522/2007.           (XI.22.)</t>
  </si>
  <si>
    <t>58/2010.          (I.21.)</t>
  </si>
  <si>
    <t>Megyei belvíz (Belvízrendezés az élhetőbb településekért, Belvíz II. ütem)                                                           DAOP-5.2.1/D-2008-0002</t>
  </si>
  <si>
    <t>651/2012. (X.18.)</t>
  </si>
  <si>
    <t>179/2012. (III.22.)</t>
  </si>
  <si>
    <t>A Zöldpázsit utcai óvoda bővítése az esélyegyenlőség jegyében DAOP-4.2.1-11-2012-0022</t>
  </si>
  <si>
    <t>505/2012. (VIII.16.)</t>
  </si>
  <si>
    <t>Szarvas Város Geotermikus Rendszer fejlesztése I. ütem KEOP-4.2.0/B/11-2011-0034</t>
  </si>
  <si>
    <t>452/2012. (VII.04.)</t>
  </si>
  <si>
    <t>Élőhelyfejlesztések Szarvas és Békésszentandrás települések helyi védett természeti területein (élőhelyvédelmi beavatkozások - zöldterületek) KEOP-7.3.1.2/09-11-2011-0022</t>
  </si>
  <si>
    <t>691/2009, 781/2012</t>
  </si>
  <si>
    <t>Ivóvízminőség-javító program KEOP-1.3.0 Szarvasra eső rész</t>
  </si>
  <si>
    <t>Összesen Ft</t>
  </si>
  <si>
    <r>
      <t>Belvízvédelmi rendszer fejlesztése Szarvason (</t>
    </r>
    <r>
      <rPr>
        <i/>
        <sz val="10"/>
        <rFont val="Arial"/>
        <family val="2"/>
        <charset val="238"/>
      </rPr>
      <t>konzorciumos, Szarvas gesztorságával</t>
    </r>
    <r>
      <rPr>
        <sz val="10"/>
        <rFont val="Arial"/>
        <charset val="238"/>
      </rPr>
      <t>)                   DAOP-5.2.1/A-11-2011-0007</t>
    </r>
    <r>
      <rPr>
        <i/>
        <sz val="10"/>
        <rFont val="Arial"/>
        <family val="2"/>
        <charset val="238"/>
      </rPr>
      <t xml:space="preserve"> Szarvasra eső rész</t>
    </r>
  </si>
  <si>
    <r>
      <t xml:space="preserve">Települési szeméttelep-rekultivációs program a Körös-szögben </t>
    </r>
    <r>
      <rPr>
        <i/>
        <sz val="10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a projekt 2012.dec.hóban befejeződött, 2013-ban projektmenedzsment tevékenységhez szükséges hozzájárulás fizetési kötelezettség szerepel a táblázatban</t>
    </r>
    <r>
      <rPr>
        <i/>
        <sz val="10"/>
        <rFont val="Arial"/>
        <family val="2"/>
        <charset val="238"/>
      </rPr>
      <t>)</t>
    </r>
    <r>
      <rPr>
        <sz val="10"/>
        <rFont val="Arial"/>
        <charset val="238"/>
      </rPr>
      <t xml:space="preserve">                                          </t>
    </r>
  </si>
  <si>
    <r>
      <t>Települési szilárdhulladék-gazdálkodási rendszerek fejlesztése (komposztáló) KEOP-7.1.1/1F-2008-0009 Szarvasra eső rész (</t>
    </r>
    <r>
      <rPr>
        <i/>
        <sz val="10"/>
        <rFont val="Arial"/>
        <family val="2"/>
        <charset val="238"/>
      </rPr>
      <t>projekt II. fordulóra van beadva, nincs bírálat</t>
    </r>
    <r>
      <rPr>
        <sz val="10"/>
        <rFont val="Arial"/>
        <charset val="238"/>
      </rPr>
      <t>)</t>
    </r>
  </si>
  <si>
    <t>13 melléklet a 1/2013.(II.22.) önkormányzati rendelethez</t>
  </si>
  <si>
    <t>Kimutatás a közvetett támogatásokról</t>
  </si>
  <si>
    <t>Adónem</t>
  </si>
  <si>
    <t>Az önkormányzat rendeletében foglalt       kedvezmény, mentesség</t>
  </si>
  <si>
    <t>2013. évi      adóbevétel kiesés és támogatás</t>
  </si>
  <si>
    <t xml:space="preserve">A </t>
  </si>
  <si>
    <t>Építményadó 31/2004. (XII. 17.)</t>
  </si>
  <si>
    <t>65. évét betöltött egyedülálló</t>
  </si>
  <si>
    <t>Helyi iparűzési adó 13/1991. (XII. 16.)</t>
  </si>
  <si>
    <t>2,5 mFt adóalapot meg nem haladó vállalkozások</t>
  </si>
  <si>
    <t xml:space="preserve">Lakások és helyiségek bérletére szolgáló 1/2004.(I.23.) rendelet </t>
  </si>
  <si>
    <t>lakbér kedvezmény</t>
  </si>
  <si>
    <t>Támogatás összesen</t>
  </si>
  <si>
    <t>IV. negyedévi rendeletmódosítás</t>
  </si>
  <si>
    <t>538/2013 Mitrovszky kastély tömbbelső és Szabadság úti járda díszvilágítása</t>
  </si>
  <si>
    <t>Turul Mozi digitalizációja</t>
  </si>
  <si>
    <t xml:space="preserve">            ebből: 308/2011 Petőfi iskola épület felújítására vonatkozó engedélyes tervdokumentáció</t>
  </si>
  <si>
    <t>Tartalék összesen 2013.12.31.</t>
  </si>
  <si>
    <r>
      <t xml:space="preserve">407/2011 Szentesi út melletti kerékpárút építés önerő- </t>
    </r>
    <r>
      <rPr>
        <u/>
        <sz val="12"/>
        <rFont val="Times New Roman"/>
        <family val="1"/>
        <charset val="238"/>
      </rPr>
      <t>felhalmozási hitelből</t>
    </r>
  </si>
  <si>
    <r>
      <t xml:space="preserve">475/2011 DAOP Belterületi utak III. önerő - </t>
    </r>
    <r>
      <rPr>
        <u/>
        <sz val="12"/>
        <rFont val="Times New Roman"/>
        <family val="1"/>
        <charset val="238"/>
      </rPr>
      <t>felhalmozási hitelből - 27.750.000</t>
    </r>
  </si>
  <si>
    <t>538/2013 Járási Bíróság Deák utcai homlokzat díszvilágítása</t>
  </si>
  <si>
    <t xml:space="preserve">              680/2013 Petőfi u Iskola felújítása közbeszerzési feladatok ellátására</t>
  </si>
  <si>
    <t>678/2013 Szarvas, Vasút u. 49. sz. alatti ingatlan vételára</t>
  </si>
  <si>
    <t>674/2013 Új polgármesteri hivatal számítógépes és telefonhálózatának kiépítésére</t>
  </si>
  <si>
    <t>674/2013Új polgármesteri hivatalba technikai eszközök átköltöztetése és beüzemelése</t>
  </si>
  <si>
    <t>666/2013 Zöldpázsit utcai Óvoda eszközbeszerzés többletforrása</t>
  </si>
  <si>
    <t>adatok eFt-ban</t>
  </si>
  <si>
    <t>Cím sz.</t>
  </si>
  <si>
    <t>Alcim sz.</t>
  </si>
  <si>
    <t>Jogcim csop. sz.</t>
  </si>
  <si>
    <t>Előir. csop. sz.</t>
  </si>
  <si>
    <t>Kiem ei.sz</t>
  </si>
  <si>
    <t>Előir. sz.</t>
  </si>
  <si>
    <t>Cím neve</t>
  </si>
  <si>
    <t>Alcim neve</t>
  </si>
  <si>
    <t>Jogcim csop.</t>
  </si>
  <si>
    <t>Ei. Csop</t>
  </si>
  <si>
    <t>Kiem.ei. név</t>
  </si>
  <si>
    <t>Előir.név</t>
  </si>
  <si>
    <t>Változás</t>
  </si>
  <si>
    <t>1.</t>
  </si>
  <si>
    <t>Önkormányzat</t>
  </si>
  <si>
    <t>I.</t>
  </si>
  <si>
    <t>Működési bevételek</t>
  </si>
  <si>
    <t>Intézm.működési bevétel</t>
  </si>
  <si>
    <t>2.</t>
  </si>
  <si>
    <t>Önkorm.sajátos műk.bevételei</t>
  </si>
  <si>
    <t xml:space="preserve"> 2.2.</t>
  </si>
  <si>
    <t>Helyi adók</t>
  </si>
  <si>
    <t xml:space="preserve"> 2.2.1.</t>
  </si>
  <si>
    <t xml:space="preserve">Épitményadó </t>
  </si>
  <si>
    <t xml:space="preserve"> 2.2.2.</t>
  </si>
  <si>
    <t>Idegenforgalmi adó</t>
  </si>
  <si>
    <t xml:space="preserve"> 2.2.3.</t>
  </si>
  <si>
    <t>Iparűzési adó</t>
  </si>
  <si>
    <t>Összesen:</t>
  </si>
  <si>
    <t xml:space="preserve"> 2.3.</t>
  </si>
  <si>
    <t>Átengedett központi adók</t>
  </si>
  <si>
    <t xml:space="preserve"> 2.3.1.</t>
  </si>
  <si>
    <t>Gépjárműadó</t>
  </si>
  <si>
    <t xml:space="preserve"> 2.4.</t>
  </si>
  <si>
    <t>Birságok,pótlékok és egyéb bevételek</t>
  </si>
  <si>
    <t xml:space="preserve"> 2.4.1.</t>
  </si>
  <si>
    <t>Birság, pótlék</t>
  </si>
  <si>
    <t xml:space="preserve"> 2.4.2.</t>
  </si>
  <si>
    <t>Környezetvédelmi birság</t>
  </si>
  <si>
    <t xml:space="preserve"> 2.4.3.</t>
  </si>
  <si>
    <t>Egyéb sajátos bevétel</t>
  </si>
  <si>
    <t xml:space="preserve"> 2.4.4.</t>
  </si>
  <si>
    <t>Talajterhelési dij</t>
  </si>
  <si>
    <t>Önk.sajátos bevételei összesen</t>
  </si>
  <si>
    <t>Működési bevételek összesen</t>
  </si>
  <si>
    <t>II.</t>
  </si>
  <si>
    <t>Támogatások</t>
  </si>
  <si>
    <t>Önkormányzatok kv.támogatása</t>
  </si>
  <si>
    <t xml:space="preserve"> 1.1.</t>
  </si>
  <si>
    <t xml:space="preserve"> 1.1.1.</t>
  </si>
  <si>
    <t xml:space="preserve"> 1.1.2.</t>
  </si>
  <si>
    <t xml:space="preserve"> </t>
  </si>
  <si>
    <t xml:space="preserve"> 1.2.</t>
  </si>
  <si>
    <t>Központositott előirányzatok</t>
  </si>
  <si>
    <t xml:space="preserve"> 1.2.1.</t>
  </si>
  <si>
    <t>Lak.közműfejlesztés</t>
  </si>
  <si>
    <t xml:space="preserve"> 1.2.2.</t>
  </si>
  <si>
    <t xml:space="preserve"> 1.2.3.</t>
  </si>
  <si>
    <t xml:space="preserve"> 1.5.</t>
  </si>
  <si>
    <t xml:space="preserve"> 1.6.</t>
  </si>
  <si>
    <t>Támogatások összesen</t>
  </si>
  <si>
    <t>III.</t>
  </si>
  <si>
    <t>Felhalmozási és tőkejellegű bevételek</t>
  </si>
  <si>
    <t>Tárgyi eszk.immateriális javak értékes.</t>
  </si>
  <si>
    <t>Önkorm.sajátos felhalm.és tőkejell.bev.</t>
  </si>
  <si>
    <t>3.</t>
  </si>
  <si>
    <t>Pénzügyi befektetések bevételei</t>
  </si>
  <si>
    <t>Felhalm. és tőkejellegű bevételek összesen</t>
  </si>
  <si>
    <t>IV.</t>
  </si>
  <si>
    <t>Támogatás értékű bevétel</t>
  </si>
  <si>
    <t>Támogatás értékű működési célú pe.átvétel</t>
  </si>
  <si>
    <t>Támogatás értékű felhalmozási célú pe.átvétel</t>
  </si>
  <si>
    <t>Támogatás értékű bevétel összesen</t>
  </si>
  <si>
    <t>V.</t>
  </si>
  <si>
    <t>Véglegesen átvett pénzeszközök</t>
  </si>
  <si>
    <t>Műk.célú pe. átvétel</t>
  </si>
  <si>
    <t>Felhalmozási célú pe.átvétel</t>
  </si>
  <si>
    <t>Véglegesen átvett pénzeszközök összesen:</t>
  </si>
  <si>
    <t>VI.</t>
  </si>
  <si>
    <t>Kölcsönök visszatér.értékpap.értékesit.bevét.</t>
  </si>
  <si>
    <t>Kölcsönök visszatérülése</t>
  </si>
  <si>
    <t>Értékpapir értékesités bevétele</t>
  </si>
  <si>
    <t>Kölcs.visszatér.értékpap.érték.bev.összesen:</t>
  </si>
  <si>
    <t>Önkormányzat összesen</t>
  </si>
  <si>
    <t xml:space="preserve">Polgármeseri Hivatal </t>
  </si>
  <si>
    <t>Intézményi működési bevétel</t>
  </si>
  <si>
    <t>Összesen</t>
  </si>
  <si>
    <t>Működési célú pe. átvétel</t>
  </si>
  <si>
    <t>Felhalmozási célú pe. átvétel</t>
  </si>
  <si>
    <t>Polgármesteri Hivatal összesen</t>
  </si>
  <si>
    <t>4.</t>
  </si>
  <si>
    <t>Tárgyévi költségvetési bevételek jogcimcsoportonként</t>
  </si>
  <si>
    <t xml:space="preserve">Működési bevételek </t>
  </si>
  <si>
    <t>Önkormányzat sajátos műk.bevétele</t>
  </si>
  <si>
    <t>Támogatás értékű bevételek</t>
  </si>
  <si>
    <t>Támogatás értékű bevételek összesen</t>
  </si>
  <si>
    <t>Működési célú pe.átvétel</t>
  </si>
  <si>
    <t>Véglegesen átvett pénzeszközök összesen</t>
  </si>
  <si>
    <t>Tárgyévi költségvetési bevételek mindösszesen</t>
  </si>
  <si>
    <t>Tárgyévi finanszirozási bevételek jogcímcsoportonként</t>
  </si>
  <si>
    <t xml:space="preserve">Önkormányzat </t>
  </si>
  <si>
    <t>VII.</t>
  </si>
  <si>
    <t xml:space="preserve">Hitelek </t>
  </si>
  <si>
    <t>Működési célú hitelek</t>
  </si>
  <si>
    <t>Felhalmozási célú hitelek</t>
  </si>
  <si>
    <t>Kötvénykibocsátás</t>
  </si>
  <si>
    <t>Hitelek összesen</t>
  </si>
  <si>
    <t>VIII.</t>
  </si>
  <si>
    <t>Pénzforgalom nélküli bevételek</t>
  </si>
  <si>
    <t>Előző évi pénzmaradvány igénybevétele</t>
  </si>
  <si>
    <t>Polgármesteri Hivatal</t>
  </si>
  <si>
    <t>Pénzforgalom nélküli bevételek összesen</t>
  </si>
  <si>
    <t>Finanszírozási bevételek összesen</t>
  </si>
  <si>
    <t>Bevételek mindösszesen</t>
  </si>
  <si>
    <t>Működési kiadások</t>
  </si>
  <si>
    <t>Személyi juttatás</t>
  </si>
  <si>
    <t xml:space="preserve"> 1.3.</t>
  </si>
  <si>
    <t>Dologi kiadások</t>
  </si>
  <si>
    <t>Tám.ért.működési célú pe.átadás</t>
  </si>
  <si>
    <t>Működési célú pe.átadás</t>
  </si>
  <si>
    <t xml:space="preserve"> 1.7.</t>
  </si>
  <si>
    <t>Társ.szoc.pol.juttatás</t>
  </si>
  <si>
    <t xml:space="preserve"> 1.8.</t>
  </si>
  <si>
    <t>Kamatfizetési kötelezettség</t>
  </si>
  <si>
    <t xml:space="preserve"> 1.9.</t>
  </si>
  <si>
    <t>Működési tartalék</t>
  </si>
  <si>
    <t xml:space="preserve"> 1.4.</t>
  </si>
  <si>
    <t>Működési kiadások összesen</t>
  </si>
  <si>
    <t>Működési célú tartalék</t>
  </si>
  <si>
    <t>Működési kiadások mindösszesen</t>
  </si>
  <si>
    <t>Felhalmozási kiadások</t>
  </si>
  <si>
    <t xml:space="preserve"> 2.1.</t>
  </si>
  <si>
    <t>Fejlesztési kiadások</t>
  </si>
  <si>
    <t>Tám.ért. felhalm. célú pe.átad.</t>
  </si>
  <si>
    <t>Felhalm.célú pe.átadás</t>
  </si>
  <si>
    <t xml:space="preserve"> 2.5.</t>
  </si>
  <si>
    <t>Pénzügyi befektetések kiadásai</t>
  </si>
  <si>
    <t xml:space="preserve"> 2.6.</t>
  </si>
  <si>
    <t>Fejlesztési célú tartalék</t>
  </si>
  <si>
    <t>Informatikai fejlesztés</t>
  </si>
  <si>
    <t xml:space="preserve"> 2.</t>
  </si>
  <si>
    <t xml:space="preserve">Felhalm.célú pe.átadás </t>
  </si>
  <si>
    <t>Felhalm. kiadások mindösszesen</t>
  </si>
  <si>
    <t xml:space="preserve"> 1.</t>
  </si>
  <si>
    <t>Finanszirozási kiadások</t>
  </si>
  <si>
    <t xml:space="preserve"> 3.1.</t>
  </si>
  <si>
    <t>Felhalmozási hitel törlesztése</t>
  </si>
  <si>
    <t>K&amp;H átvállalt hitelcs.esedékes</t>
  </si>
  <si>
    <t>K&amp;H hitelcsomag 2006.</t>
  </si>
  <si>
    <t xml:space="preserve"> 3.3</t>
  </si>
  <si>
    <t>Kötvény visszaváltás</t>
  </si>
  <si>
    <t>"Szarvas 2017" kötvény visszaváltás</t>
  </si>
  <si>
    <t>"Szarvas 2018" kötvény visszaváltás</t>
  </si>
  <si>
    <t xml:space="preserve"> 3.3.</t>
  </si>
  <si>
    <t>Megnevezés</t>
  </si>
  <si>
    <t>Mód.ei. III.31.</t>
  </si>
  <si>
    <t>Telj. %-a</t>
  </si>
  <si>
    <t>Vasút út 46-48. orvosi rendelők bevételei</t>
  </si>
  <si>
    <t>Önkormányzatok igazgatási tevékenysége</t>
  </si>
  <si>
    <t xml:space="preserve">          - Kamatbevételek</t>
  </si>
  <si>
    <t>Működési célú bevételek</t>
  </si>
  <si>
    <t>Gyomaendrődi hulladékátrakó bérleti díj</t>
  </si>
  <si>
    <t>Vagyonértékesités</t>
  </si>
  <si>
    <t>Osztalékbevétel</t>
  </si>
  <si>
    <t>Felhalmozási és tőkejellegű bevétel</t>
  </si>
  <si>
    <t>Lakossági szennyvizbefizetés</t>
  </si>
  <si>
    <t>Fejlesztési célú pe. átvétel</t>
  </si>
  <si>
    <t>Belvizkár kamatmentes kölcsön visszafiz.</t>
  </si>
  <si>
    <t>Önkorm.bérlakásértékesités</t>
  </si>
  <si>
    <t>Kölcsönök visszatérülése összesen:</t>
  </si>
  <si>
    <t>BEVÉTELEK ÖSSZESEN:</t>
  </si>
  <si>
    <t>Családi ünnepek szervezése</t>
  </si>
  <si>
    <t xml:space="preserve">          - Átszámlázott szolgáltatás</t>
  </si>
  <si>
    <t xml:space="preserve">          - Egyéb bevételek</t>
  </si>
  <si>
    <t>Kistérségi feladat támogatás</t>
  </si>
  <si>
    <t>Ingatlan hasznositás (önkorm.bérlakás)</t>
  </si>
  <si>
    <t>Vizkárelhárítás</t>
  </si>
  <si>
    <t>Város- és községgazdálkodási szolg.</t>
  </si>
  <si>
    <t xml:space="preserve">            - Mezei őrszolgálat</t>
  </si>
  <si>
    <t xml:space="preserve">            - Szúnyog-, kullancs-, patkányirtás</t>
  </si>
  <si>
    <t xml:space="preserve">            - Pályázatokhoz kapcsolódó kiadások</t>
  </si>
  <si>
    <t>Települési vizellátás (közkifolyó, Vizmű)</t>
  </si>
  <si>
    <t>Közvilágitás</t>
  </si>
  <si>
    <t>Csapadékviz átemelő üzemeltetés (áramdij)</t>
  </si>
  <si>
    <t>Lapkiadás</t>
  </si>
  <si>
    <t>Vasút út 46-48. orvosi rendelők fenntartási ktge</t>
  </si>
  <si>
    <t>Egyéb feladatok személyi juttatása</t>
  </si>
  <si>
    <t>Ifjusági és sportfeladatok támogatása</t>
  </si>
  <si>
    <t>Civil szervezetek támogatása</t>
  </si>
  <si>
    <t>Polgárőrség támogatása</t>
  </si>
  <si>
    <t>Közfeladatok ellátásának támogatása (KOMÉP)</t>
  </si>
  <si>
    <t>Önkorm. Tulajdonú GT támogatása</t>
  </si>
  <si>
    <t>Béke u. 1. társasház közös költség</t>
  </si>
  <si>
    <t>O.háza és Térs. Ivóvízjav. Önk. Társ. működési tám.</t>
  </si>
  <si>
    <t>TOURINFORM Iroda működtetése</t>
  </si>
  <si>
    <t>TDM szervezet támogatása</t>
  </si>
  <si>
    <t>Többcélú Kistérség támogatása</t>
  </si>
  <si>
    <t>Többc. Társ. TITÁN program követés</t>
  </si>
  <si>
    <t>Többc. Társ. BMTT tagdíj</t>
  </si>
  <si>
    <t>Többc. Társ. belső ellenőrzési feladatok</t>
  </si>
  <si>
    <t>Többc. Társ. útügyi feladatok</t>
  </si>
  <si>
    <t>Többc. Társ. Szociális intézmény</t>
  </si>
  <si>
    <t>Többc. Társ. Humán Szolgáltató Központ</t>
  </si>
  <si>
    <t>Szlovák Önkormányzat támogatása</t>
  </si>
  <si>
    <t>Cigány Önkormányzat támogatása</t>
  </si>
  <si>
    <t>Körösvölgyi Hulladékgazd. Önkorm. Társulás tagd.</t>
  </si>
  <si>
    <t>Támogatás értékű működési célú pe.átadás</t>
  </si>
  <si>
    <t>Szoc.pénzbeni ellátások</t>
  </si>
  <si>
    <t>KIADÁSOK ÖSSZESEN:</t>
  </si>
  <si>
    <t>Családi ünnepek rendezése</t>
  </si>
  <si>
    <t>Polgármesteri alap I.</t>
  </si>
  <si>
    <t>Polgármesteri alap II.</t>
  </si>
  <si>
    <t>Önkormányzati igazgatási tevékenység</t>
  </si>
  <si>
    <t>Személyi juttatások</t>
  </si>
  <si>
    <t>Reprezentáció</t>
  </si>
  <si>
    <t>Biztositási dijak</t>
  </si>
  <si>
    <t>Adó, kamat, pénzf.terh.ktg., tagdijak, stb.</t>
  </si>
  <si>
    <t>Egyéb folyó kiadások összesen:</t>
  </si>
  <si>
    <t>Önkormányzatok igazgatási tev.összesen</t>
  </si>
  <si>
    <t>Hitel megnevezése</t>
  </si>
  <si>
    <t>nyitó</t>
  </si>
  <si>
    <t>felvét</t>
  </si>
  <si>
    <t xml:space="preserve">törlesztés </t>
  </si>
  <si>
    <t>záró</t>
  </si>
  <si>
    <t>K&amp;H Rt.átvállalt hitelcsom.2004.</t>
  </si>
  <si>
    <t>K&amp;H Rt. hitelcsom.2006.</t>
  </si>
  <si>
    <t>Hitel  összesen</t>
  </si>
  <si>
    <t>Kötvény kibocsátás 2007</t>
  </si>
  <si>
    <t>Kötvény kibocsátás 2008</t>
  </si>
  <si>
    <t>Mindösszesen:</t>
  </si>
  <si>
    <t>Tájékoztató adatok</t>
  </si>
  <si>
    <t>Adósságkeletkeztetéshez számított bevétel 353/2011.(XII.30.)Korm.rendelet 2.§</t>
  </si>
  <si>
    <t>Adósságkeletkeztetési korlát a 2011.évi CXCIV.törvény 10. § (3) bekezdés szerint</t>
  </si>
  <si>
    <t>Önkormányzati kezességvállalás és lizing</t>
  </si>
  <si>
    <t>2013 év</t>
  </si>
  <si>
    <t>2014 év</t>
  </si>
  <si>
    <t>2015 év</t>
  </si>
  <si>
    <t>2016 év</t>
  </si>
  <si>
    <t>összesen</t>
  </si>
  <si>
    <t xml:space="preserve">Szarvasi Gyógy-Termál Kft. folyószámla hitel kezességvállalása           </t>
  </si>
  <si>
    <t>30.000 e Ft</t>
  </si>
  <si>
    <t xml:space="preserve">Körös-szögi Nonprofit Kft. folyószámla hitel kezességvállalása             </t>
  </si>
  <si>
    <t>10.000 e Ft</t>
  </si>
  <si>
    <t>2013. év</t>
  </si>
  <si>
    <t>2014. év</t>
  </si>
  <si>
    <t xml:space="preserve">Szarvas Város Önkormányzatának 2013. évi bevételi forrásai </t>
  </si>
  <si>
    <t>Szarvas Város Önkormányzatának 2013. évi működési kiadásai</t>
  </si>
  <si>
    <t>Szarvas Város Önkormányzatának 2013. évi felhalmozási kiadásai</t>
  </si>
  <si>
    <t>Szarvas Város Önkormányzatának 2013. évi finanszírozási kiadásai</t>
  </si>
  <si>
    <t xml:space="preserve"> Önkormányzat 2013. évi bevételei</t>
  </si>
  <si>
    <t>Polgármesteri Hivatal 2013. évi bevételei</t>
  </si>
  <si>
    <t xml:space="preserve"> Önkormányzat 2013. évi kiadásai</t>
  </si>
  <si>
    <t>Polgármesteri Hivatal 2013. évi kiadásai</t>
  </si>
  <si>
    <t>2013. év hitelállománya. Kötvénykibocsátása és törlesztő részletek alakulása</t>
  </si>
  <si>
    <t>2015. év</t>
  </si>
  <si>
    <t>2016. év</t>
  </si>
  <si>
    <t>2017. év</t>
  </si>
  <si>
    <t>2018. év</t>
  </si>
  <si>
    <t>2019. év</t>
  </si>
  <si>
    <t>2020. év</t>
  </si>
  <si>
    <t>2021. év</t>
  </si>
  <si>
    <t>2022. Év</t>
  </si>
  <si>
    <t>2013.évi kamatfizetés</t>
  </si>
  <si>
    <t>KOMÉP Kft. Ravatalozó építésre felvett beruházási hitel kezességvállalása</t>
  </si>
  <si>
    <t>Mezőőri szolgáltatás támogatás</t>
  </si>
  <si>
    <t>Önkorm.sajátos felhalm. és tőkejell.bev.</t>
  </si>
  <si>
    <t>Cervinus Teátrum Színház támogatás</t>
  </si>
  <si>
    <t>Kamat fizetés</t>
  </si>
  <si>
    <t xml:space="preserve">     - felhalmozási hitel kamat</t>
  </si>
  <si>
    <t xml:space="preserve">     - kötvény kamat</t>
  </si>
  <si>
    <t>Vagyonbiztosítás</t>
  </si>
  <si>
    <t>Egyéb folyó kiadások 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</si>
  <si>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</si>
  <si>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</si>
  <si>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</si>
  <si>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</si>
  <si>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</si>
  <si>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</si>
  <si>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</si>
  <si>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</si>
  <si>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</si>
  <si>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</si>
  <si>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</si>
  <si>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</si>
  <si>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</si>
  <si>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</si>
  <si>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</si>
  <si>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 xml:space="preserve">L </t>
  </si>
  <si>
    <t>Üdülőhelyi feladatok</t>
  </si>
  <si>
    <t xml:space="preserve"> 1.1.3.</t>
  </si>
  <si>
    <t xml:space="preserve"> 1.1.4.</t>
  </si>
  <si>
    <t>Kv.működési bevételek</t>
  </si>
  <si>
    <t>Kv.működési kiadások</t>
  </si>
  <si>
    <t>Dologi kiadás</t>
  </si>
  <si>
    <t>Támogatás ért.pe.átadás</t>
  </si>
  <si>
    <t>támogatás értékű műk.c. bev.</t>
  </si>
  <si>
    <t>Szoc.pol juttatás</t>
  </si>
  <si>
    <t>Fejlesztési bevételek</t>
  </si>
  <si>
    <t>Felhalm. és tőkejellegű bevétel</t>
  </si>
  <si>
    <t>Kv.fejlesztési bevételek</t>
  </si>
  <si>
    <t>Kv.fejlesztési kiadások</t>
  </si>
  <si>
    <t>Kv.bevételek összesen</t>
  </si>
  <si>
    <t>Kv.kiadások összesen</t>
  </si>
  <si>
    <t>Finanszírozási bevételek</t>
  </si>
  <si>
    <t>Finanszírozási kadások</t>
  </si>
  <si>
    <t>Hitel, kötvény törlesztés</t>
  </si>
  <si>
    <t>Pénzmaradvány</t>
  </si>
  <si>
    <t>Finanszírozási bevételek össz.</t>
  </si>
  <si>
    <t>Finanszírozási kadások össz.</t>
  </si>
  <si>
    <t>Bevételek  mindösszesen</t>
  </si>
  <si>
    <t>Kiadások mindösszesen</t>
  </si>
  <si>
    <t>BEVÉTELEK</t>
  </si>
  <si>
    <t xml:space="preserve"> I.</t>
  </si>
  <si>
    <t>Működési bevétel</t>
  </si>
  <si>
    <t>Önkormányzat sajátos működési bevétele</t>
  </si>
  <si>
    <t xml:space="preserve">III. </t>
  </si>
  <si>
    <t>Felhalmozásra átvett pe.</t>
  </si>
  <si>
    <t>Költségvetési bevételek összesen:</t>
  </si>
  <si>
    <t>KIADÁSOK</t>
  </si>
  <si>
    <t>Műk.célú pe. átadás</t>
  </si>
  <si>
    <t>Tám. értékű felh.célú pe.átadás</t>
  </si>
  <si>
    <t>Felhalm.c.pe. átadás</t>
  </si>
  <si>
    <t>Felhalmozási kiadások összesen:</t>
  </si>
  <si>
    <t>Költségvetési kiadások összesen</t>
  </si>
  <si>
    <t>Hitelek</t>
  </si>
  <si>
    <t>Finanszírozási kiadások</t>
  </si>
  <si>
    <t>Felhalmozási célú hitel törlesztése</t>
  </si>
  <si>
    <t>Finanszírozási kiadások összesen</t>
  </si>
  <si>
    <t>változás</t>
  </si>
  <si>
    <t>szakmai (mezőőr)</t>
  </si>
  <si>
    <t>Bizottsági tag</t>
  </si>
  <si>
    <t>Képviselő</t>
  </si>
  <si>
    <t>Polgármester</t>
  </si>
  <si>
    <t>Köztisztviselők</t>
  </si>
  <si>
    <t>Ügyviteli dolgozók</t>
  </si>
  <si>
    <t>Fizikai dolgozók</t>
  </si>
  <si>
    <t>Közhasznú foglalkoztatottak</t>
  </si>
  <si>
    <t>Technikai</t>
  </si>
  <si>
    <t>Szarvas Város Önkormányzata összesen:</t>
  </si>
  <si>
    <t>adatok Ft-ban</t>
  </si>
  <si>
    <t>Működési tartalék eredeti előirányzata</t>
  </si>
  <si>
    <t>Fő téri iskola bevétel</t>
  </si>
  <si>
    <t>Étkezési térítési díj</t>
  </si>
  <si>
    <t>Békés M. Önkormányzatok Ivóvízminőség-javitó Társulása</t>
  </si>
  <si>
    <t>Többc. Társulás Gyermekorovos rendelés</t>
  </si>
  <si>
    <t>Gyermekétkeztetés</t>
  </si>
  <si>
    <t>Intézményi vagyon karbantartás</t>
  </si>
  <si>
    <t>2017 év</t>
  </si>
  <si>
    <t>2018 év</t>
  </si>
  <si>
    <t>2019 év</t>
  </si>
  <si>
    <t>2020 év</t>
  </si>
  <si>
    <t>2021 év</t>
  </si>
  <si>
    <t xml:space="preserve"> 1.2.4.</t>
  </si>
  <si>
    <t xml:space="preserve"> 1.2.5.</t>
  </si>
  <si>
    <t xml:space="preserve"> 1.2.6.</t>
  </si>
  <si>
    <t xml:space="preserve"> 1.2.7.</t>
  </si>
  <si>
    <t>Önk. működési és ágazati feladatainak tám.</t>
  </si>
  <si>
    <t>Önkormányzatok működési támogatása</t>
  </si>
  <si>
    <t>Önkorm.egyes köznevelési felad.tám.</t>
  </si>
  <si>
    <t>Önkorm.szoc.és gyermekjól.feladat tám.</t>
  </si>
  <si>
    <t>Önk.kulturális feladatainak tám.</t>
  </si>
  <si>
    <t>Helyi szervezési intézkedések tám.</t>
  </si>
  <si>
    <t>Nyári gyermekétkeztetés</t>
  </si>
  <si>
    <t>Érdekeltségnövelő támogatás</t>
  </si>
  <si>
    <t xml:space="preserve"> 1.2.8.</t>
  </si>
  <si>
    <t xml:space="preserve"> 1.2.9.</t>
  </si>
  <si>
    <t>Önk.feladatok fejlesztési támogatása</t>
  </si>
  <si>
    <t>Bérkompenzáció támogatás</t>
  </si>
  <si>
    <t>Lakott külterülettel kapcs.feladat tám.</t>
  </si>
  <si>
    <t>Tessedik Sámuel Múzeum és Szárazmalom, Városi Könyvtár</t>
  </si>
  <si>
    <t>Tessedik S. Múzeum és Szárazm.,Városi Könyvtár össz.</t>
  </si>
  <si>
    <t>Tessedik S. Múzeum és Szárazm., Városi Könyvtár össz.</t>
  </si>
  <si>
    <t>Beruházások</t>
  </si>
  <si>
    <t>Felújítások</t>
  </si>
  <si>
    <t>oktatás technikai dologzók</t>
  </si>
  <si>
    <t>Alpolgármester</t>
  </si>
  <si>
    <t>Óvodapedagógus</t>
  </si>
  <si>
    <t>Közcélú foglalkoztatottak</t>
  </si>
  <si>
    <t>Fejlesztési tartalék részletezése 2013. év .</t>
  </si>
  <si>
    <t>Fejlesztési tartalék eredeti előirányzata: 2013.01.01.</t>
  </si>
  <si>
    <t xml:space="preserve">Működési tartalék részletezése 2013. év </t>
  </si>
  <si>
    <t>Ellátottak pénzbeli juttatásai</t>
  </si>
  <si>
    <t>Szarvas Város Önkormányzatának 2013. évi működési, fejlesztési és finanszírozási célú bevételeinek és kiadásainak mérlege</t>
  </si>
  <si>
    <t>Működési bevétel összesen</t>
  </si>
  <si>
    <t>Véglegesen átvett pe.összesen</t>
  </si>
  <si>
    <t xml:space="preserve"> Önkormányzat összesen</t>
  </si>
  <si>
    <t>Munkaadókat terh.jár. és szoc.hozzáj.adó</t>
  </si>
  <si>
    <t>Beruházások összesen:</t>
  </si>
  <si>
    <t>Kötvény visszaváltás összesen</t>
  </si>
  <si>
    <t>Munkaa.terh.jár.és szoc.hj.a.</t>
  </si>
  <si>
    <t>Működési bevételek összesen:</t>
  </si>
  <si>
    <t>Támogatás értékű bevételek összesen:</t>
  </si>
  <si>
    <t>Müködési, felhalmozási és finanszírozási célú bevételek és kiadások alakulása 2013. évben</t>
  </si>
  <si>
    <t>Szarvas Város Önkormányzata  2013 évi létszámadatai (fő)</t>
  </si>
  <si>
    <t>Önkormányzat sajátos bevétele</t>
  </si>
  <si>
    <t>Magánsz. Építm.adó 20 %-a</t>
  </si>
  <si>
    <t>Fejlesztési hitel, kötvény kamata</t>
  </si>
  <si>
    <t>Felhalmozási hitel törlesztés összesen</t>
  </si>
  <si>
    <t>Kölcsönök visszatérülése, értékpapir bevételei</t>
  </si>
  <si>
    <t>Központi közműnyilvántartás</t>
  </si>
  <si>
    <t>Fejlesztési tartalék</t>
  </si>
  <si>
    <t>Egyéb feladatok munkaadókat terh.jár.szoc.hj.adó</t>
  </si>
  <si>
    <t>Munkaadókat terh.jár.szoc.hj.adó</t>
  </si>
  <si>
    <t>Munkaadókat terh.jár.szoc.hj.adó.</t>
  </si>
  <si>
    <t>2013.12.31.-ig</t>
  </si>
  <si>
    <t>Oktatási intézmények fenntartási kiadása</t>
  </si>
  <si>
    <t>Cervinus Teátrum Művelődési központ támogatás</t>
  </si>
  <si>
    <t>Kossuth u. 56-58 tűzfal felújítás</t>
  </si>
  <si>
    <t>Felújítások összesen</t>
  </si>
  <si>
    <t>Tám.ért. felhalm. célú pe.átad.összesen</t>
  </si>
  <si>
    <t>Tanyagondnoki szolg.gk.beszerzés</t>
  </si>
  <si>
    <t>Felhalm.c.pe.átadás</t>
  </si>
  <si>
    <t xml:space="preserve">Óvodapedagógust segítő </t>
  </si>
  <si>
    <t>Nem kötelező</t>
  </si>
  <si>
    <t>Kötelező</t>
  </si>
  <si>
    <t>Önkormányzati feladat</t>
  </si>
  <si>
    <t>Államigazgatási   feladat</t>
  </si>
  <si>
    <t>köztisztviselő</t>
  </si>
  <si>
    <t>Szakmai (múzeum)</t>
  </si>
  <si>
    <t>Szakmai (könyvtár)</t>
  </si>
  <si>
    <t>Államigazgatási feladatok</t>
  </si>
  <si>
    <t>Önkormányzati feladatok</t>
  </si>
  <si>
    <t>2013. évben</t>
  </si>
  <si>
    <t>Költségvetési bevételek és kiadások  kötelező-, önként vállalt-, állami (államigazgatási) feladatok szerinti bontása</t>
  </si>
  <si>
    <t>Eredeti ei.</t>
  </si>
  <si>
    <t>I. negyedévi rendeletmódosítás</t>
  </si>
  <si>
    <t>DAOP-4.1.3/C. közösségi té fejleszt. EU önerő</t>
  </si>
  <si>
    <t>Szabad fejlesztési tartalék</t>
  </si>
  <si>
    <t>Bérkompenzáció 2013.</t>
  </si>
  <si>
    <t>Gyermektartásdíjak megelőlegezése</t>
  </si>
  <si>
    <t>Otthonteremtési támogatás</t>
  </si>
  <si>
    <t>KEOP-4.2.0/B. Termál hőellátó rendszer fejl.</t>
  </si>
  <si>
    <t>Támogatás értékű felhalmozási célú pe átvétel</t>
  </si>
  <si>
    <t>KEOP-1-2-0/B. szennyvíztiszt.komplex fejl.</t>
  </si>
  <si>
    <t>Lakossági közműfejlesztés támogatása</t>
  </si>
  <si>
    <t>Felhalmozási célú pe átadás összesen</t>
  </si>
  <si>
    <t>Beruházások összesen</t>
  </si>
  <si>
    <t>EU önerő</t>
  </si>
  <si>
    <t>Hitel (felhalmozási)</t>
  </si>
  <si>
    <t>Tám. értékű felhalm.c.pe átvét.</t>
  </si>
  <si>
    <t>eredeti ei.</t>
  </si>
  <si>
    <t xml:space="preserve">ebből: - Illetékjellegű bevételek </t>
  </si>
  <si>
    <t>P</t>
  </si>
  <si>
    <t>Telj.           III. 31.</t>
  </si>
  <si>
    <t>Telj.     %-a</t>
  </si>
  <si>
    <t xml:space="preserve">N </t>
  </si>
  <si>
    <t>Telj.        III.31.</t>
  </si>
  <si>
    <t xml:space="preserve">            - DAOP Megyei komplex belvíz dologi kiadásai</t>
  </si>
  <si>
    <t xml:space="preserve">            - DAOP Belvízvéd.rendszer fejl. Szarvason dologi kiadásai</t>
  </si>
  <si>
    <t>2012. évi start munkaprogram személyi kiadások</t>
  </si>
  <si>
    <t>2012. évi start munkaprogram járulékok</t>
  </si>
  <si>
    <t>Szociális földprogram dologi kiadások</t>
  </si>
  <si>
    <t>2013. évi téli közfoglalkoztatás személyi kiadások</t>
  </si>
  <si>
    <t>2013. évi téli közfoglalkoztatás járulékok</t>
  </si>
  <si>
    <t>2013. évi kistérségi startmunka mintaprogram személyi kiadások</t>
  </si>
  <si>
    <t>2013. évi kistérségi startmunka mintaprogram járulékok</t>
  </si>
  <si>
    <t>2013. évi kistérségi startmunka mintaprogram dologi kiadások</t>
  </si>
  <si>
    <t>Segélyek dologi kiadásai</t>
  </si>
  <si>
    <t>Szarvasi Gyórgy-Termál Kft működési támogatása</t>
  </si>
  <si>
    <t>Állammal szembeni befizetési kötelezettség</t>
  </si>
  <si>
    <t>DAOP-5.1.2/A Városközpont rehabilitáció</t>
  </si>
  <si>
    <t>Vajda P. u. pályaszerkezet csere</t>
  </si>
  <si>
    <t>DAOP-5.2.1/D Megyei komplex belvíz, belvíz II. ütem</t>
  </si>
  <si>
    <t>KÖZOP-3.2.0/C Gyomendrődi út melletti kerékpárút</t>
  </si>
  <si>
    <t>Juhász Gy. U. közvilágítás fejlesztése</t>
  </si>
  <si>
    <t xml:space="preserve">DAOP-4.2.1. Zöldpázsiti óvoda bővítése </t>
  </si>
  <si>
    <t>KEOP-7.3.1.2/09. Élőhelyfejl. Szarvas és Bszta ter.</t>
  </si>
  <si>
    <t>Start- Bio- és megújuló energiafelhasználás</t>
  </si>
  <si>
    <t xml:space="preserve">Kistérségi plusz startmunka </t>
  </si>
  <si>
    <t>Megelőlegezett gyermektartásdíj</t>
  </si>
  <si>
    <t>Működési célú pe átadás</t>
  </si>
  <si>
    <t>Munkaügyi Központ bértámogatása</t>
  </si>
  <si>
    <t>Iskolatej támogatás</t>
  </si>
  <si>
    <t>Munkaügyi Kp támogatása (Start 2012. év)</t>
  </si>
  <si>
    <t>Munkaügyi Kp támogatása (Bio- és megújuló energia felhaszn.)</t>
  </si>
  <si>
    <t>Munkaügyi Kp támogatása (Hosszabb időtartamú közfogl.)</t>
  </si>
  <si>
    <t>Munkaügyi Kp támogatása (Kistérségi startmunka)</t>
  </si>
  <si>
    <t>Egységes területalapú támogatás 2012. év</t>
  </si>
  <si>
    <t>KÖZOP-3.2.0. Gyomaendrődi út melleti kerékpárút építés</t>
  </si>
  <si>
    <t>KEOP-1.2.0/B Szennyvíztisztító rendszer komplex fejlesztése</t>
  </si>
  <si>
    <t>DAOP-5.2.1/D Belvízrendezés az élhetőbb településekért</t>
  </si>
  <si>
    <t>DAOP-4.2.1-11 Zöldpázsiti óvoda bővítése</t>
  </si>
  <si>
    <t>Testvérvárosi találkozó támogatása</t>
  </si>
  <si>
    <t>Sebességjelző készülék költségtérítése</t>
  </si>
  <si>
    <t>Működési célú pe átvétel</t>
  </si>
  <si>
    <t>Egyéb bevételek</t>
  </si>
  <si>
    <t>Működési célú pénzeszköz átvétel</t>
  </si>
  <si>
    <t>KEOP-1.2.0/B Szennyvíztisztító rendszer komplex fejl. EU önerő</t>
  </si>
  <si>
    <t>Mód.ei. VI.30.</t>
  </si>
  <si>
    <t>II. negyedévi rendeletmódosítás</t>
  </si>
  <si>
    <t>Többlettámogatás  visszautalása Kistérségtől</t>
  </si>
  <si>
    <t>Egyéb bevétel (fordított áfával)</t>
  </si>
  <si>
    <t>Munkaügyi Kp támogatása (Téli közfoglalk.)</t>
  </si>
  <si>
    <t>KAB-KEF-12.7475 pályázat támogatása</t>
  </si>
  <si>
    <t>2012.évi többlettámogatás visszautalása Kistérségtől</t>
  </si>
  <si>
    <t>Munkaügyi Kp támogatása (Kistérségi plusz startmunka)</t>
  </si>
  <si>
    <t>DAOP-4.1.3/C Közösségi terek fejl. EU önerő</t>
  </si>
  <si>
    <t>KEOP-7.3.1.2/09 Élőhelyfejl. Szarvas és Bsztandrás term.területein</t>
  </si>
  <si>
    <t xml:space="preserve">DAOP-5.1.2/A Városközpont rehabilitáció </t>
  </si>
  <si>
    <t>Bio- és megújuló energiafelhasználás startmunka személyi kiadások</t>
  </si>
  <si>
    <t>Start hosszabb időtartamú közfoglalkoztatás személyi kiadások</t>
  </si>
  <si>
    <t>Bio- és megújuló energiafelhasználás startmunka járulékok</t>
  </si>
  <si>
    <t>Bio- és megújuló energiafelhasználás startmunka dologi kiadások</t>
  </si>
  <si>
    <t>Start hosszabb időtartamú közfoglalkoztatás járulékok</t>
  </si>
  <si>
    <t>KLC-404. frsz-ú szgk-hoz vonóhorog</t>
  </si>
  <si>
    <t>Kistérségi startmunka mintaprogram</t>
  </si>
  <si>
    <t>DAOP-5.2.1/A Belvízvéd.rendszer fejl. Szarvason</t>
  </si>
  <si>
    <t>Szabadság-Deák csomópont átép.jelzőlámpás kial.</t>
  </si>
  <si>
    <t>Belterületi járdák felújítási terveinek elkészítése</t>
  </si>
  <si>
    <t>Okmányiroda kialakítása</t>
  </si>
  <si>
    <t>Lakótelepek közvilágításának fejlesztése</t>
  </si>
  <si>
    <t>Ivóvízvezeték rekonstrukió - tervek</t>
  </si>
  <si>
    <t>Csúszásgátló útburkolat kialakítása</t>
  </si>
  <si>
    <t>KAB-KEF-12-7475 pályázat tárgyi eszköz beszerzés</t>
  </si>
  <si>
    <t>Gyendrődi hulladéklerakó vásár.köt.- telekvásárlás</t>
  </si>
  <si>
    <t>BM közbiztonság növelését szolg. fejlesztések</t>
  </si>
  <si>
    <t>Gyendrődi út mellett áramvételezési hely kialakítása</t>
  </si>
  <si>
    <t>Szent Klára Gyógyfürdő energetikai program</t>
  </si>
  <si>
    <t>Szlovák Ált.Isk. és Diákotthon energetikai program</t>
  </si>
  <si>
    <t xml:space="preserve">            - DAOP Zöldpázsiti óvoda bővítése dologi kiadásai</t>
  </si>
  <si>
    <t>DAOP-5.2.1/A Belvízvédelmi rendszer fejlesztése Szarvason</t>
  </si>
  <si>
    <t xml:space="preserve">            - DAOP Városközpont rehabilitáció</t>
  </si>
  <si>
    <t>Egyéb feladatok dologi (fordított áfával)</t>
  </si>
  <si>
    <t xml:space="preserve">            - TÁMOP "Öveges" program dologi kiadások</t>
  </si>
  <si>
    <t xml:space="preserve">            - KEOP Termál hőellátó rendszer fejl. dologi kiadásai</t>
  </si>
  <si>
    <t>Halászlakért Egyesület támogatása</t>
  </si>
  <si>
    <t>Körösi Vízgazdálkodási Társulat támogatása</t>
  </si>
  <si>
    <t>Intézményi alulfinanszírozás</t>
  </si>
  <si>
    <t>Közoktatás 2012.évi pm átadás KIK</t>
  </si>
  <si>
    <t>Szoc.pol.támogatás visszafizetés</t>
  </si>
  <si>
    <t xml:space="preserve">Békés Megyei Rendőrkapitányság </t>
  </si>
  <si>
    <t>Kistérség-szociális alapellátás fejlesztése</t>
  </si>
  <si>
    <t>Kistérség-tanyagondnoki szolgálat fejlesztése</t>
  </si>
  <si>
    <t>Kistérség-4 idősek klubja akadálymentesítés</t>
  </si>
  <si>
    <t xml:space="preserve">KEOP Élőhelyfejlesztés </t>
  </si>
  <si>
    <t>Gyógy-Termál Kft beruházási terv végrehajt.pe átad.</t>
  </si>
  <si>
    <t>Víziszínhap gázvezeték kiváltása</t>
  </si>
  <si>
    <t>Szarvasi Komép Kft törzstőke emelés</t>
  </si>
  <si>
    <t>Pénzügyi befektetések kiadásai összesen</t>
  </si>
  <si>
    <t xml:space="preserve"> pénzmaradvány beemelése</t>
  </si>
  <si>
    <t>17/2013 Vajda P. u. 18. és 26. ingatlanok tetőfelúj. közérdekű adomány</t>
  </si>
  <si>
    <t>Előző évi szenyvíz kifiz.visszapótlása</t>
  </si>
  <si>
    <t>219/2013 csúszásgátló útburkolat önerő különbözet</t>
  </si>
  <si>
    <t>72/2013.(II.21.) 2012. évi tagdíj hozzájárulás (Körösi Vízgazdálkodási Társulat részére)</t>
  </si>
  <si>
    <t>190/2013. Béke út 1. új polgármesteri hiv. lekötött elektromos telj. növeléséhez fejlesztési hozzájárulás.</t>
  </si>
  <si>
    <t>590/2012 Kossuth-Deák-Vajda utak kisfeszültségű elektormos hálózatának tervezése - Vároközpont rehab. pály.</t>
  </si>
  <si>
    <t>147/2013. TÁMOP-3.1.3-11/2-2012-008. Természettud.Okt. megúj. a Vajda P. Int-ben (Öveges Program)</t>
  </si>
  <si>
    <t>kötvény kockázatkezelési tartalék (kötvény árfolyamkülönbözete)</t>
  </si>
  <si>
    <t>330/2012 Petőfi iskola épület felújításának megvalósíthatósági tanulány és pályázat előkészítése</t>
  </si>
  <si>
    <t>470/2012 Tanyagondnoki pályázat 10% önerő biztosítása</t>
  </si>
  <si>
    <t>443/2010 Termál hőellátó rendszer fejl. Sikerdíj (70/2013.((II.21.) sz.hat.mód)</t>
  </si>
  <si>
    <t>Ipari Park (Inkubátorház) működési kiadása</t>
  </si>
  <si>
    <t>33/2013 Kistérségnek "Szociális alapellátás fejlesztése Szarvason" többletönerő</t>
  </si>
  <si>
    <t>233/2012 Gyomaendrődi hulladéklerakó - vásárlási kötelem bírósági határozat alapján</t>
  </si>
  <si>
    <t>215/2013 Dácia személygépkocsi beszerzése</t>
  </si>
  <si>
    <t>175/2013.(III.21.) DAOP-5.1.2/A-09-2f-2011-0003. Városközpont rehab. önerőtöbblet</t>
  </si>
  <si>
    <t>256/2012 Szarvas Város Energetikai program - közbeszerzés közzétételi díja</t>
  </si>
  <si>
    <t>100/2013. Szlovák Ált.Iskola és Diákotthon energetikai pály. önerő</t>
  </si>
  <si>
    <t>97/2013. Szent Klára Gyórgyfürdő energetikai pály. önerő</t>
  </si>
  <si>
    <t>Kötelezettséggel terhelt fejlesztési tartalék</t>
  </si>
  <si>
    <t xml:space="preserve">Vízmű vagyon karbantartása   </t>
  </si>
  <si>
    <t>Kötvény kockázatkezelési tartalék</t>
  </si>
  <si>
    <t>745/2012 Közmű rekonstrukciós keret (szennyvíz, ivóvíz, elektromos hálózat, hírközlés stb.)</t>
  </si>
  <si>
    <t>Vagyonkezelési számla</t>
  </si>
  <si>
    <t>2073/A/1/2/3 hrsz. Társasházi ingatlanok kisajátítási eljárása</t>
  </si>
  <si>
    <t xml:space="preserve">582/2010, 178/2013. "Lengyel-palota" tulajdonjogának megszerzése </t>
  </si>
  <si>
    <t>Egyházi kártalanítás</t>
  </si>
  <si>
    <t xml:space="preserve">               91/2013 Petőfi Iskola energetikai pályázat önerő</t>
  </si>
  <si>
    <t>Szabad maradvány</t>
  </si>
  <si>
    <t>Ipari Park (Inkubátorház) 2012.12.31-i bankszámla egyenlege</t>
  </si>
  <si>
    <t>Szentesi u. lakópark elsz. kötelezettsége 2012.12.31.</t>
  </si>
  <si>
    <t>4 db szociális bérlakás elsz. Kötelezettsége 2012.12.31.</t>
  </si>
  <si>
    <t>Uniós pályázatok szláit érintő kamatbevételek 2012.12.31.</t>
  </si>
  <si>
    <t>302/2011 Szentesi úti kerékpárút sikerdíj</t>
  </si>
  <si>
    <t>38/2012, 557/2011 Települési szilárd hulladékgazd.-i rendszerek fejlesztése c. pály. Telekmegosztás</t>
  </si>
  <si>
    <t>518/2010 KOMÉP járdaépítési feladatok</t>
  </si>
  <si>
    <t>651/2012 KEOP szilárd hulladék-gazd.rendsz.fejlesztés Körösszögi kistérségben (45.750.719 áfa megelőlegezési köt.)</t>
  </si>
  <si>
    <t xml:space="preserve">705/2012 Szennyvíztisztító rendszer koplex fejlesztése c. beruházás támogatási rátájának felülvizsgálata </t>
  </si>
  <si>
    <t>739/2012 Szlovák Általános Iskola napelemes pályázat - közbeszerzés lebonyolítása</t>
  </si>
  <si>
    <t>740/2012 Gyógyfürdő napelemes pályázat - közbeszerzés lebonyolítás</t>
  </si>
  <si>
    <t>741/2012 Gyermekélelmezés, sportcsarnok, Hagyományörző Egyesület, Idősek klubja napelemes pály - közbesz. lebony.</t>
  </si>
  <si>
    <t>742/2012 Kossuth úti rendelő, Kossuth úti bölcsőde napelemes pályázat - közbeszerzés lebonyolítása</t>
  </si>
  <si>
    <t>743/2012 Kossuht úti óvoda, Városi sportcsarnok napelemes pályázat - közbeszerzés lebonyolítása</t>
  </si>
  <si>
    <t xml:space="preserve">747/2012 Kossuth úti óvoda, Városi sportcsarnok napelemes pályázat - energetikai tanúsítvány </t>
  </si>
  <si>
    <t>26/2013 Fahíd-Arborétum közötti kerékpárút terv elkészítése</t>
  </si>
  <si>
    <t>27/2013 Kacsató-Mezőtúri út közötti kerékpárút terv elkészítése</t>
  </si>
  <si>
    <t>28/2013 Arborétum-Körösi komp közötti kerékpárút terv elkészítése</t>
  </si>
  <si>
    <t>29/2013 Szabadság úti kerékpárút felújítási terv elkészítése</t>
  </si>
  <si>
    <t>35/2013 CKÖ Közösségi ház felújításának tervezési munkái</t>
  </si>
  <si>
    <t>79/2013. II. Szarvasi Horgász és Halas Gasztronómia Nap támogatása</t>
  </si>
  <si>
    <t>96/2013. Gyermekélelm.konyha, Sportcsarnok, Gazdák Hagy.Egy., Id.Napk.Otth. energetikai pály. önerő</t>
  </si>
  <si>
    <t>98/2013. Vasút úti rend.int. és Kossuth úti Bölcsőde energetikai pály. önerő</t>
  </si>
  <si>
    <t>99/2013. Városi Sportcsarnok és Kossuth Óvoda energetikai pály. önerő</t>
  </si>
  <si>
    <t>237/2013. Térfigyelő kamerák bővítésére pályázati önerő</t>
  </si>
  <si>
    <r>
      <t xml:space="preserve">407/2011 Szentesi út melletti kerékpárút építés önerő- </t>
    </r>
    <r>
      <rPr>
        <i/>
        <u/>
        <sz val="12"/>
        <rFont val="Times New Roman"/>
        <family val="1"/>
        <charset val="238"/>
      </rPr>
      <t>felhalmozási hitelből</t>
    </r>
  </si>
  <si>
    <r>
      <t xml:space="preserve">475/2011 DAOP Belterületi utak III. önerő - </t>
    </r>
    <r>
      <rPr>
        <i/>
        <u/>
        <sz val="12"/>
        <rFont val="Times New Roman"/>
        <family val="1"/>
        <charset val="238"/>
      </rPr>
      <t>felhalmozási hitelből - 27.750.000</t>
    </r>
  </si>
  <si>
    <t>Közérdekű adomány</t>
  </si>
  <si>
    <t>Múzeum támogatása</t>
  </si>
  <si>
    <t xml:space="preserve">Önkormányzati vagyonhasznosítás </t>
  </si>
  <si>
    <t>E-On fejlesztési hozzájárulás (Béke u. 1.)</t>
  </si>
  <si>
    <t>Személygépkocsi vásárlás (Dacia L.)</t>
  </si>
  <si>
    <t>Tartalék összesen 2013.06.30.</t>
  </si>
  <si>
    <t>Telj.           VI.30.</t>
  </si>
  <si>
    <t>Telj.        VI.30.</t>
  </si>
  <si>
    <t>Teljesítés VI.30.</t>
  </si>
  <si>
    <t>Helyi önkormányzatok kiegészítő támogatásai</t>
  </si>
  <si>
    <t xml:space="preserve"> 1.3.1.</t>
  </si>
  <si>
    <t xml:space="preserve"> 1.3.2.</t>
  </si>
  <si>
    <t>5000 fő feletti önkorm. adósságkonszolidációja</t>
  </si>
  <si>
    <t xml:space="preserve"> 2.2.4.</t>
  </si>
  <si>
    <t>Magánszemélyek kommunális adója</t>
  </si>
  <si>
    <t>TISZK megszűnés miatti pe átvétel</t>
  </si>
  <si>
    <t>KAB-ME-12-8182 "Családi kör" projekt támogatása</t>
  </si>
  <si>
    <t>DAOP-5.1.2/A Városközpont rehabilitáció EU önerő</t>
  </si>
  <si>
    <t>Óvadék maradványösszegének átvétele (szélessávú internet fejl.)</t>
  </si>
  <si>
    <t>Körösök Völgye Akciócsoport Nonprofit Kft - tagi kölcsön visszafiz.</t>
  </si>
  <si>
    <t>Ingatlanhasznosítás</t>
  </si>
  <si>
    <t xml:space="preserve">            - DAOP Élőhelyfejlesztések Szarvas és Bszta ter.dologi kiad.</t>
  </si>
  <si>
    <t xml:space="preserve">            - KAB-ME-12-8182 "Családi kör" projekt dologi kiadásai</t>
  </si>
  <si>
    <t>2012.évi start munkaprogram dologi kiadások</t>
  </si>
  <si>
    <t>Bóbita Alapítvány támogatása sportkeretből</t>
  </si>
  <si>
    <t>Emberöltő Alapítvány támogatása sportkeretből</t>
  </si>
  <si>
    <t>Vállalkozók komm.adójának visszafizetése</t>
  </si>
  <si>
    <t>Gyomaendrőd Önkormányzat szúnyoggyérítés pe átadás</t>
  </si>
  <si>
    <t>KEOP-7.1.1/2. Szilárd hulladéklerakó (komposztáló)</t>
  </si>
  <si>
    <t>Szarvas, Budai N. A. u. 5. felújítás</t>
  </si>
  <si>
    <t>Kötvénykibocsátás 2007.</t>
  </si>
  <si>
    <t>Tájékoztatásul a devizás kötelezettségek 2013.06.30-i állományáról eFt-ban (295,6 Ft/Euro, állomány 2 666 879,8 EUR)</t>
  </si>
  <si>
    <t>Mód.ei. IX.30.</t>
  </si>
  <si>
    <t xml:space="preserve">         - Egyéb bevétel</t>
  </si>
  <si>
    <t>KEOP szennyvíztisztító visszaig.áfa</t>
  </si>
  <si>
    <t>Gyermekvédelmi támogatás Erzsébet-utalványban</t>
  </si>
  <si>
    <t xml:space="preserve"> 1.3.3.</t>
  </si>
  <si>
    <t>Szociális feladat támogatása</t>
  </si>
  <si>
    <t>Kistérségi Iroda munkaszervezet</t>
  </si>
  <si>
    <t>Egyéb feladatok munkaadókat terh.bef.köt.</t>
  </si>
  <si>
    <t>Szarvasi Krónika Alapítvány támogatása</t>
  </si>
  <si>
    <t>Szarvasi Gazdák támogatása</t>
  </si>
  <si>
    <t>Evangélikus Egyház támogatása</t>
  </si>
  <si>
    <t>Közművelődési érdekeltségnövelő támogatás</t>
  </si>
  <si>
    <t>Vasút u. ivóvízvezeték rekonstrukciója</t>
  </si>
  <si>
    <t>Kossuth u. 30. felújítása</t>
  </si>
  <si>
    <t>Szarvasi Közfogl.Gazd. és Szolg.Szoc.Szöv. részjegy</t>
  </si>
  <si>
    <t>III. negyedévi rendeletmódosítás</t>
  </si>
  <si>
    <t>műk.c.pe átadás</t>
  </si>
  <si>
    <t>városközp.beruh.</t>
  </si>
  <si>
    <t>beruh.</t>
  </si>
  <si>
    <t>igazg.dologi</t>
  </si>
  <si>
    <t>tám.ért.pe átadás</t>
  </si>
  <si>
    <t>dologi</t>
  </si>
  <si>
    <t>tám.ért.felh.pe átadás</t>
  </si>
  <si>
    <t>beruh.-telekvás.</t>
  </si>
  <si>
    <t>int.fin.Hivatal</t>
  </si>
  <si>
    <t>393/2013 Városközpont rehab pályázatban csobogókra</t>
  </si>
  <si>
    <t>284/2012. Nyári gyermekétkeztetés pályázat - önerő</t>
  </si>
  <si>
    <t>311/2013. KOMÉP zöldterület fenntartása</t>
  </si>
  <si>
    <t>331/2013. Körös-Szögi Civil Fórum Egyesület LEADER pályázat támogatása</t>
  </si>
  <si>
    <t>345/2013. "Komplex belvízrendezési program - Szarvas" pótmunka-igény önereje</t>
  </si>
  <si>
    <t>390/2013, 439/2013 KEOP-1.1.1/C/13 Települési szilárdhull.gazd.rendsz.eszközpark fejlesztés pályázat - nettó önerő</t>
  </si>
  <si>
    <t>421/2013 A tanyás térségek kelter.földútjainak karbantart.biztosító munkagépek, eszközök beszerz.pályázat - önerő</t>
  </si>
  <si>
    <t>422/2013 Új polgármesteri hivatal épületének légkondicionálására fedezetkiegészítés</t>
  </si>
  <si>
    <t>423/2013 Városközpont rekonctrukció - 7 db csobogó-szökökút és zenepavilon E-On részére fizetendő fejlesztési hozzájár.</t>
  </si>
  <si>
    <t>437/2013 Kistérség Többcélú Társulási Tanács által benyújtott TP-1-2013. pályázathoz önerő</t>
  </si>
  <si>
    <t>440/2013 Szarvasi Football Club támogatása</t>
  </si>
  <si>
    <t>466/2013 "Komplex belvíztendezési program - Szarvas"pótmunka-igény 2 önereje</t>
  </si>
  <si>
    <t>Vízmű vagyon karbantartása</t>
  </si>
  <si>
    <t>Vagyonkezelési számla (régi bérlakások - Kossuth u. 30. felújítása)</t>
  </si>
  <si>
    <t>Tartalék összesen 2013.09.30.</t>
  </si>
  <si>
    <t>478/2013 "Kisárpád üzletház homlokzat felújítás kivitelezési feladatainak önereje</t>
  </si>
  <si>
    <t>485/2013 Ótemplom homlokzatvilágítás tervezés+kivitelézés költsége</t>
  </si>
  <si>
    <t>485/2013 Vajda P. u. Múzeum homlozatvilágítás tervezés+kivitelezés</t>
  </si>
  <si>
    <t>485/2013 Fő tér Iskola homlokzatvilgítás tervezés+kivitelezés</t>
  </si>
  <si>
    <t>Városközpont rehabilitáció többletönerő hitelből (feladattal terhelt 82.988.007 Ft)</t>
  </si>
  <si>
    <t>adósságkonszolidáció figyelembevételével</t>
  </si>
  <si>
    <t>Kiemelt előirányzat</t>
  </si>
  <si>
    <t>Önkormányzat   1 cím</t>
  </si>
  <si>
    <t>Polgármesteri Hivatal                2 cím</t>
  </si>
  <si>
    <t>Mindösszesen</t>
  </si>
  <si>
    <t>Bér</t>
  </si>
  <si>
    <t>Munkaadói járulék</t>
  </si>
  <si>
    <t>Tám.ért.műk.pe.átadás</t>
  </si>
  <si>
    <t>Társ.szoc.pol.tám.</t>
  </si>
  <si>
    <t>Kamat</t>
  </si>
  <si>
    <t>Műk.kiadás össz.</t>
  </si>
  <si>
    <t>Finanszírozás</t>
  </si>
  <si>
    <t>felhalmozási kamat</t>
  </si>
  <si>
    <t>támogatás értékű pe.áa.</t>
  </si>
  <si>
    <t>felhalm.c.pe.átadás</t>
  </si>
  <si>
    <t>pénzügyi befektetés</t>
  </si>
  <si>
    <t>felújítás</t>
  </si>
  <si>
    <t>felhalmozás</t>
  </si>
  <si>
    <t>felhalmozási tartalék</t>
  </si>
  <si>
    <t>Felhalmozási kiadás</t>
  </si>
  <si>
    <t>Kiadás mindössz.</t>
  </si>
  <si>
    <t>Támogatás értékű műk.bev.</t>
  </si>
  <si>
    <t>Működési átvett pe.</t>
  </si>
  <si>
    <t>önkorm.sajátos bevétel</t>
  </si>
  <si>
    <t>pénzmaradvány</t>
  </si>
  <si>
    <t>támogatás értékű felh.bev.</t>
  </si>
  <si>
    <t>Egyéb felh. átvett pe.</t>
  </si>
  <si>
    <t>Felhalmozási és tj.</t>
  </si>
  <si>
    <t>Kölcsönök visszatér</t>
  </si>
  <si>
    <t>Helyi adóbevétel</t>
  </si>
  <si>
    <t>központi adóbevétel</t>
  </si>
  <si>
    <t>Működési hitel</t>
  </si>
  <si>
    <t>Felhalmozási hitel</t>
  </si>
  <si>
    <t>Normatív és központosított támogatás</t>
  </si>
  <si>
    <t>Bevétel összesen</t>
  </si>
  <si>
    <t>Támogatási igény</t>
  </si>
  <si>
    <t>Norm.felüli tám.</t>
  </si>
  <si>
    <t>Támogatás %</t>
  </si>
  <si>
    <t>Telj. IX.30.</t>
  </si>
  <si>
    <t>2012.évi energetikai pályázat (napelemes)</t>
  </si>
  <si>
    <t>Petőfi Iskola felújítása</t>
  </si>
  <si>
    <t>Chován K. 2012.12.31-i fiz.előleg átvétel</t>
  </si>
  <si>
    <t xml:space="preserve">DAOP-4.1.3/C Közösségi terek fejl. </t>
  </si>
  <si>
    <t>Munkaügyi Központ támogatása</t>
  </si>
  <si>
    <t>2012.évi alulfinanszírozás</t>
  </si>
  <si>
    <t xml:space="preserve"> 1.2.10.</t>
  </si>
  <si>
    <t>Egyéb központosított támogatás</t>
  </si>
  <si>
    <t>DAOP-5.1.2. Városközpont rehab. "Soft-3"</t>
  </si>
  <si>
    <t>DAOP-5.1.2. Városközpont rehab. "Soft-1"</t>
  </si>
  <si>
    <t>DAOP-5.1.2. Városközpont rehab. "Soft-5"</t>
  </si>
  <si>
    <t>TÁMOP-2.4.5. Rugalmas munkahelyek</t>
  </si>
  <si>
    <t>Tájékoztatásul a devizás kötelezettségek 2013.09.30-i állományáról eFt-ban (305,08 Ft/Euro, állomány 2 370 322,77 EUR)</t>
  </si>
  <si>
    <t>OTP Nyrt. Városrehabilitáció kölcsön</t>
  </si>
  <si>
    <t>Bölcsőde szakmai</t>
  </si>
  <si>
    <t>Bölcsőde technikai</t>
  </si>
  <si>
    <t>Mód.ei. XII.31.</t>
  </si>
  <si>
    <t xml:space="preserve">2013. december 31. módosított költségvetés címenkénti összesítése, kiemelt előirányzati bontásban </t>
  </si>
  <si>
    <t>TÁMOP-2.4.5. Rugalmas munkahely.körülmények</t>
  </si>
  <si>
    <t>SZOC-11ALT-TSZ-1-0068 pályázat támogatása</t>
  </si>
  <si>
    <t>TÁMOP-3.1.2. "Öveges" program támogatása</t>
  </si>
  <si>
    <t xml:space="preserve">            - KEOP Szennyvíztisztító dologi </t>
  </si>
  <si>
    <t xml:space="preserve">            - TÁMOP -3.1.3. "Öveges" program dologi kiadásai</t>
  </si>
  <si>
    <t>Start hosszabb időtartamú közfoglalkoztatás dologi kiadások</t>
  </si>
  <si>
    <t>Szarvasi Futball Klub támogatása</t>
  </si>
  <si>
    <t>Mozgáskorlátozottak Egyesületének támogatása</t>
  </si>
  <si>
    <t>Többc. Társ. SZOC-11-ALT pályázat támogatása</t>
  </si>
  <si>
    <t>Dacia Sander4o személygépkocsi beszerzés</t>
  </si>
  <si>
    <t>TÁMOP-3.1.3. "Öveges" program</t>
  </si>
  <si>
    <t>Szarvas, Árpád u. 4. riasztórendszer</t>
  </si>
  <si>
    <t>Vásártéri játszótéren ivókút</t>
  </si>
  <si>
    <t>KEOP Szilárd hulladékgazd.rendszer fejlesztése</t>
  </si>
  <si>
    <t>Juhász Gy.u. és Ezüstszőlő közvil.csatlakozási díja</t>
  </si>
  <si>
    <t>515/2013.(IX.19.) Múzeumnak felhalmozási kiadásra átcsop.fejl.tartalékba</t>
  </si>
  <si>
    <t>560/2013 KAB-KEF-13. "KEF-ek működési feltételeinek biztosítása" pályázat önereje</t>
  </si>
  <si>
    <t>581/2013 KAB-ME-13 "A családi rendszer megerősítését…" pályázat önereje</t>
  </si>
  <si>
    <t>582/2013 Szarvas Város Óvodái és Bölcsődéje támogatási többletigény</t>
  </si>
  <si>
    <t>613/2013 Védőnők jogszabályban meghat.díjazása</t>
  </si>
  <si>
    <t>Szabad működési tartalék</t>
  </si>
  <si>
    <t>IV.negyedévi rendeletmódosítás</t>
  </si>
  <si>
    <t>Működési  tartalék összesen 2013.12.31..</t>
  </si>
  <si>
    <t>Kötelezettséggel terhelt működési tartalék</t>
  </si>
  <si>
    <t>Szabadság-Deák csomópont átépítés jelzőlámpás kialakítása</t>
  </si>
  <si>
    <t>515/2013 Múzeumnak felhalm.kiadásra átcsoportosítás működési tartalékról</t>
  </si>
  <si>
    <t xml:space="preserve">               546/2013 Vajda Péter Evangélikus Gimnázium iskolaépület kiviteli terve</t>
  </si>
  <si>
    <t>485/2013 Fürdő, Kossuth 23. épület homlokzatvilágítás tervezés+kivitelezés</t>
  </si>
  <si>
    <t>485/2013 Kossuth téri Katlokus templom Szabadág utcai homlokzatvilágítás tervezés+kivitelezés</t>
  </si>
  <si>
    <t>485/2013 Fő tér szökőkút világítás tervezés+kivitelezés</t>
  </si>
  <si>
    <t>538/2013 Mitrovszky kastély, Deák F. és Szabadság u. homlokzat díszvilágítása</t>
  </si>
  <si>
    <t>540/2013 Városközpont rehab. III.ütem - kivitelzési feladatira kötendő szerződések (Swietelsky Kft.)</t>
  </si>
  <si>
    <t>503/2013 Turul Mozi digitalizációja</t>
  </si>
  <si>
    <t>512/2013 Melis György szobor állításához önerő+nevezési díj</t>
  </si>
  <si>
    <t>513/2013 Komép közfeladatok ellátására átcsoportosítás</t>
  </si>
  <si>
    <t>515/2013 Múzeumnak felhalm.kiadásra átcsoportosítás</t>
  </si>
  <si>
    <t>Szárazmalom tetőszerkezetének állagmegóvása</t>
  </si>
  <si>
    <t>Monguz Hun Téka-M integrált nyilvántartó múzeumi rendszer</t>
  </si>
  <si>
    <t>Informatikai fejlesztés (számítógépek beszerzése)</t>
  </si>
  <si>
    <t>Jegykiadó rendszer létrehozása 3 helyszínen</t>
  </si>
  <si>
    <t>Bútor vásárlása (40 db szék, 2 db asztal)</t>
  </si>
  <si>
    <t>Fototechnikai kialakítása digitalizáláshoz</t>
  </si>
  <si>
    <t>595/2013 Régészeti lelőhelyek feltárása pályázati önerő</t>
  </si>
  <si>
    <t>540/2013 Városközpont rehab. III.ütem - kivitelzési feladataira kötendő szerződések (Swietelsky Kft.)</t>
  </si>
  <si>
    <t>586/2013 DAOP-4.1.3/A Szociális alapellátás fejlesztése Szarvason többletönerő</t>
  </si>
  <si>
    <t>612/2013 Novák István emlékplakettje</t>
  </si>
  <si>
    <t>644/2013 Városközpont rehab.szakmérnöki feladatok</t>
  </si>
  <si>
    <t>649/2013 DAOP-5.2.1/D komplex belvíz pótmunka közbeszerzési eljárási díja</t>
  </si>
  <si>
    <t>653/2013 Városközpont felújítás pótmunkáihoz közbeszerzési felad.elvégzésére (Illés és Sipos Ügyvédi Iroda)</t>
  </si>
  <si>
    <t>Szarvas Város Óvodái és Bölcsődéje</t>
  </si>
  <si>
    <t>Egyéb feladatok dologi (Rugalmas munkahely)</t>
  </si>
  <si>
    <t>Szarvas Város Óvodái és Bölcsődéje            3 cím</t>
  </si>
  <si>
    <t>Szarvas Város Óvodái és Bölcsődéje összesen</t>
  </si>
  <si>
    <r>
      <t>1 melléklet a 20/2013.(XII.20.) önkormányzati rendelethez</t>
    </r>
    <r>
      <rPr>
        <b/>
        <u/>
        <vertAlign val="superscript"/>
        <sz val="12"/>
        <rFont val="Arial CE"/>
        <charset val="238"/>
      </rPr>
      <t>1</t>
    </r>
  </si>
  <si>
    <r>
      <t>2 melléklet a 20/2013.(XII.20.) önkormányzati határozathoz</t>
    </r>
    <r>
      <rPr>
        <b/>
        <u/>
        <vertAlign val="superscript"/>
        <sz val="12"/>
        <rFont val="Arial"/>
        <family val="2"/>
        <charset val="238"/>
      </rPr>
      <t>1</t>
    </r>
  </si>
  <si>
    <r>
      <t>1/a melléklet a 20/2013.(XII.20.) önkormányzati rendelethez</t>
    </r>
    <r>
      <rPr>
        <b/>
        <u/>
        <vertAlign val="superscript"/>
        <sz val="10"/>
        <rFont val="Arial CE"/>
        <charset val="238"/>
      </rPr>
      <t>1</t>
    </r>
  </si>
  <si>
    <r>
      <t>1/b melléklet a 20/2013.(XII.20.) önkormányzati rendelethez</t>
    </r>
    <r>
      <rPr>
        <b/>
        <u/>
        <vertAlign val="superscript"/>
        <sz val="10"/>
        <rFont val="Arial CE"/>
        <charset val="238"/>
      </rPr>
      <t>1</t>
    </r>
  </si>
  <si>
    <r>
      <t>2/a melléklet a 20/2013.(XII.20.) önkormányzati rendelethez</t>
    </r>
    <r>
      <rPr>
        <b/>
        <u/>
        <vertAlign val="superscript"/>
        <sz val="11"/>
        <rFont val="Arial CE"/>
        <charset val="238"/>
      </rPr>
      <t>1</t>
    </r>
  </si>
  <si>
    <r>
      <t>2/b melléklet a 20/2013.(XII.20.) önkormányzati rendelethez</t>
    </r>
    <r>
      <rPr>
        <b/>
        <u/>
        <vertAlign val="superscript"/>
        <sz val="11"/>
        <rFont val="Arial CE"/>
        <charset val="238"/>
      </rPr>
      <t>1</t>
    </r>
  </si>
  <si>
    <r>
      <t>3 melléklet a 20/2013.(XII.20.) önkormányzati rendelethez</t>
    </r>
    <r>
      <rPr>
        <b/>
        <u/>
        <vertAlign val="superscript"/>
        <sz val="10"/>
        <rFont val="Arial CE"/>
        <charset val="238"/>
      </rPr>
      <t>1</t>
    </r>
  </si>
  <si>
    <r>
      <t>4 melléklet a 20/2013.(XII.20.) önkormányzati rendelethez</t>
    </r>
    <r>
      <rPr>
        <b/>
        <u/>
        <vertAlign val="superscript"/>
        <sz val="12"/>
        <rFont val="Arial CE"/>
        <charset val="238"/>
      </rPr>
      <t>1</t>
    </r>
  </si>
  <si>
    <r>
      <t>5 melléklet a 20/2013.(XII.20.) önkormányzati rendelethez</t>
    </r>
    <r>
      <rPr>
        <b/>
        <u/>
        <vertAlign val="superscript"/>
        <sz val="11"/>
        <rFont val="Arial CE"/>
        <charset val="238"/>
      </rPr>
      <t>1</t>
    </r>
  </si>
  <si>
    <r>
      <t>5/a melléklet a 20/2013.(XII.20.) önkormányzati rendelethez</t>
    </r>
    <r>
      <rPr>
        <b/>
        <u/>
        <vertAlign val="superscript"/>
        <sz val="10"/>
        <rFont val="Arial CE"/>
        <charset val="238"/>
      </rPr>
      <t>1</t>
    </r>
  </si>
  <si>
    <r>
      <t>7 melléklet a 20/2013.(XII.20.) önkormányzati rendelethez</t>
    </r>
    <r>
      <rPr>
        <b/>
        <u/>
        <vertAlign val="superscript"/>
        <sz val="10"/>
        <rFont val="Arial CE"/>
        <charset val="238"/>
      </rPr>
      <t>1</t>
    </r>
  </si>
</sst>
</file>

<file path=xl/styles.xml><?xml version="1.0" encoding="utf-8"?>
<styleSheet xmlns="http://schemas.openxmlformats.org/spreadsheetml/2006/main">
  <numFmts count="2">
    <numFmt numFmtId="164" formatCode="mmm\ d/"/>
    <numFmt numFmtId="165" formatCode="yyyy\-mm\-dd"/>
  </numFmts>
  <fonts count="56">
    <font>
      <sz val="10"/>
      <name val="Arial CE"/>
      <family val="2"/>
      <charset val="238"/>
    </font>
    <font>
      <sz val="10"/>
      <name val="Arial"/>
      <charset val="238"/>
    </font>
    <font>
      <sz val="12"/>
      <name val="Arial CE"/>
      <family val="2"/>
      <charset val="238"/>
    </font>
    <font>
      <b/>
      <u/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 CE"/>
      <charset val="238"/>
    </font>
    <font>
      <sz val="11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6"/>
      <name val="Arial CE"/>
      <charset val="238"/>
    </font>
    <font>
      <b/>
      <u/>
      <sz val="14"/>
      <name val="Arial"/>
      <family val="2"/>
      <charset val="238"/>
    </font>
    <font>
      <b/>
      <sz val="11"/>
      <name val="Arial CE"/>
      <charset val="238"/>
    </font>
    <font>
      <b/>
      <u/>
      <sz val="11"/>
      <name val="Arial CE"/>
      <charset val="238"/>
    </font>
    <font>
      <sz val="11"/>
      <name val="Arial"/>
      <family val="2"/>
      <charset val="238"/>
    </font>
    <font>
      <b/>
      <u/>
      <sz val="12"/>
      <name val="Arial CE"/>
      <charset val="238"/>
    </font>
    <font>
      <b/>
      <sz val="9"/>
      <name val="Arial CE"/>
      <charset val="238"/>
    </font>
    <font>
      <b/>
      <sz val="11"/>
      <name val="Times New Roman"/>
      <family val="1"/>
      <charset val="238"/>
    </font>
    <font>
      <i/>
      <u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u/>
      <vertAlign val="superscript"/>
      <sz val="12"/>
      <name val="Arial CE"/>
      <charset val="238"/>
    </font>
    <font>
      <b/>
      <u/>
      <vertAlign val="superscript"/>
      <sz val="12"/>
      <name val="Arial"/>
      <family val="2"/>
      <charset val="238"/>
    </font>
    <font>
      <b/>
      <u/>
      <vertAlign val="superscript"/>
      <sz val="10"/>
      <name val="Arial CE"/>
      <charset val="238"/>
    </font>
    <font>
      <b/>
      <u/>
      <vertAlign val="superscript"/>
      <sz val="11"/>
      <name val="Arial CE"/>
      <charset val="238"/>
    </font>
    <font>
      <b/>
      <u/>
      <vertAlign val="superscript"/>
      <sz val="10"/>
      <name val="Arial"/>
      <family val="2"/>
      <charset val="238"/>
    </font>
    <font>
      <b/>
      <u/>
      <vertAlign val="superscript"/>
      <sz val="12"/>
      <name val="Times New Roman"/>
      <family val="1"/>
      <charset val="238"/>
    </font>
    <font>
      <vertAlign val="superscript"/>
      <sz val="9"/>
      <name val="Arial CE"/>
      <family val="2"/>
      <charset val="238"/>
    </font>
    <font>
      <sz val="9"/>
      <name val="Arial CE"/>
      <charset val="238"/>
    </font>
    <font>
      <vertAlign val="superscript"/>
      <sz val="8"/>
      <name val="Arial CE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</cellStyleXfs>
  <cellXfs count="106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/>
    <xf numFmtId="0" fontId="4" fillId="0" borderId="0" xfId="0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3" fontId="2" fillId="0" borderId="0" xfId="0" applyNumberFormat="1" applyFont="1" applyBorder="1"/>
    <xf numFmtId="3" fontId="2" fillId="0" borderId="0" xfId="0" applyNumberFormat="1" applyFont="1" applyFill="1" applyBorder="1"/>
    <xf numFmtId="165" fontId="2" fillId="0" borderId="3" xfId="0" applyNumberFormat="1" applyFont="1" applyBorder="1"/>
    <xf numFmtId="3" fontId="4" fillId="0" borderId="0" xfId="0" applyNumberFormat="1" applyFont="1"/>
    <xf numFmtId="0" fontId="2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Fill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/>
    <xf numFmtId="3" fontId="2" fillId="0" borderId="1" xfId="0" applyNumberFormat="1" applyFont="1" applyBorder="1"/>
    <xf numFmtId="0" fontId="2" fillId="0" borderId="1" xfId="0" applyFont="1" applyFill="1" applyBorder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3" fontId="0" fillId="0" borderId="0" xfId="0" applyNumberFormat="1"/>
    <xf numFmtId="0" fontId="8" fillId="0" borderId="0" xfId="0" applyFont="1"/>
    <xf numFmtId="3" fontId="8" fillId="0" borderId="0" xfId="0" applyNumberFormat="1" applyFont="1"/>
    <xf numFmtId="0" fontId="8" fillId="0" borderId="3" xfId="0" applyFont="1" applyBorder="1"/>
    <xf numFmtId="3" fontId="8" fillId="0" borderId="3" xfId="0" applyNumberFormat="1" applyFont="1" applyBorder="1"/>
    <xf numFmtId="0" fontId="8" fillId="0" borderId="0" xfId="0" applyFont="1" applyBorder="1"/>
    <xf numFmtId="3" fontId="8" fillId="0" borderId="0" xfId="0" applyNumberFormat="1" applyFont="1" applyBorder="1"/>
    <xf numFmtId="0" fontId="8" fillId="0" borderId="0" xfId="0" applyFont="1" applyFill="1" applyBorder="1"/>
    <xf numFmtId="3" fontId="8" fillId="0" borderId="0" xfId="0" applyNumberFormat="1" applyFont="1" applyFill="1"/>
    <xf numFmtId="0" fontId="8" fillId="0" borderId="2" xfId="0" applyFont="1" applyFill="1" applyBorder="1"/>
    <xf numFmtId="3" fontId="8" fillId="0" borderId="1" xfId="0" applyNumberFormat="1" applyFont="1" applyBorder="1"/>
    <xf numFmtId="0" fontId="8" fillId="0" borderId="1" xfId="0" applyFont="1" applyBorder="1"/>
    <xf numFmtId="0" fontId="9" fillId="0" borderId="0" xfId="0" applyFont="1"/>
    <xf numFmtId="0" fontId="8" fillId="0" borderId="2" xfId="0" applyFont="1" applyBorder="1"/>
    <xf numFmtId="0" fontId="13" fillId="0" borderId="0" xfId="3"/>
    <xf numFmtId="0" fontId="7" fillId="0" borderId="0" xfId="3" applyFont="1" applyAlignment="1"/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vertical="top"/>
    </xf>
    <xf numFmtId="0" fontId="13" fillId="0" borderId="0" xfId="3" applyAlignment="1">
      <alignment vertical="top"/>
    </xf>
    <xf numFmtId="0" fontId="13" fillId="0" borderId="4" xfId="3" applyBorder="1"/>
    <xf numFmtId="0" fontId="13" fillId="0" borderId="5" xfId="3" applyBorder="1"/>
    <xf numFmtId="0" fontId="6" fillId="0" borderId="4" xfId="3" applyFont="1" applyBorder="1" applyAlignment="1">
      <alignment horizontal="center" vertical="top" wrapText="1"/>
    </xf>
    <xf numFmtId="0" fontId="6" fillId="0" borderId="5" xfId="3" applyFont="1" applyBorder="1" applyAlignment="1">
      <alignment horizontal="center" vertical="top" wrapText="1"/>
    </xf>
    <xf numFmtId="0" fontId="13" fillId="0" borderId="6" xfId="3" applyBorder="1" applyAlignment="1">
      <alignment horizontal="center" vertical="center" wrapText="1"/>
    </xf>
    <xf numFmtId="0" fontId="14" fillId="0" borderId="6" xfId="3" applyFont="1" applyBorder="1" applyAlignment="1">
      <alignment horizontal="center" vertical="center" wrapText="1"/>
    </xf>
    <xf numFmtId="0" fontId="13" fillId="0" borderId="4" xfId="3" applyBorder="1" applyAlignment="1">
      <alignment vertical="top"/>
    </xf>
    <xf numFmtId="0" fontId="13" fillId="0" borderId="5" xfId="3" applyBorder="1" applyAlignment="1">
      <alignment vertical="top" wrapText="1"/>
    </xf>
    <xf numFmtId="3" fontId="13" fillId="0" borderId="6" xfId="3" applyNumberFormat="1" applyBorder="1" applyAlignment="1">
      <alignment vertical="center" wrapText="1"/>
    </xf>
    <xf numFmtId="0" fontId="13" fillId="2" borderId="4" xfId="3" applyFill="1" applyBorder="1" applyAlignment="1">
      <alignment vertical="top"/>
    </xf>
    <xf numFmtId="0" fontId="13" fillId="2" borderId="5" xfId="3" applyFill="1" applyBorder="1" applyAlignment="1">
      <alignment vertical="top" wrapText="1"/>
    </xf>
    <xf numFmtId="3" fontId="13" fillId="2" borderId="6" xfId="3" applyNumberFormat="1" applyFill="1" applyBorder="1" applyAlignment="1">
      <alignment vertical="center" wrapText="1"/>
    </xf>
    <xf numFmtId="0" fontId="6" fillId="0" borderId="4" xfId="3" applyFont="1" applyBorder="1" applyAlignment="1">
      <alignment vertical="top" wrapText="1"/>
    </xf>
    <xf numFmtId="0" fontId="6" fillId="0" borderId="5" xfId="3" applyFont="1" applyBorder="1" applyAlignment="1">
      <alignment vertical="top" wrapText="1"/>
    </xf>
    <xf numFmtId="3" fontId="6" fillId="0" borderId="6" xfId="3" applyNumberFormat="1" applyFont="1" applyBorder="1" applyAlignment="1">
      <alignment vertical="center" wrapText="1"/>
    </xf>
    <xf numFmtId="0" fontId="15" fillId="0" borderId="4" xfId="3" applyFont="1" applyFill="1" applyBorder="1" applyAlignment="1">
      <alignment vertical="center"/>
    </xf>
    <xf numFmtId="0" fontId="15" fillId="0" borderId="5" xfId="3" applyFont="1" applyFill="1" applyBorder="1" applyAlignment="1">
      <alignment vertical="center" wrapText="1"/>
    </xf>
    <xf numFmtId="3" fontId="13" fillId="0" borderId="6" xfId="3" applyNumberFormat="1" applyBorder="1" applyAlignment="1">
      <alignment vertical="center"/>
    </xf>
    <xf numFmtId="3" fontId="15" fillId="0" borderId="6" xfId="3" applyNumberFormat="1" applyFont="1" applyBorder="1" applyAlignment="1">
      <alignment vertical="center" wrapText="1"/>
    </xf>
    <xf numFmtId="3" fontId="13" fillId="0" borderId="6" xfId="3" applyNumberFormat="1" applyFont="1" applyBorder="1" applyAlignment="1">
      <alignment vertical="center" wrapText="1"/>
    </xf>
    <xf numFmtId="0" fontId="16" fillId="0" borderId="4" xfId="3" applyFont="1" applyFill="1" applyBorder="1" applyAlignment="1">
      <alignment vertical="center" wrapText="1"/>
    </xf>
    <xf numFmtId="0" fontId="16" fillId="0" borderId="5" xfId="3" applyFont="1" applyFill="1" applyBorder="1" applyAlignment="1">
      <alignment vertical="center" wrapText="1"/>
    </xf>
    <xf numFmtId="3" fontId="16" fillId="0" borderId="6" xfId="3" applyNumberFormat="1" applyFont="1" applyBorder="1" applyAlignment="1">
      <alignment vertical="center"/>
    </xf>
    <xf numFmtId="3" fontId="16" fillId="0" borderId="6" xfId="3" applyNumberFormat="1" applyFont="1" applyBorder="1" applyAlignment="1">
      <alignment vertical="center" wrapText="1"/>
    </xf>
    <xf numFmtId="0" fontId="16" fillId="0" borderId="0" xfId="3" applyFont="1"/>
    <xf numFmtId="3" fontId="16" fillId="0" borderId="6" xfId="3" applyNumberFormat="1" applyFont="1" applyBorder="1" applyAlignment="1">
      <alignment horizontal="center" vertical="center"/>
    </xf>
    <xf numFmtId="0" fontId="16" fillId="0" borderId="0" xfId="3" applyFont="1" applyFill="1" applyBorder="1" applyAlignment="1">
      <alignment vertical="center" wrapText="1"/>
    </xf>
    <xf numFmtId="3" fontId="16" fillId="0" borderId="0" xfId="3" applyNumberFormat="1" applyFont="1" applyBorder="1" applyAlignment="1">
      <alignment vertical="center"/>
    </xf>
    <xf numFmtId="3" fontId="16" fillId="0" borderId="0" xfId="3" applyNumberFormat="1" applyFont="1" applyBorder="1" applyAlignment="1">
      <alignment vertical="center" wrapText="1"/>
    </xf>
    <xf numFmtId="3" fontId="16" fillId="0" borderId="0" xfId="3" applyNumberFormat="1" applyFont="1" applyBorder="1" applyAlignment="1">
      <alignment horizontal="center" vertical="center"/>
    </xf>
    <xf numFmtId="3" fontId="16" fillId="0" borderId="0" xfId="3" applyNumberFormat="1" applyFont="1" applyBorder="1" applyAlignment="1">
      <alignment horizontal="center" vertical="center" wrapText="1"/>
    </xf>
    <xf numFmtId="0" fontId="16" fillId="0" borderId="0" xfId="3" applyFont="1" applyBorder="1" applyAlignment="1">
      <alignment vertical="top" wrapText="1"/>
    </xf>
    <xf numFmtId="0" fontId="13" fillId="0" borderId="0" xfId="3" applyAlignment="1"/>
    <xf numFmtId="0" fontId="13" fillId="0" borderId="0" xfId="3" applyBorder="1"/>
    <xf numFmtId="0" fontId="13" fillId="0" borderId="4" xfId="3" applyFill="1" applyBorder="1"/>
    <xf numFmtId="0" fontId="13" fillId="0" borderId="7" xfId="3" applyFill="1" applyBorder="1"/>
    <xf numFmtId="0" fontId="13" fillId="0" borderId="7" xfId="3" applyBorder="1"/>
    <xf numFmtId="0" fontId="13" fillId="0" borderId="8" xfId="3" applyBorder="1"/>
    <xf numFmtId="3" fontId="13" fillId="0" borderId="7" xfId="3" applyNumberFormat="1" applyBorder="1"/>
    <xf numFmtId="3" fontId="13" fillId="0" borderId="5" xfId="3" applyNumberFormat="1" applyBorder="1"/>
    <xf numFmtId="3" fontId="13" fillId="0" borderId="0" xfId="3" applyNumberFormat="1" applyBorder="1"/>
    <xf numFmtId="3" fontId="17" fillId="0" borderId="0" xfId="0" applyNumberFormat="1" applyFont="1"/>
    <xf numFmtId="3" fontId="4" fillId="0" borderId="8" xfId="0" applyNumberFormat="1" applyFont="1" applyBorder="1"/>
    <xf numFmtId="0" fontId="10" fillId="0" borderId="0" xfId="0" applyFont="1" applyBorder="1" applyAlignment="1">
      <alignment horizontal="left"/>
    </xf>
    <xf numFmtId="3" fontId="5" fillId="0" borderId="0" xfId="0" applyNumberFormat="1" applyFont="1" applyBorder="1"/>
    <xf numFmtId="0" fontId="8" fillId="0" borderId="8" xfId="0" applyFont="1" applyBorder="1"/>
    <xf numFmtId="3" fontId="8" fillId="0" borderId="8" xfId="0" applyNumberFormat="1" applyFont="1" applyBorder="1"/>
    <xf numFmtId="0" fontId="18" fillId="0" borderId="0" xfId="0" applyFont="1" applyAlignment="1">
      <alignment horizontal="center"/>
    </xf>
    <xf numFmtId="0" fontId="18" fillId="0" borderId="0" xfId="0" applyFont="1"/>
    <xf numFmtId="3" fontId="18" fillId="0" borderId="0" xfId="0" applyNumberFormat="1" applyFont="1"/>
    <xf numFmtId="0" fontId="20" fillId="0" borderId="0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textRotation="90" wrapText="1"/>
    </xf>
    <xf numFmtId="164" fontId="18" fillId="0" borderId="0" xfId="0" applyNumberFormat="1" applyFont="1" applyAlignment="1">
      <alignment horizontal="center"/>
    </xf>
    <xf numFmtId="3" fontId="18" fillId="0" borderId="0" xfId="0" applyNumberFormat="1" applyFont="1" applyBorder="1"/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3" fontId="20" fillId="0" borderId="1" xfId="0" applyNumberFormat="1" applyFont="1" applyBorder="1"/>
    <xf numFmtId="0" fontId="20" fillId="0" borderId="0" xfId="0" applyFont="1"/>
    <xf numFmtId="0" fontId="18" fillId="0" borderId="0" xfId="0" applyFont="1" applyFill="1" applyBorder="1"/>
    <xf numFmtId="0" fontId="18" fillId="0" borderId="1" xfId="0" applyFont="1" applyBorder="1"/>
    <xf numFmtId="0" fontId="20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164" fontId="18" fillId="0" borderId="0" xfId="0" applyNumberFormat="1" applyFont="1" applyBorder="1" applyAlignment="1">
      <alignment horizontal="center"/>
    </xf>
    <xf numFmtId="164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3" fontId="20" fillId="0" borderId="0" xfId="0" applyNumberFormat="1" applyFont="1" applyAlignment="1">
      <alignment horizontal="center"/>
    </xf>
    <xf numFmtId="3" fontId="2" fillId="0" borderId="8" xfId="0" applyNumberFormat="1" applyFont="1" applyBorder="1"/>
    <xf numFmtId="3" fontId="4" fillId="0" borderId="9" xfId="0" applyNumberFormat="1" applyFont="1" applyBorder="1"/>
    <xf numFmtId="0" fontId="2" fillId="0" borderId="9" xfId="0" applyFont="1" applyBorder="1"/>
    <xf numFmtId="0" fontId="2" fillId="0" borderId="8" xfId="0" applyFont="1" applyBorder="1"/>
    <xf numFmtId="3" fontId="2" fillId="0" borderId="8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3" fontId="22" fillId="0" borderId="7" xfId="0" applyNumberFormat="1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0" fontId="13" fillId="0" borderId="0" xfId="0" applyFont="1"/>
    <xf numFmtId="0" fontId="2" fillId="0" borderId="0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22" fillId="0" borderId="7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3" fontId="17" fillId="0" borderId="3" xfId="0" applyNumberFormat="1" applyFont="1" applyBorder="1" applyAlignment="1">
      <alignment horizontal="center" vertical="center" wrapText="1"/>
    </xf>
    <xf numFmtId="0" fontId="22" fillId="0" borderId="0" xfId="0" applyFont="1"/>
    <xf numFmtId="0" fontId="23" fillId="0" borderId="0" xfId="2" applyFont="1"/>
    <xf numFmtId="0" fontId="24" fillId="0" borderId="0" xfId="2" applyFont="1"/>
    <xf numFmtId="0" fontId="15" fillId="0" borderId="0" xfId="2" applyFont="1" applyBorder="1"/>
    <xf numFmtId="0" fontId="15" fillId="0" borderId="0" xfId="2" applyFont="1" applyFill="1" applyBorder="1"/>
    <xf numFmtId="0" fontId="24" fillId="0" borderId="10" xfId="2" applyFont="1" applyBorder="1"/>
    <xf numFmtId="0" fontId="13" fillId="0" borderId="0" xfId="2" applyFont="1" applyAlignment="1">
      <alignment horizontal="center"/>
    </xf>
    <xf numFmtId="0" fontId="13" fillId="0" borderId="0" xfId="2" applyFont="1" applyAlignment="1">
      <alignment vertical="top"/>
    </xf>
    <xf numFmtId="0" fontId="13" fillId="0" borderId="0" xfId="2" applyFont="1"/>
    <xf numFmtId="3" fontId="13" fillId="0" borderId="0" xfId="2" applyNumberFormat="1" applyFont="1"/>
    <xf numFmtId="0" fontId="16" fillId="0" borderId="0" xfId="2" applyFont="1" applyBorder="1" applyAlignment="1">
      <alignment horizontal="center" vertical="center" wrapText="1"/>
    </xf>
    <xf numFmtId="0" fontId="16" fillId="0" borderId="0" xfId="2" applyFont="1" applyAlignment="1">
      <alignment horizontal="center"/>
    </xf>
    <xf numFmtId="0" fontId="16" fillId="0" borderId="0" xfId="2" applyFont="1" applyBorder="1" applyAlignment="1"/>
    <xf numFmtId="0" fontId="16" fillId="0" borderId="0" xfId="2" applyFont="1" applyBorder="1" applyAlignment="1">
      <alignment vertical="top" wrapText="1"/>
    </xf>
    <xf numFmtId="0" fontId="16" fillId="0" borderId="0" xfId="2" applyFont="1"/>
    <xf numFmtId="0" fontId="13" fillId="0" borderId="0" xfId="2" applyFont="1" applyBorder="1" applyAlignment="1">
      <alignment vertical="top"/>
    </xf>
    <xf numFmtId="0" fontId="16" fillId="0" borderId="7" xfId="2" applyFont="1" applyBorder="1" applyAlignment="1">
      <alignment vertical="top"/>
    </xf>
    <xf numFmtId="3" fontId="16" fillId="0" borderId="7" xfId="2" applyNumberFormat="1" applyFont="1" applyBorder="1" applyAlignment="1">
      <alignment vertical="center" wrapText="1"/>
    </xf>
    <xf numFmtId="0" fontId="16" fillId="0" borderId="7" xfId="2" applyFont="1" applyBorder="1"/>
    <xf numFmtId="0" fontId="16" fillId="0" borderId="8" xfId="2" applyFont="1" applyBorder="1" applyAlignment="1">
      <alignment vertical="top"/>
    </xf>
    <xf numFmtId="3" fontId="16" fillId="0" borderId="8" xfId="2" applyNumberFormat="1" applyFont="1" applyBorder="1" applyAlignment="1">
      <alignment vertical="center" wrapText="1"/>
    </xf>
    <xf numFmtId="0" fontId="16" fillId="0" borderId="8" xfId="2" applyFont="1" applyBorder="1"/>
    <xf numFmtId="0" fontId="16" fillId="0" borderId="0" xfId="2" applyFont="1" applyBorder="1" applyAlignment="1">
      <alignment vertical="top"/>
    </xf>
    <xf numFmtId="3" fontId="16" fillId="0" borderId="0" xfId="2" applyNumberFormat="1" applyFont="1" applyBorder="1" applyAlignment="1">
      <alignment vertical="center" wrapText="1"/>
    </xf>
    <xf numFmtId="3" fontId="13" fillId="0" borderId="0" xfId="2" applyNumberFormat="1" applyFont="1" applyBorder="1"/>
    <xf numFmtId="0" fontId="13" fillId="0" borderId="0" xfId="2" applyFont="1" applyBorder="1" applyAlignment="1">
      <alignment horizontal="center" vertical="top"/>
    </xf>
    <xf numFmtId="3" fontId="13" fillId="0" borderId="0" xfId="2" applyNumberFormat="1" applyFont="1" applyBorder="1" applyAlignment="1">
      <alignment vertical="center"/>
    </xf>
    <xf numFmtId="0" fontId="16" fillId="0" borderId="0" xfId="2" applyFont="1" applyBorder="1"/>
    <xf numFmtId="0" fontId="21" fillId="0" borderId="0" xfId="2" applyFont="1" applyBorder="1" applyAlignment="1">
      <alignment vertical="top"/>
    </xf>
    <xf numFmtId="16" fontId="13" fillId="0" borderId="0" xfId="2" applyNumberFormat="1" applyFont="1" applyBorder="1" applyAlignment="1">
      <alignment vertical="top"/>
    </xf>
    <xf numFmtId="3" fontId="16" fillId="0" borderId="7" xfId="2" applyNumberFormat="1" applyFont="1" applyBorder="1" applyAlignment="1">
      <alignment vertical="center"/>
    </xf>
    <xf numFmtId="0" fontId="13" fillId="0" borderId="0" xfId="2" applyFont="1" applyBorder="1" applyAlignment="1"/>
    <xf numFmtId="0" fontId="13" fillId="0" borderId="0" xfId="2" applyFont="1" applyBorder="1"/>
    <xf numFmtId="0" fontId="13" fillId="0" borderId="8" xfId="2" applyFont="1" applyBorder="1" applyAlignment="1">
      <alignment vertical="top"/>
    </xf>
    <xf numFmtId="0" fontId="13" fillId="0" borderId="8" xfId="2" applyFont="1" applyBorder="1" applyAlignment="1"/>
    <xf numFmtId="0" fontId="13" fillId="0" borderId="8" xfId="2" applyFont="1" applyBorder="1"/>
    <xf numFmtId="0" fontId="16" fillId="0" borderId="7" xfId="2" applyFont="1" applyBorder="1" applyAlignment="1"/>
    <xf numFmtId="16" fontId="13" fillId="0" borderId="8" xfId="2" applyNumberFormat="1" applyFont="1" applyBorder="1" applyAlignment="1">
      <alignment vertical="top"/>
    </xf>
    <xf numFmtId="0" fontId="13" fillId="0" borderId="0" xfId="2"/>
    <xf numFmtId="0" fontId="2" fillId="0" borderId="0" xfId="2" applyFont="1"/>
    <xf numFmtId="0" fontId="2" fillId="0" borderId="0" xfId="2" applyFont="1" applyBorder="1"/>
    <xf numFmtId="0" fontId="16" fillId="0" borderId="6" xfId="2" applyFont="1" applyBorder="1"/>
    <xf numFmtId="3" fontId="16" fillId="0" borderId="6" xfId="2" applyNumberFormat="1" applyFont="1" applyBorder="1"/>
    <xf numFmtId="0" fontId="26" fillId="0" borderId="0" xfId="1" applyFont="1"/>
    <xf numFmtId="0" fontId="26" fillId="0" borderId="0" xfId="1" applyFont="1" applyAlignment="1">
      <alignment horizontal="center"/>
    </xf>
    <xf numFmtId="0" fontId="26" fillId="0" borderId="0" xfId="1" applyFont="1" applyBorder="1" applyAlignment="1">
      <alignment horizontal="center"/>
    </xf>
    <xf numFmtId="0" fontId="28" fillId="0" borderId="4" xfId="1" applyFont="1" applyBorder="1" applyAlignment="1">
      <alignment horizontal="left"/>
    </xf>
    <xf numFmtId="3" fontId="28" fillId="0" borderId="5" xfId="1" applyNumberFormat="1" applyFont="1" applyFill="1" applyBorder="1"/>
    <xf numFmtId="0" fontId="28" fillId="0" borderId="0" xfId="1" applyFont="1"/>
    <xf numFmtId="0" fontId="26" fillId="0" borderId="4" xfId="1" applyFont="1" applyBorder="1" applyAlignment="1">
      <alignment horizontal="left"/>
    </xf>
    <xf numFmtId="0" fontId="26" fillId="0" borderId="7" xfId="1" applyFont="1" applyBorder="1" applyAlignment="1">
      <alignment horizontal="left"/>
    </xf>
    <xf numFmtId="3" fontId="26" fillId="0" borderId="5" xfId="1" applyNumberFormat="1" applyFont="1" applyFill="1" applyBorder="1"/>
    <xf numFmtId="0" fontId="26" fillId="0" borderId="4" xfId="1" applyFont="1" applyBorder="1"/>
    <xf numFmtId="0" fontId="26" fillId="0" borderId="0" xfId="1" applyFont="1" applyBorder="1"/>
    <xf numFmtId="3" fontId="26" fillId="0" borderId="0" xfId="1" applyNumberFormat="1" applyFont="1" applyFill="1" applyBorder="1"/>
    <xf numFmtId="0" fontId="26" fillId="0" borderId="0" xfId="1" applyFont="1" applyFill="1" applyBorder="1" applyAlignment="1">
      <alignment horizontal="left"/>
    </xf>
    <xf numFmtId="0" fontId="26" fillId="0" borderId="0" xfId="1" applyFont="1" applyFill="1" applyBorder="1"/>
    <xf numFmtId="3" fontId="26" fillId="0" borderId="0" xfId="1" applyNumberFormat="1" applyFont="1" applyFill="1"/>
    <xf numFmtId="0" fontId="30" fillId="0" borderId="0" xfId="2" applyFont="1"/>
    <xf numFmtId="0" fontId="12" fillId="0" borderId="0" xfId="2" applyFont="1" applyAlignment="1">
      <alignment horizontal="center"/>
    </xf>
    <xf numFmtId="3" fontId="30" fillId="0" borderId="0" xfId="2" applyNumberFormat="1" applyFont="1"/>
    <xf numFmtId="0" fontId="22" fillId="0" borderId="0" xfId="2" applyFont="1" applyBorder="1"/>
    <xf numFmtId="0" fontId="12" fillId="0" borderId="9" xfId="0" applyFont="1" applyBorder="1"/>
    <xf numFmtId="0" fontId="20" fillId="0" borderId="7" xfId="0" applyFont="1" applyBorder="1"/>
    <xf numFmtId="0" fontId="18" fillId="0" borderId="0" xfId="0" applyFont="1" applyBorder="1" applyAlignment="1"/>
    <xf numFmtId="0" fontId="18" fillId="0" borderId="7" xfId="0" applyFont="1" applyBorder="1" applyAlignment="1">
      <alignment horizontal="center"/>
    </xf>
    <xf numFmtId="0" fontId="18" fillId="0" borderId="7" xfId="0" applyFont="1" applyBorder="1"/>
    <xf numFmtId="3" fontId="18" fillId="0" borderId="7" xfId="0" applyNumberFormat="1" applyFont="1" applyBorder="1"/>
    <xf numFmtId="0" fontId="3" fillId="0" borderId="0" xfId="0" applyFont="1" applyAlignment="1">
      <alignment horizontal="right"/>
    </xf>
    <xf numFmtId="3" fontId="2" fillId="0" borderId="8" xfId="0" applyNumberFormat="1" applyFont="1" applyFill="1" applyBorder="1"/>
    <xf numFmtId="0" fontId="6" fillId="0" borderId="4" xfId="0" applyFont="1" applyBorder="1" applyAlignment="1"/>
    <xf numFmtId="0" fontId="6" fillId="0" borderId="7" xfId="0" applyFont="1" applyBorder="1" applyAlignment="1"/>
    <xf numFmtId="0" fontId="13" fillId="0" borderId="0" xfId="3" applyFill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Fill="1" applyBorder="1" applyAlignment="1"/>
    <xf numFmtId="0" fontId="13" fillId="0" borderId="13" xfId="3" applyBorder="1"/>
    <xf numFmtId="0" fontId="13" fillId="0" borderId="4" xfId="3" applyFont="1" applyFill="1" applyBorder="1"/>
    <xf numFmtId="0" fontId="13" fillId="0" borderId="0" xfId="3" applyFont="1"/>
    <xf numFmtId="3" fontId="13" fillId="0" borderId="6" xfId="3" applyNumberFormat="1" applyFont="1" applyBorder="1"/>
    <xf numFmtId="3" fontId="13" fillId="0" borderId="6" xfId="3" applyNumberFormat="1" applyFont="1" applyBorder="1" applyAlignment="1">
      <alignment horizontal="center"/>
    </xf>
    <xf numFmtId="0" fontId="13" fillId="0" borderId="0" xfId="3" applyFont="1" applyAlignment="1">
      <alignment horizontal="center"/>
    </xf>
    <xf numFmtId="0" fontId="16" fillId="0" borderId="6" xfId="0" applyFont="1" applyBorder="1"/>
    <xf numFmtId="0" fontId="6" fillId="0" borderId="6" xfId="0" applyFont="1" applyFill="1" applyBorder="1" applyAlignment="1"/>
    <xf numFmtId="0" fontId="17" fillId="0" borderId="7" xfId="2" applyFont="1" applyBorder="1" applyAlignment="1">
      <alignment horizontal="center" vertical="center" wrapText="1"/>
    </xf>
    <xf numFmtId="0" fontId="12" fillId="0" borderId="7" xfId="0" applyFont="1" applyBorder="1"/>
    <xf numFmtId="3" fontId="13" fillId="0" borderId="7" xfId="2" applyNumberFormat="1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7" xfId="0" applyFont="1" applyFill="1" applyBorder="1"/>
    <xf numFmtId="3" fontId="20" fillId="0" borderId="7" xfId="0" applyNumberFormat="1" applyFont="1" applyBorder="1"/>
    <xf numFmtId="0" fontId="18" fillId="0" borderId="2" xfId="0" applyFont="1" applyBorder="1" applyAlignment="1">
      <alignment horizontal="center"/>
    </xf>
    <xf numFmtId="0" fontId="18" fillId="0" borderId="2" xfId="0" applyFont="1" applyBorder="1"/>
    <xf numFmtId="0" fontId="18" fillId="0" borderId="2" xfId="0" applyFont="1" applyFill="1" applyBorder="1"/>
    <xf numFmtId="3" fontId="18" fillId="0" borderId="2" xfId="0" applyNumberFormat="1" applyFont="1" applyBorder="1"/>
    <xf numFmtId="0" fontId="16" fillId="0" borderId="6" xfId="2" applyFont="1" applyBorder="1" applyAlignment="1">
      <alignment horizontal="center" vertical="center" wrapText="1"/>
    </xf>
    <xf numFmtId="3" fontId="16" fillId="0" borderId="14" xfId="2" applyNumberFormat="1" applyFont="1" applyBorder="1" applyAlignment="1">
      <alignment horizontal="center" vertical="center" wrapText="1"/>
    </xf>
    <xf numFmtId="3" fontId="16" fillId="0" borderId="10" xfId="2" applyNumberFormat="1" applyFont="1" applyBorder="1" applyAlignment="1">
      <alignment horizontal="center"/>
    </xf>
    <xf numFmtId="3" fontId="13" fillId="0" borderId="10" xfId="2" applyNumberFormat="1" applyFont="1" applyBorder="1"/>
    <xf numFmtId="3" fontId="16" fillId="0" borderId="4" xfId="2" applyNumberFormat="1" applyFont="1" applyBorder="1"/>
    <xf numFmtId="3" fontId="16" fillId="0" borderId="15" xfId="2" applyNumberFormat="1" applyFont="1" applyBorder="1"/>
    <xf numFmtId="3" fontId="16" fillId="0" borderId="10" xfId="2" applyNumberFormat="1" applyFont="1" applyBorder="1"/>
    <xf numFmtId="3" fontId="13" fillId="0" borderId="15" xfId="2" applyNumberFormat="1" applyFont="1" applyBorder="1"/>
    <xf numFmtId="0" fontId="16" fillId="0" borderId="14" xfId="2" applyFont="1" applyBorder="1" applyAlignment="1">
      <alignment horizontal="right" vertical="center" wrapText="1"/>
    </xf>
    <xf numFmtId="0" fontId="16" fillId="0" borderId="10" xfId="2" applyFont="1" applyBorder="1" applyAlignment="1">
      <alignment horizontal="right" vertical="center" wrapText="1"/>
    </xf>
    <xf numFmtId="3" fontId="16" fillId="0" borderId="14" xfId="2" applyNumberFormat="1" applyFont="1" applyBorder="1"/>
    <xf numFmtId="0" fontId="16" fillId="0" borderId="10" xfId="2" applyFont="1" applyBorder="1"/>
    <xf numFmtId="0" fontId="16" fillId="0" borderId="4" xfId="2" applyFont="1" applyBorder="1"/>
    <xf numFmtId="0" fontId="16" fillId="0" borderId="11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3" fontId="16" fillId="0" borderId="16" xfId="2" applyNumberFormat="1" applyFont="1" applyBorder="1"/>
    <xf numFmtId="0" fontId="16" fillId="0" borderId="10" xfId="2" applyFont="1" applyBorder="1" applyAlignment="1">
      <alignment horizontal="center"/>
    </xf>
    <xf numFmtId="0" fontId="16" fillId="0" borderId="17" xfId="2" applyFont="1" applyBorder="1"/>
    <xf numFmtId="0" fontId="16" fillId="0" borderId="15" xfId="2" applyFont="1" applyBorder="1" applyAlignment="1">
      <alignment horizontal="center"/>
    </xf>
    <xf numFmtId="0" fontId="16" fillId="0" borderId="8" xfId="2" applyFont="1" applyBorder="1" applyAlignment="1">
      <alignment vertical="top" wrapText="1"/>
    </xf>
    <xf numFmtId="0" fontId="16" fillId="0" borderId="13" xfId="2" applyFont="1" applyBorder="1"/>
    <xf numFmtId="0" fontId="21" fillId="0" borderId="0" xfId="2" applyFont="1" applyBorder="1" applyAlignment="1">
      <alignment horizontal="left"/>
    </xf>
    <xf numFmtId="0" fontId="13" fillId="0" borderId="10" xfId="2" applyFont="1" applyBorder="1" applyAlignment="1">
      <alignment horizontal="center"/>
    </xf>
    <xf numFmtId="0" fontId="13" fillId="0" borderId="17" xfId="2" applyFont="1" applyBorder="1"/>
    <xf numFmtId="0" fontId="16" fillId="0" borderId="4" xfId="2" applyFont="1" applyBorder="1" applyAlignment="1">
      <alignment horizontal="center"/>
    </xf>
    <xf numFmtId="0" fontId="16" fillId="0" borderId="5" xfId="2" applyFont="1" applyBorder="1"/>
    <xf numFmtId="0" fontId="25" fillId="0" borderId="0" xfId="0" applyFont="1" applyBorder="1"/>
    <xf numFmtId="0" fontId="13" fillId="0" borderId="15" xfId="2" applyFont="1" applyBorder="1" applyAlignment="1">
      <alignment horizontal="center"/>
    </xf>
    <xf numFmtId="0" fontId="13" fillId="0" borderId="13" xfId="2" applyFont="1" applyBorder="1"/>
    <xf numFmtId="0" fontId="16" fillId="0" borderId="8" xfId="2" applyFont="1" applyBorder="1" applyAlignment="1"/>
    <xf numFmtId="0" fontId="32" fillId="0" borderId="0" xfId="2" applyFont="1" applyBorder="1"/>
    <xf numFmtId="0" fontId="2" fillId="0" borderId="10" xfId="2" applyFont="1" applyBorder="1"/>
    <xf numFmtId="0" fontId="2" fillId="0" borderId="14" xfId="2" applyFont="1" applyBorder="1"/>
    <xf numFmtId="0" fontId="17" fillId="0" borderId="10" xfId="2" applyFont="1" applyBorder="1"/>
    <xf numFmtId="0" fontId="5" fillId="0" borderId="6" xfId="2" applyFont="1" applyBorder="1" applyAlignment="1">
      <alignment horizontal="right" vertical="center"/>
    </xf>
    <xf numFmtId="0" fontId="2" fillId="0" borderId="16" xfId="2" applyFont="1" applyBorder="1"/>
    <xf numFmtId="0" fontId="2" fillId="0" borderId="15" xfId="2" applyFont="1" applyBorder="1"/>
    <xf numFmtId="0" fontId="12" fillId="0" borderId="6" xfId="2" applyFont="1" applyBorder="1"/>
    <xf numFmtId="0" fontId="13" fillId="0" borderId="0" xfId="2" applyFont="1" applyAlignment="1">
      <alignment wrapText="1"/>
    </xf>
    <xf numFmtId="3" fontId="16" fillId="0" borderId="6" xfId="2" applyNumberFormat="1" applyFont="1" applyBorder="1" applyAlignment="1">
      <alignment horizontal="center" vertical="center"/>
    </xf>
    <xf numFmtId="3" fontId="16" fillId="0" borderId="14" xfId="2" applyNumberFormat="1" applyFont="1" applyBorder="1" applyAlignment="1">
      <alignment horizontal="center" vertical="center"/>
    </xf>
    <xf numFmtId="3" fontId="16" fillId="0" borderId="10" xfId="2" applyNumberFormat="1" applyFont="1" applyBorder="1" applyAlignment="1">
      <alignment horizontal="center" vertical="center"/>
    </xf>
    <xf numFmtId="3" fontId="13" fillId="0" borderId="11" xfId="2" applyNumberFormat="1" applyFont="1" applyBorder="1"/>
    <xf numFmtId="3" fontId="13" fillId="0" borderId="16" xfId="2" applyNumberFormat="1" applyFont="1" applyBorder="1"/>
    <xf numFmtId="3" fontId="16" fillId="0" borderId="18" xfId="2" applyNumberFormat="1" applyFont="1" applyBorder="1"/>
    <xf numFmtId="3" fontId="16" fillId="0" borderId="11" xfId="2" applyNumberFormat="1" applyFont="1" applyBorder="1"/>
    <xf numFmtId="0" fontId="28" fillId="0" borderId="7" xfId="1" applyFont="1" applyBorder="1" applyAlignment="1">
      <alignment horizontal="left"/>
    </xf>
    <xf numFmtId="0" fontId="31" fillId="0" borderId="0" xfId="1" applyFont="1" applyBorder="1" applyAlignment="1">
      <alignment horizontal="right"/>
    </xf>
    <xf numFmtId="0" fontId="0" fillId="0" borderId="0" xfId="0" applyAlignment="1"/>
    <xf numFmtId="3" fontId="2" fillId="0" borderId="9" xfId="0" applyNumberFormat="1" applyFont="1" applyBorder="1" applyAlignment="1">
      <alignment horizontal="center" vertical="center" wrapText="1"/>
    </xf>
    <xf numFmtId="3" fontId="4" fillId="0" borderId="7" xfId="0" applyNumberFormat="1" applyFont="1" applyBorder="1"/>
    <xf numFmtId="3" fontId="2" fillId="0" borderId="7" xfId="0" applyNumberFormat="1" applyFont="1" applyBorder="1"/>
    <xf numFmtId="3" fontId="17" fillId="0" borderId="7" xfId="0" applyNumberFormat="1" applyFont="1" applyBorder="1"/>
    <xf numFmtId="3" fontId="12" fillId="0" borderId="7" xfId="0" applyNumberFormat="1" applyFont="1" applyBorder="1"/>
    <xf numFmtId="3" fontId="17" fillId="0" borderId="8" xfId="0" applyNumberFormat="1" applyFont="1" applyBorder="1"/>
    <xf numFmtId="3" fontId="0" fillId="0" borderId="0" xfId="0" applyNumberFormat="1" applyAlignment="1"/>
    <xf numFmtId="3" fontId="20" fillId="0" borderId="0" xfId="0" applyNumberFormat="1" applyFont="1"/>
    <xf numFmtId="3" fontId="18" fillId="0" borderId="8" xfId="0" applyNumberFormat="1" applyFont="1" applyBorder="1"/>
    <xf numFmtId="0" fontId="32" fillId="0" borderId="7" xfId="0" applyFont="1" applyBorder="1" applyAlignment="1">
      <alignment horizontal="center" vertical="center" wrapText="1"/>
    </xf>
    <xf numFmtId="3" fontId="32" fillId="0" borderId="7" xfId="0" applyNumberFormat="1" applyFont="1" applyBorder="1" applyAlignment="1">
      <alignment horizontal="center" vertical="center" wrapText="1"/>
    </xf>
    <xf numFmtId="0" fontId="16" fillId="0" borderId="0" xfId="0" applyFont="1"/>
    <xf numFmtId="3" fontId="4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/>
    <xf numFmtId="3" fontId="12" fillId="0" borderId="0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3" fontId="32" fillId="0" borderId="7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/>
    </xf>
    <xf numFmtId="3" fontId="8" fillId="0" borderId="7" xfId="0" applyNumberFormat="1" applyFont="1" applyBorder="1"/>
    <xf numFmtId="3" fontId="32" fillId="0" borderId="7" xfId="0" applyNumberFormat="1" applyFont="1" applyBorder="1"/>
    <xf numFmtId="3" fontId="12" fillId="0" borderId="3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center" vertical="center"/>
    </xf>
    <xf numFmtId="3" fontId="2" fillId="0" borderId="0" xfId="2" applyNumberFormat="1" applyFont="1"/>
    <xf numFmtId="0" fontId="2" fillId="0" borderId="6" xfId="2" applyFont="1" applyBorder="1" applyAlignment="1">
      <alignment horizontal="center"/>
    </xf>
    <xf numFmtId="3" fontId="2" fillId="0" borderId="6" xfId="2" applyNumberFormat="1" applyFont="1" applyBorder="1" applyAlignment="1">
      <alignment horizontal="center"/>
    </xf>
    <xf numFmtId="0" fontId="4" fillId="0" borderId="4" xfId="2" applyFont="1" applyBorder="1" applyAlignment="1">
      <alignment horizontal="center" vertical="center"/>
    </xf>
    <xf numFmtId="3" fontId="4" fillId="0" borderId="6" xfId="2" applyNumberFormat="1" applyFont="1" applyBorder="1" applyAlignment="1">
      <alignment horizontal="center" vertical="center"/>
    </xf>
    <xf numFmtId="3" fontId="4" fillId="0" borderId="6" xfId="2" applyNumberFormat="1" applyFont="1" applyBorder="1" applyAlignment="1">
      <alignment horizontal="center" vertical="center" wrapText="1"/>
    </xf>
    <xf numFmtId="3" fontId="2" fillId="0" borderId="16" xfId="2" applyNumberFormat="1" applyFont="1" applyBorder="1"/>
    <xf numFmtId="0" fontId="2" fillId="0" borderId="10" xfId="2" applyFont="1" applyFill="1" applyBorder="1"/>
    <xf numFmtId="3" fontId="2" fillId="0" borderId="16" xfId="2" applyNumberFormat="1" applyFont="1" applyFill="1" applyBorder="1"/>
    <xf numFmtId="3" fontId="2" fillId="0" borderId="18" xfId="2" applyNumberFormat="1" applyFont="1" applyBorder="1"/>
    <xf numFmtId="0" fontId="4" fillId="0" borderId="14" xfId="2" applyFont="1" applyBorder="1"/>
    <xf numFmtId="3" fontId="12" fillId="0" borderId="6" xfId="2" applyNumberFormat="1" applyFont="1" applyBorder="1"/>
    <xf numFmtId="0" fontId="3" fillId="0" borderId="10" xfId="2" applyFont="1" applyBorder="1"/>
    <xf numFmtId="3" fontId="2" fillId="0" borderId="10" xfId="2" applyNumberFormat="1" applyFont="1" applyBorder="1"/>
    <xf numFmtId="3" fontId="12" fillId="0" borderId="18" xfId="2" applyNumberFormat="1" applyFont="1" applyBorder="1"/>
    <xf numFmtId="3" fontId="4" fillId="0" borderId="14" xfId="2" applyNumberFormat="1" applyFont="1" applyBorder="1"/>
    <xf numFmtId="3" fontId="4" fillId="0" borderId="11" xfId="2" applyNumberFormat="1" applyFont="1" applyBorder="1"/>
    <xf numFmtId="0" fontId="4" fillId="0" borderId="10" xfId="2" applyFont="1" applyBorder="1"/>
    <xf numFmtId="3" fontId="4" fillId="0" borderId="10" xfId="2" applyNumberFormat="1" applyFont="1" applyBorder="1"/>
    <xf numFmtId="3" fontId="4" fillId="0" borderId="16" xfId="2" applyNumberFormat="1" applyFont="1" applyBorder="1"/>
    <xf numFmtId="3" fontId="4" fillId="0" borderId="7" xfId="2" applyNumberFormat="1" applyFont="1" applyBorder="1" applyAlignment="1">
      <alignment horizontal="center" vertical="center" wrapText="1"/>
    </xf>
    <xf numFmtId="3" fontId="2" fillId="0" borderId="0" xfId="2" applyNumberFormat="1" applyFont="1" applyBorder="1"/>
    <xf numFmtId="3" fontId="2" fillId="0" borderId="8" xfId="2" applyNumberFormat="1" applyFont="1" applyBorder="1"/>
    <xf numFmtId="3" fontId="12" fillId="0" borderId="8" xfId="2" applyNumberFormat="1" applyFont="1" applyBorder="1"/>
    <xf numFmtId="3" fontId="12" fillId="0" borderId="7" xfId="2" applyNumberFormat="1" applyFont="1" applyBorder="1"/>
    <xf numFmtId="3" fontId="2" fillId="0" borderId="7" xfId="2" applyNumberFormat="1" applyFont="1" applyBorder="1" applyAlignment="1">
      <alignment horizontal="center"/>
    </xf>
    <xf numFmtId="3" fontId="17" fillId="0" borderId="7" xfId="2" applyNumberFormat="1" applyFont="1" applyBorder="1"/>
    <xf numFmtId="0" fontId="18" fillId="0" borderId="10" xfId="0" applyFont="1" applyBorder="1"/>
    <xf numFmtId="3" fontId="3" fillId="0" borderId="10" xfId="2" applyNumberFormat="1" applyFont="1" applyBorder="1"/>
    <xf numFmtId="0" fontId="23" fillId="0" borderId="10" xfId="2" applyFont="1" applyBorder="1"/>
    <xf numFmtId="0" fontId="22" fillId="0" borderId="0" xfId="2" applyFont="1" applyAlignment="1">
      <alignment horizontal="center"/>
    </xf>
    <xf numFmtId="0" fontId="22" fillId="0" borderId="0" xfId="2" applyFont="1" applyAlignment="1">
      <alignment vertical="top"/>
    </xf>
    <xf numFmtId="0" fontId="22" fillId="0" borderId="0" xfId="2" applyFont="1"/>
    <xf numFmtId="0" fontId="32" fillId="0" borderId="0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top" wrapText="1"/>
    </xf>
    <xf numFmtId="0" fontId="33" fillId="0" borderId="0" xfId="2" applyFont="1" applyAlignment="1">
      <alignment horizontal="left"/>
    </xf>
    <xf numFmtId="0" fontId="22" fillId="0" borderId="0" xfId="2" applyFont="1" applyBorder="1" applyAlignment="1">
      <alignment horizontal="center" vertical="center" wrapText="1"/>
    </xf>
    <xf numFmtId="0" fontId="32" fillId="0" borderId="0" xfId="2" applyFont="1" applyAlignment="1">
      <alignment horizontal="center"/>
    </xf>
    <xf numFmtId="0" fontId="32" fillId="0" borderId="0" xfId="2" applyFont="1" applyBorder="1" applyAlignment="1"/>
    <xf numFmtId="0" fontId="32" fillId="0" borderId="0" xfId="2" applyFont="1" applyBorder="1" applyAlignment="1">
      <alignment vertical="top" wrapText="1"/>
    </xf>
    <xf numFmtId="0" fontId="32" fillId="0" borderId="0" xfId="2" applyFont="1"/>
    <xf numFmtId="0" fontId="32" fillId="0" borderId="0" xfId="2" applyFont="1" applyAlignment="1">
      <alignment vertical="center" wrapText="1"/>
    </xf>
    <xf numFmtId="0" fontId="32" fillId="0" borderId="0" xfId="2" applyFont="1" applyAlignment="1">
      <alignment horizontal="right" vertical="center" wrapText="1"/>
    </xf>
    <xf numFmtId="0" fontId="22" fillId="0" borderId="0" xfId="2" applyFont="1" applyAlignment="1">
      <alignment horizontal="center" vertical="top"/>
    </xf>
    <xf numFmtId="0" fontId="22" fillId="0" borderId="0" xfId="2" applyFont="1" applyBorder="1" applyAlignment="1">
      <alignment vertical="top"/>
    </xf>
    <xf numFmtId="3" fontId="22" fillId="0" borderId="0" xfId="2" applyNumberFormat="1" applyFont="1"/>
    <xf numFmtId="0" fontId="32" fillId="0" borderId="7" xfId="2" applyFont="1" applyBorder="1" applyAlignment="1">
      <alignment horizontal="center"/>
    </xf>
    <xf numFmtId="0" fontId="32" fillId="0" borderId="7" xfId="2" applyFont="1" applyBorder="1" applyAlignment="1">
      <alignment vertical="top"/>
    </xf>
    <xf numFmtId="3" fontId="32" fillId="0" borderId="7" xfId="2" applyNumberFormat="1" applyFont="1" applyBorder="1" applyAlignment="1">
      <alignment vertical="center" wrapText="1"/>
    </xf>
    <xf numFmtId="0" fontId="32" fillId="0" borderId="7" xfId="2" applyFont="1" applyBorder="1"/>
    <xf numFmtId="3" fontId="32" fillId="0" borderId="7" xfId="2" applyNumberFormat="1" applyFont="1" applyBorder="1"/>
    <xf numFmtId="0" fontId="32" fillId="0" borderId="8" xfId="2" applyFont="1" applyBorder="1" applyAlignment="1">
      <alignment horizontal="center"/>
    </xf>
    <xf numFmtId="0" fontId="32" fillId="0" borderId="8" xfId="2" applyFont="1" applyBorder="1" applyAlignment="1">
      <alignment vertical="top"/>
    </xf>
    <xf numFmtId="3" fontId="32" fillId="0" borderId="8" xfId="2" applyNumberFormat="1" applyFont="1" applyBorder="1" applyAlignment="1">
      <alignment vertical="center" wrapText="1"/>
    </xf>
    <xf numFmtId="0" fontId="32" fillId="0" borderId="8" xfId="2" applyFont="1" applyBorder="1"/>
    <xf numFmtId="0" fontId="32" fillId="0" borderId="0" xfId="2" applyFont="1" applyBorder="1" applyAlignment="1">
      <alignment vertical="top"/>
    </xf>
    <xf numFmtId="3" fontId="32" fillId="0" borderId="0" xfId="2" applyNumberFormat="1" applyFont="1" applyBorder="1" applyAlignment="1">
      <alignment vertical="center" wrapText="1"/>
    </xf>
    <xf numFmtId="3" fontId="32" fillId="0" borderId="19" xfId="2" applyNumberFormat="1" applyFont="1" applyBorder="1"/>
    <xf numFmtId="0" fontId="8" fillId="0" borderId="0" xfId="2" applyFont="1" applyBorder="1"/>
    <xf numFmtId="3" fontId="22" fillId="0" borderId="0" xfId="2" applyNumberFormat="1" applyFont="1" applyBorder="1"/>
    <xf numFmtId="0" fontId="22" fillId="0" borderId="0" xfId="2" applyFont="1" applyBorder="1" applyAlignment="1">
      <alignment horizontal="center" vertical="top"/>
    </xf>
    <xf numFmtId="0" fontId="8" fillId="0" borderId="0" xfId="2" applyFont="1" applyFill="1" applyBorder="1"/>
    <xf numFmtId="0" fontId="32" fillId="0" borderId="0" xfId="2" applyFont="1" applyBorder="1" applyAlignment="1">
      <alignment horizontal="center"/>
    </xf>
    <xf numFmtId="3" fontId="22" fillId="0" borderId="0" xfId="2" applyNumberFormat="1" applyFont="1" applyBorder="1" applyAlignment="1">
      <alignment vertical="center"/>
    </xf>
    <xf numFmtId="0" fontId="22" fillId="0" borderId="7" xfId="2" applyFont="1" applyBorder="1" applyAlignment="1">
      <alignment horizontal="center"/>
    </xf>
    <xf numFmtId="0" fontId="33" fillId="0" borderId="0" xfId="2" applyFont="1" applyBorder="1" applyAlignment="1">
      <alignment vertical="top"/>
    </xf>
    <xf numFmtId="3" fontId="32" fillId="0" borderId="0" xfId="2" applyNumberFormat="1" applyFont="1"/>
    <xf numFmtId="0" fontId="34" fillId="0" borderId="0" xfId="0" applyFont="1"/>
    <xf numFmtId="0" fontId="8" fillId="0" borderId="0" xfId="2" applyFont="1"/>
    <xf numFmtId="3" fontId="32" fillId="0" borderId="7" xfId="2" applyNumberFormat="1" applyFont="1" applyBorder="1" applyAlignment="1">
      <alignment vertical="center"/>
    </xf>
    <xf numFmtId="0" fontId="22" fillId="0" borderId="0" xfId="2" applyFont="1" applyAlignment="1"/>
    <xf numFmtId="0" fontId="22" fillId="0" borderId="0" xfId="2" applyFont="1" applyBorder="1" applyAlignment="1">
      <alignment horizontal="center"/>
    </xf>
    <xf numFmtId="0" fontId="22" fillId="0" borderId="0" xfId="2" applyFont="1" applyBorder="1" applyAlignment="1"/>
    <xf numFmtId="0" fontId="22" fillId="0" borderId="8" xfId="2" applyFont="1" applyBorder="1" applyAlignment="1">
      <alignment horizontal="center"/>
    </xf>
    <xf numFmtId="0" fontId="22" fillId="0" borderId="8" xfId="2" applyFont="1" applyBorder="1" applyAlignment="1">
      <alignment vertical="top"/>
    </xf>
    <xf numFmtId="0" fontId="22" fillId="0" borderId="8" xfId="2" applyFont="1" applyBorder="1" applyAlignment="1"/>
    <xf numFmtId="0" fontId="22" fillId="0" borderId="8" xfId="2" applyFont="1" applyBorder="1"/>
    <xf numFmtId="3" fontId="22" fillId="0" borderId="8" xfId="2" applyNumberFormat="1" applyFont="1" applyBorder="1"/>
    <xf numFmtId="3" fontId="32" fillId="0" borderId="0" xfId="2" applyNumberFormat="1" applyFont="1" applyBorder="1"/>
    <xf numFmtId="0" fontId="32" fillId="0" borderId="7" xfId="2" applyFont="1" applyBorder="1" applyAlignment="1"/>
    <xf numFmtId="16" fontId="22" fillId="0" borderId="0" xfId="2" applyNumberFormat="1" applyFont="1" applyBorder="1" applyAlignment="1">
      <alignment vertical="top"/>
    </xf>
    <xf numFmtId="16" fontId="22" fillId="0" borderId="8" xfId="2" applyNumberFormat="1" applyFont="1" applyBorder="1" applyAlignment="1">
      <alignment vertical="top"/>
    </xf>
    <xf numFmtId="3" fontId="32" fillId="0" borderId="8" xfId="2" applyNumberFormat="1" applyFont="1" applyBorder="1"/>
    <xf numFmtId="2" fontId="32" fillId="0" borderId="0" xfId="2" applyNumberFormat="1" applyFont="1" applyAlignment="1">
      <alignment horizontal="center" vertical="center" wrapText="1"/>
    </xf>
    <xf numFmtId="3" fontId="22" fillId="0" borderId="7" xfId="2" applyNumberFormat="1" applyFont="1" applyBorder="1"/>
    <xf numFmtId="3" fontId="26" fillId="0" borderId="17" xfId="1" applyNumberFormat="1" applyFont="1" applyFill="1" applyBorder="1"/>
    <xf numFmtId="0" fontId="28" fillId="0" borderId="15" xfId="1" applyFont="1" applyBorder="1"/>
    <xf numFmtId="0" fontId="26" fillId="0" borderId="5" xfId="1" applyFont="1" applyBorder="1" applyAlignment="1">
      <alignment horizontal="left"/>
    </xf>
    <xf numFmtId="0" fontId="17" fillId="0" borderId="0" xfId="0" applyFont="1" applyBorder="1"/>
    <xf numFmtId="3" fontId="17" fillId="0" borderId="0" xfId="0" applyNumberFormat="1" applyFont="1" applyBorder="1"/>
    <xf numFmtId="0" fontId="17" fillId="0" borderId="8" xfId="0" applyFont="1" applyBorder="1"/>
    <xf numFmtId="0" fontId="32" fillId="0" borderId="1" xfId="0" applyFont="1" applyFill="1" applyBorder="1"/>
    <xf numFmtId="3" fontId="32" fillId="0" borderId="9" xfId="0" applyNumberFormat="1" applyFont="1" applyFill="1" applyBorder="1"/>
    <xf numFmtId="0" fontId="32" fillId="0" borderId="0" xfId="0" applyFont="1"/>
    <xf numFmtId="0" fontId="18" fillId="0" borderId="8" xfId="0" applyFont="1" applyBorder="1" applyAlignment="1">
      <alignment horizontal="center"/>
    </xf>
    <xf numFmtId="164" fontId="18" fillId="0" borderId="8" xfId="0" applyNumberFormat="1" applyFont="1" applyBorder="1" applyAlignment="1">
      <alignment horizontal="center"/>
    </xf>
    <xf numFmtId="0" fontId="18" fillId="0" borderId="8" xfId="0" applyFont="1" applyBorder="1"/>
    <xf numFmtId="164" fontId="20" fillId="0" borderId="0" xfId="0" applyNumberFormat="1" applyFont="1" applyAlignment="1">
      <alignment horizontal="center"/>
    </xf>
    <xf numFmtId="3" fontId="20" fillId="0" borderId="8" xfId="0" applyNumberFormat="1" applyFont="1" applyBorder="1"/>
    <xf numFmtId="0" fontId="18" fillId="0" borderId="8" xfId="0" applyFont="1" applyFill="1" applyBorder="1"/>
    <xf numFmtId="3" fontId="24" fillId="0" borderId="0" xfId="2" applyNumberFormat="1" applyFont="1"/>
    <xf numFmtId="3" fontId="23" fillId="0" borderId="0" xfId="2" applyNumberFormat="1" applyFont="1"/>
    <xf numFmtId="3" fontId="32" fillId="0" borderId="0" xfId="2" applyNumberFormat="1" applyFont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32" fillId="0" borderId="16" xfId="2" applyFont="1" applyBorder="1"/>
    <xf numFmtId="0" fontId="32" fillId="0" borderId="17" xfId="2" applyFont="1" applyBorder="1"/>
    <xf numFmtId="0" fontId="5" fillId="0" borderId="6" xfId="2" applyFont="1" applyBorder="1"/>
    <xf numFmtId="0" fontId="17" fillId="0" borderId="6" xfId="2" applyFont="1" applyBorder="1"/>
    <xf numFmtId="0" fontId="17" fillId="0" borderId="4" xfId="2" applyFont="1" applyBorder="1" applyAlignment="1">
      <alignment horizontal="center" vertical="center" wrapText="1"/>
    </xf>
    <xf numFmtId="0" fontId="21" fillId="0" borderId="0" xfId="3" applyFont="1" applyAlignment="1">
      <alignment horizontal="right"/>
    </xf>
    <xf numFmtId="0" fontId="21" fillId="0" borderId="0" xfId="3" applyFont="1" applyAlignment="1"/>
    <xf numFmtId="3" fontId="22" fillId="0" borderId="7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3" fontId="0" fillId="0" borderId="8" xfId="0" applyNumberFormat="1" applyBorder="1"/>
    <xf numFmtId="3" fontId="0" fillId="0" borderId="7" xfId="0" applyNumberFormat="1" applyBorder="1"/>
    <xf numFmtId="3" fontId="13" fillId="0" borderId="8" xfId="0" applyNumberFormat="1" applyFont="1" applyBorder="1"/>
    <xf numFmtId="3" fontId="2" fillId="0" borderId="5" xfId="2" applyNumberFormat="1" applyFont="1" applyBorder="1" applyAlignment="1">
      <alignment horizontal="center"/>
    </xf>
    <xf numFmtId="3" fontId="2" fillId="0" borderId="17" xfId="2" applyNumberFormat="1" applyFont="1" applyBorder="1"/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17" fillId="0" borderId="0" xfId="2" applyNumberFormat="1" applyFont="1"/>
    <xf numFmtId="0" fontId="12" fillId="0" borderId="3" xfId="0" applyFont="1" applyBorder="1"/>
    <xf numFmtId="3" fontId="12" fillId="0" borderId="3" xfId="0" applyNumberFormat="1" applyFont="1" applyBorder="1"/>
    <xf numFmtId="3" fontId="16" fillId="0" borderId="7" xfId="0" applyNumberFormat="1" applyFont="1" applyBorder="1"/>
    <xf numFmtId="0" fontId="12" fillId="0" borderId="1" xfId="0" applyFont="1" applyBorder="1"/>
    <xf numFmtId="3" fontId="12" fillId="0" borderId="1" xfId="0" applyNumberFormat="1" applyFont="1" applyBorder="1"/>
    <xf numFmtId="3" fontId="32" fillId="0" borderId="1" xfId="0" applyNumberFormat="1" applyFont="1" applyBorder="1"/>
    <xf numFmtId="3" fontId="32" fillId="0" borderId="1" xfId="0" applyNumberFormat="1" applyFont="1" applyFill="1" applyBorder="1"/>
    <xf numFmtId="3" fontId="32" fillId="0" borderId="0" xfId="0" applyNumberFormat="1" applyFont="1"/>
    <xf numFmtId="0" fontId="32" fillId="0" borderId="1" xfId="0" applyFont="1" applyBorder="1"/>
    <xf numFmtId="3" fontId="32" fillId="0" borderId="8" xfId="0" applyNumberFormat="1" applyFont="1" applyBorder="1"/>
    <xf numFmtId="3" fontId="4" fillId="0" borderId="6" xfId="0" applyNumberFormat="1" applyFont="1" applyBorder="1" applyAlignment="1">
      <alignment horizontal="center" vertical="center" wrapText="1"/>
    </xf>
    <xf numFmtId="3" fontId="4" fillId="0" borderId="0" xfId="2" applyNumberFormat="1" applyFont="1"/>
    <xf numFmtId="0" fontId="12" fillId="0" borderId="14" xfId="2" applyFont="1" applyBorder="1"/>
    <xf numFmtId="0" fontId="36" fillId="0" borderId="0" xfId="2" applyFont="1"/>
    <xf numFmtId="3" fontId="17" fillId="0" borderId="8" xfId="2" applyNumberFormat="1" applyFont="1" applyBorder="1"/>
    <xf numFmtId="0" fontId="12" fillId="0" borderId="15" xfId="2" applyFont="1" applyBorder="1"/>
    <xf numFmtId="0" fontId="12" fillId="0" borderId="4" xfId="2" applyFont="1" applyBorder="1"/>
    <xf numFmtId="0" fontId="32" fillId="0" borderId="8" xfId="0" applyFont="1" applyFill="1" applyBorder="1"/>
    <xf numFmtId="3" fontId="32" fillId="0" borderId="8" xfId="0" applyNumberFormat="1" applyFont="1" applyFill="1" applyBorder="1"/>
    <xf numFmtId="0" fontId="22" fillId="0" borderId="8" xfId="0" applyFont="1" applyFill="1" applyBorder="1"/>
    <xf numFmtId="3" fontId="22" fillId="0" borderId="8" xfId="0" applyNumberFormat="1" applyFont="1" applyFill="1" applyBorder="1"/>
    <xf numFmtId="3" fontId="22" fillId="0" borderId="8" xfId="0" applyNumberFormat="1" applyFont="1" applyBorder="1"/>
    <xf numFmtId="3" fontId="12" fillId="0" borderId="8" xfId="0" applyNumberFormat="1" applyFont="1" applyBorder="1"/>
    <xf numFmtId="3" fontId="0" fillId="0" borderId="0" xfId="0" applyNumberFormat="1" applyBorder="1"/>
    <xf numFmtId="3" fontId="13" fillId="0" borderId="0" xfId="0" applyNumberFormat="1" applyFont="1" applyBorder="1"/>
    <xf numFmtId="3" fontId="4" fillId="0" borderId="7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7" xfId="2" applyNumberFormat="1" applyFont="1" applyBorder="1"/>
    <xf numFmtId="3" fontId="4" fillId="0" borderId="8" xfId="2" applyNumberFormat="1" applyFont="1" applyBorder="1"/>
    <xf numFmtId="3" fontId="13" fillId="0" borderId="6" xfId="2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3" fontId="4" fillId="0" borderId="1" xfId="0" applyNumberFormat="1" applyFont="1" applyFill="1" applyBorder="1"/>
    <xf numFmtId="3" fontId="12" fillId="0" borderId="7" xfId="0" applyNumberFormat="1" applyFont="1" applyFill="1" applyBorder="1"/>
    <xf numFmtId="3" fontId="4" fillId="0" borderId="7" xfId="0" applyNumberFormat="1" applyFont="1" applyFill="1" applyBorder="1"/>
    <xf numFmtId="3" fontId="12" fillId="0" borderId="8" xfId="0" applyNumberFormat="1" applyFont="1" applyFill="1" applyBorder="1"/>
    <xf numFmtId="0" fontId="4" fillId="0" borderId="0" xfId="0" applyFont="1" applyFill="1"/>
    <xf numFmtId="3" fontId="22" fillId="0" borderId="7" xfId="0" applyNumberFormat="1" applyFont="1" applyBorder="1"/>
    <xf numFmtId="3" fontId="22" fillId="0" borderId="0" xfId="0" applyNumberFormat="1" applyFont="1"/>
    <xf numFmtId="3" fontId="2" fillId="0" borderId="11" xfId="2" applyNumberFormat="1" applyFont="1" applyBorder="1"/>
    <xf numFmtId="3" fontId="2" fillId="0" borderId="4" xfId="2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 wrapText="1"/>
    </xf>
    <xf numFmtId="3" fontId="12" fillId="0" borderId="4" xfId="2" applyNumberFormat="1" applyFont="1" applyBorder="1"/>
    <xf numFmtId="3" fontId="12" fillId="0" borderId="15" xfId="2" applyNumberFormat="1" applyFont="1" applyBorder="1"/>
    <xf numFmtId="3" fontId="22" fillId="0" borderId="7" xfId="2" applyNumberFormat="1" applyFont="1" applyBorder="1" applyAlignment="1">
      <alignment horizontal="center"/>
    </xf>
    <xf numFmtId="3" fontId="32" fillId="0" borderId="0" xfId="0" applyNumberFormat="1" applyFont="1" applyBorder="1" applyAlignment="1">
      <alignment horizontal="center" vertical="center" wrapText="1"/>
    </xf>
    <xf numFmtId="0" fontId="17" fillId="0" borderId="0" xfId="2" applyFont="1"/>
    <xf numFmtId="3" fontId="35" fillId="0" borderId="0" xfId="2" applyNumberFormat="1" applyFont="1" applyBorder="1" applyAlignment="1">
      <alignment horizontal="right"/>
    </xf>
    <xf numFmtId="0" fontId="17" fillId="0" borderId="0" xfId="2" applyFont="1" applyBorder="1"/>
    <xf numFmtId="3" fontId="17" fillId="0" borderId="0" xfId="2" applyNumberFormat="1" applyFont="1" applyBorder="1"/>
    <xf numFmtId="0" fontId="12" fillId="0" borderId="0" xfId="2" applyFont="1" applyBorder="1" applyAlignment="1">
      <alignment horizontal="center"/>
    </xf>
    <xf numFmtId="0" fontId="17" fillId="0" borderId="0" xfId="2" applyFont="1" applyBorder="1" applyAlignment="1">
      <alignment horizontal="left"/>
    </xf>
    <xf numFmtId="0" fontId="12" fillId="0" borderId="0" xfId="2" applyFont="1" applyBorder="1" applyAlignment="1">
      <alignment horizontal="right"/>
    </xf>
    <xf numFmtId="3" fontId="12" fillId="0" borderId="6" xfId="2" applyNumberFormat="1" applyFont="1" applyBorder="1" applyAlignment="1">
      <alignment horizontal="right" vertical="center"/>
    </xf>
    <xf numFmtId="0" fontId="12" fillId="0" borderId="7" xfId="2" applyFont="1" applyBorder="1"/>
    <xf numFmtId="0" fontId="12" fillId="0" borderId="8" xfId="2" applyFont="1" applyBorder="1"/>
    <xf numFmtId="164" fontId="18" fillId="0" borderId="7" xfId="0" applyNumberFormat="1" applyFont="1" applyBorder="1" applyAlignment="1">
      <alignment horizontal="center"/>
    </xf>
    <xf numFmtId="0" fontId="10" fillId="0" borderId="7" xfId="0" applyFont="1" applyBorder="1"/>
    <xf numFmtId="3" fontId="18" fillId="0" borderId="0" xfId="0" applyNumberFormat="1" applyFont="1" applyFill="1"/>
    <xf numFmtId="3" fontId="2" fillId="0" borderId="9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Fill="1" applyBorder="1"/>
    <xf numFmtId="3" fontId="20" fillId="0" borderId="7" xfId="0" applyNumberFormat="1" applyFont="1" applyFill="1" applyBorder="1"/>
    <xf numFmtId="3" fontId="18" fillId="0" borderId="7" xfId="0" applyNumberFormat="1" applyFont="1" applyFill="1" applyBorder="1"/>
    <xf numFmtId="0" fontId="28" fillId="0" borderId="0" xfId="1" applyFont="1" applyBorder="1" applyAlignment="1">
      <alignment horizontal="center"/>
    </xf>
    <xf numFmtId="3" fontId="18" fillId="0" borderId="19" xfId="0" applyNumberFormat="1" applyFont="1" applyBorder="1"/>
    <xf numFmtId="0" fontId="20" fillId="0" borderId="3" xfId="0" applyFont="1" applyBorder="1" applyAlignment="1">
      <alignment horizontal="center"/>
    </xf>
    <xf numFmtId="0" fontId="20" fillId="0" borderId="3" xfId="0" applyFont="1" applyBorder="1"/>
    <xf numFmtId="3" fontId="20" fillId="0" borderId="3" xfId="0" applyNumberFormat="1" applyFont="1" applyBorder="1"/>
    <xf numFmtId="3" fontId="20" fillId="0" borderId="8" xfId="0" applyNumberFormat="1" applyFont="1" applyFill="1" applyBorder="1"/>
    <xf numFmtId="3" fontId="26" fillId="0" borderId="0" xfId="1" applyNumberFormat="1" applyFont="1"/>
    <xf numFmtId="3" fontId="26" fillId="0" borderId="0" xfId="1" applyNumberFormat="1" applyFont="1" applyAlignment="1">
      <alignment horizontal="center"/>
    </xf>
    <xf numFmtId="3" fontId="26" fillId="0" borderId="0" xfId="1" applyNumberFormat="1" applyFont="1" applyBorder="1" applyAlignment="1">
      <alignment horizontal="right"/>
    </xf>
    <xf numFmtId="3" fontId="28" fillId="0" borderId="0" xfId="1" applyNumberFormat="1" applyFont="1" applyBorder="1" applyAlignment="1">
      <alignment horizontal="center"/>
    </xf>
    <xf numFmtId="3" fontId="26" fillId="0" borderId="0" xfId="1" applyNumberFormat="1" applyFont="1" applyFill="1" applyBorder="1" applyAlignment="1">
      <alignment horizontal="right"/>
    </xf>
    <xf numFmtId="3" fontId="26" fillId="0" borderId="4" xfId="1" applyNumberFormat="1" applyFont="1" applyBorder="1" applyAlignment="1">
      <alignment horizontal="right"/>
    </xf>
    <xf numFmtId="0" fontId="37" fillId="0" borderId="0" xfId="1" applyFont="1"/>
    <xf numFmtId="3" fontId="37" fillId="0" borderId="0" xfId="1" applyNumberFormat="1" applyFont="1"/>
    <xf numFmtId="3" fontId="28" fillId="0" borderId="0" xfId="1" applyNumberFormat="1" applyFont="1"/>
    <xf numFmtId="0" fontId="26" fillId="0" borderId="5" xfId="1" applyFont="1" applyFill="1" applyBorder="1"/>
    <xf numFmtId="0" fontId="26" fillId="0" borderId="7" xfId="1" applyFont="1" applyBorder="1"/>
    <xf numFmtId="3" fontId="26" fillId="0" borderId="4" xfId="1" applyNumberFormat="1" applyFont="1" applyFill="1" applyBorder="1"/>
    <xf numFmtId="3" fontId="26" fillId="0" borderId="5" xfId="1" applyNumberFormat="1" applyFont="1" applyBorder="1"/>
    <xf numFmtId="0" fontId="28" fillId="0" borderId="4" xfId="1" applyFont="1" applyFill="1" applyBorder="1" applyAlignment="1">
      <alignment horizontal="left"/>
    </xf>
    <xf numFmtId="0" fontId="26" fillId="0" borderId="7" xfId="1" applyFont="1" applyFill="1" applyBorder="1" applyAlignment="1">
      <alignment horizontal="left"/>
    </xf>
    <xf numFmtId="3" fontId="26" fillId="0" borderId="4" xfId="1" applyNumberFormat="1" applyFont="1" applyFill="1" applyBorder="1" applyAlignment="1">
      <alignment horizontal="left"/>
    </xf>
    <xf numFmtId="0" fontId="28" fillId="0" borderId="15" xfId="1" applyFont="1" applyFill="1" applyBorder="1" applyAlignment="1">
      <alignment horizontal="left"/>
    </xf>
    <xf numFmtId="0" fontId="26" fillId="0" borderId="7" xfId="1" applyFont="1" applyFill="1" applyBorder="1"/>
    <xf numFmtId="3" fontId="26" fillId="0" borderId="17" xfId="1" applyNumberFormat="1" applyFont="1" applyBorder="1"/>
    <xf numFmtId="0" fontId="26" fillId="0" borderId="8" xfId="1" applyFont="1" applyFill="1" applyBorder="1" applyAlignment="1">
      <alignment horizontal="left"/>
    </xf>
    <xf numFmtId="0" fontId="26" fillId="0" borderId="8" xfId="1" applyFont="1" applyFill="1" applyBorder="1"/>
    <xf numFmtId="3" fontId="26" fillId="0" borderId="15" xfId="1" applyNumberFormat="1" applyFont="1" applyFill="1" applyBorder="1"/>
    <xf numFmtId="3" fontId="26" fillId="0" borderId="13" xfId="1" applyNumberFormat="1" applyFont="1" applyFill="1" applyBorder="1"/>
    <xf numFmtId="0" fontId="28" fillId="0" borderId="20" xfId="1" applyFont="1" applyFill="1" applyBorder="1" applyAlignment="1">
      <alignment horizontal="left"/>
    </xf>
    <xf numFmtId="3" fontId="26" fillId="0" borderId="21" xfId="1" applyNumberFormat="1" applyFont="1" applyFill="1" applyBorder="1"/>
    <xf numFmtId="0" fontId="28" fillId="0" borderId="8" xfId="1" applyFont="1" applyFill="1" applyBorder="1" applyAlignment="1">
      <alignment horizontal="left"/>
    </xf>
    <xf numFmtId="0" fontId="26" fillId="0" borderId="4" xfId="1" applyFont="1" applyFill="1" applyBorder="1" applyAlignment="1">
      <alignment horizontal="left"/>
    </xf>
    <xf numFmtId="3" fontId="26" fillId="0" borderId="4" xfId="1" applyNumberFormat="1" applyFont="1" applyFill="1" applyBorder="1" applyAlignment="1">
      <alignment horizontal="right"/>
    </xf>
    <xf numFmtId="0" fontId="39" fillId="0" borderId="7" xfId="1" applyFont="1" applyFill="1" applyBorder="1"/>
    <xf numFmtId="3" fontId="39" fillId="0" borderId="4" xfId="1" applyNumberFormat="1" applyFont="1" applyFill="1" applyBorder="1"/>
    <xf numFmtId="3" fontId="39" fillId="0" borderId="4" xfId="1" applyNumberFormat="1" applyFont="1" applyFill="1" applyBorder="1" applyAlignment="1">
      <alignment horizontal="right" wrapText="1"/>
    </xf>
    <xf numFmtId="3" fontId="39" fillId="0" borderId="5" xfId="1" applyNumberFormat="1" applyFont="1" applyFill="1" applyBorder="1" applyAlignment="1">
      <alignment horizontal="right"/>
    </xf>
    <xf numFmtId="3" fontId="39" fillId="0" borderId="14" xfId="1" applyNumberFormat="1" applyFont="1" applyFill="1" applyBorder="1" applyAlignment="1">
      <alignment horizontal="right" wrapText="1"/>
    </xf>
    <xf numFmtId="3" fontId="39" fillId="0" borderId="12" xfId="1" applyNumberFormat="1" applyFont="1" applyFill="1" applyBorder="1" applyAlignment="1">
      <alignment horizontal="right"/>
    </xf>
    <xf numFmtId="0" fontId="26" fillId="0" borderId="0" xfId="1" applyFont="1" applyFill="1"/>
    <xf numFmtId="3" fontId="26" fillId="0" borderId="12" xfId="4" applyNumberFormat="1" applyFont="1" applyFill="1" applyBorder="1"/>
    <xf numFmtId="3" fontId="26" fillId="0" borderId="5" xfId="4" applyNumberFormat="1" applyFont="1" applyFill="1" applyBorder="1"/>
    <xf numFmtId="3" fontId="26" fillId="0" borderId="15" xfId="1" applyNumberFormat="1" applyFont="1" applyFill="1" applyBorder="1" applyAlignment="1">
      <alignment horizontal="left"/>
    </xf>
    <xf numFmtId="0" fontId="29" fillId="0" borderId="7" xfId="1" applyFont="1" applyFill="1" applyBorder="1"/>
    <xf numFmtId="3" fontId="26" fillId="0" borderId="10" xfId="1" applyNumberFormat="1" applyFont="1" applyFill="1" applyBorder="1"/>
    <xf numFmtId="3" fontId="29" fillId="0" borderId="5" xfId="1" applyNumberFormat="1" applyFont="1" applyBorder="1"/>
    <xf numFmtId="0" fontId="28" fillId="0" borderId="4" xfId="1" applyFont="1" applyBorder="1"/>
    <xf numFmtId="0" fontId="28" fillId="0" borderId="7" xfId="1" applyFont="1" applyBorder="1"/>
    <xf numFmtId="3" fontId="26" fillId="0" borderId="13" xfId="1" applyNumberFormat="1" applyFont="1" applyBorder="1"/>
    <xf numFmtId="3" fontId="28" fillId="0" borderId="4" xfId="1" applyNumberFormat="1" applyFont="1" applyBorder="1" applyAlignment="1">
      <alignment horizontal="right"/>
    </xf>
    <xf numFmtId="0" fontId="28" fillId="0" borderId="0" xfId="1" applyFont="1" applyBorder="1"/>
    <xf numFmtId="3" fontId="28" fillId="0" borderId="0" xfId="1" applyNumberFormat="1" applyFont="1" applyBorder="1" applyAlignment="1">
      <alignment horizontal="right"/>
    </xf>
    <xf numFmtId="3" fontId="28" fillId="0" borderId="0" xfId="1" applyNumberFormat="1" applyFont="1" applyFill="1" applyBorder="1"/>
    <xf numFmtId="3" fontId="20" fillId="0" borderId="19" xfId="0" applyNumberFormat="1" applyFont="1" applyFill="1" applyBorder="1"/>
    <xf numFmtId="3" fontId="32" fillId="0" borderId="7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/>
    <xf numFmtId="3" fontId="8" fillId="0" borderId="0" xfId="0" applyNumberFormat="1" applyFont="1" applyFill="1" applyBorder="1"/>
    <xf numFmtId="3" fontId="32" fillId="0" borderId="7" xfId="0" applyNumberFormat="1" applyFont="1" applyFill="1" applyBorder="1"/>
    <xf numFmtId="3" fontId="2" fillId="0" borderId="7" xfId="0" applyNumberFormat="1" applyFont="1" applyFill="1" applyBorder="1" applyAlignment="1">
      <alignment horizontal="center" vertical="center" wrapText="1"/>
    </xf>
    <xf numFmtId="3" fontId="32" fillId="0" borderId="0" xfId="0" applyNumberFormat="1" applyFont="1" applyFill="1"/>
    <xf numFmtId="3" fontId="22" fillId="0" borderId="7" xfId="0" applyNumberFormat="1" applyFont="1" applyFill="1" applyBorder="1"/>
    <xf numFmtId="3" fontId="8" fillId="0" borderId="7" xfId="0" applyNumberFormat="1" applyFont="1" applyFill="1" applyBorder="1"/>
    <xf numFmtId="3" fontId="2" fillId="0" borderId="0" xfId="0" applyNumberFormat="1" applyFont="1" applyFill="1"/>
    <xf numFmtId="3" fontId="12" fillId="0" borderId="0" xfId="0" applyNumberFormat="1" applyFont="1" applyFill="1"/>
    <xf numFmtId="3" fontId="12" fillId="0" borderId="0" xfId="0" applyNumberFormat="1" applyFont="1" applyFill="1" applyBorder="1"/>
    <xf numFmtId="3" fontId="4" fillId="0" borderId="0" xfId="0" applyNumberFormat="1" applyFont="1" applyFill="1"/>
    <xf numFmtId="3" fontId="17" fillId="0" borderId="0" xfId="0" applyNumberFormat="1" applyFont="1" applyFill="1"/>
    <xf numFmtId="3" fontId="2" fillId="0" borderId="7" xfId="0" applyNumberFormat="1" applyFont="1" applyFill="1" applyBorder="1"/>
    <xf numFmtId="3" fontId="17" fillId="0" borderId="7" xfId="0" applyNumberFormat="1" applyFont="1" applyFill="1" applyBorder="1"/>
    <xf numFmtId="3" fontId="2" fillId="0" borderId="0" xfId="2" applyNumberFormat="1" applyFont="1" applyFill="1"/>
    <xf numFmtId="3" fontId="2" fillId="0" borderId="6" xfId="2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center" vertical="center" wrapText="1"/>
    </xf>
    <xf numFmtId="3" fontId="2" fillId="0" borderId="0" xfId="2" applyNumberFormat="1" applyFont="1" applyFill="1" applyBorder="1"/>
    <xf numFmtId="3" fontId="12" fillId="0" borderId="6" xfId="2" applyNumberFormat="1" applyFont="1" applyFill="1" applyBorder="1"/>
    <xf numFmtId="3" fontId="2" fillId="0" borderId="8" xfId="2" applyNumberFormat="1" applyFont="1" applyFill="1" applyBorder="1"/>
    <xf numFmtId="3" fontId="12" fillId="0" borderId="8" xfId="2" applyNumberFormat="1" applyFont="1" applyFill="1" applyBorder="1"/>
    <xf numFmtId="3" fontId="12" fillId="0" borderId="7" xfId="2" applyNumberFormat="1" applyFont="1" applyFill="1" applyBorder="1"/>
    <xf numFmtId="3" fontId="24" fillId="0" borderId="0" xfId="2" applyNumberFormat="1" applyFont="1" applyFill="1"/>
    <xf numFmtId="3" fontId="23" fillId="0" borderId="0" xfId="2" applyNumberFormat="1" applyFont="1" applyFill="1"/>
    <xf numFmtId="3" fontId="2" fillId="0" borderId="7" xfId="0" applyNumberFormat="1" applyFont="1" applyFill="1" applyBorder="1" applyAlignment="1">
      <alignment horizontal="center"/>
    </xf>
    <xf numFmtId="0" fontId="28" fillId="0" borderId="0" xfId="1" applyFont="1" applyFill="1"/>
    <xf numFmtId="3" fontId="28" fillId="0" borderId="0" xfId="1" applyNumberFormat="1" applyFont="1" applyFill="1"/>
    <xf numFmtId="0" fontId="26" fillId="0" borderId="4" xfId="1" applyFont="1" applyFill="1" applyBorder="1"/>
    <xf numFmtId="0" fontId="17" fillId="0" borderId="8" xfId="2" applyFont="1" applyBorder="1"/>
    <xf numFmtId="3" fontId="17" fillId="0" borderId="18" xfId="2" applyNumberFormat="1" applyFont="1" applyBorder="1"/>
    <xf numFmtId="0" fontId="13" fillId="0" borderId="6" xfId="2" applyBorder="1"/>
    <xf numFmtId="1" fontId="2" fillId="0" borderId="0" xfId="0" applyNumberFormat="1" applyFont="1"/>
    <xf numFmtId="1" fontId="2" fillId="0" borderId="7" xfId="0" applyNumberFormat="1" applyFont="1" applyBorder="1" applyAlignment="1">
      <alignment horizontal="center" vertical="center" wrapText="1"/>
    </xf>
    <xf numFmtId="1" fontId="2" fillId="0" borderId="0" xfId="0" applyNumberFormat="1" applyFont="1" applyBorder="1"/>
    <xf numFmtId="1" fontId="2" fillId="0" borderId="8" xfId="0" applyNumberFormat="1" applyFont="1" applyBorder="1"/>
    <xf numFmtId="1" fontId="4" fillId="0" borderId="7" xfId="0" applyNumberFormat="1" applyFont="1" applyBorder="1"/>
    <xf numFmtId="1" fontId="2" fillId="0" borderId="7" xfId="0" applyNumberFormat="1" applyFont="1" applyBorder="1"/>
    <xf numFmtId="3" fontId="4" fillId="0" borderId="0" xfId="0" applyNumberFormat="1" applyFont="1" applyBorder="1"/>
    <xf numFmtId="3" fontId="4" fillId="0" borderId="19" xfId="0" applyNumberFormat="1" applyFont="1" applyBorder="1"/>
    <xf numFmtId="3" fontId="12" fillId="0" borderId="0" xfId="0" applyNumberFormat="1" applyFont="1" applyBorder="1"/>
    <xf numFmtId="1" fontId="12" fillId="0" borderId="8" xfId="0" applyNumberFormat="1" applyFont="1" applyBorder="1"/>
    <xf numFmtId="3" fontId="4" fillId="0" borderId="2" xfId="0" applyNumberFormat="1" applyFont="1" applyBorder="1"/>
    <xf numFmtId="3" fontId="12" fillId="0" borderId="19" xfId="0" applyNumberFormat="1" applyFont="1" applyBorder="1"/>
    <xf numFmtId="3" fontId="12" fillId="0" borderId="19" xfId="0" applyNumberFormat="1" applyFont="1" applyFill="1" applyBorder="1"/>
    <xf numFmtId="1" fontId="12" fillId="0" borderId="0" xfId="0" applyNumberFormat="1" applyFont="1" applyBorder="1"/>
    <xf numFmtId="0" fontId="17" fillId="0" borderId="2" xfId="0" applyFont="1" applyBorder="1"/>
    <xf numFmtId="3" fontId="17" fillId="0" borderId="0" xfId="0" applyNumberFormat="1" applyFont="1" applyFill="1" applyBorder="1"/>
    <xf numFmtId="1" fontId="17" fillId="0" borderId="0" xfId="0" applyNumberFormat="1" applyFont="1" applyBorder="1"/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8" xfId="0" applyFont="1" applyBorder="1"/>
    <xf numFmtId="3" fontId="17" fillId="0" borderId="8" xfId="0" applyNumberFormat="1" applyFont="1" applyFill="1" applyBorder="1"/>
    <xf numFmtId="1" fontId="17" fillId="0" borderId="8" xfId="0" applyNumberFormat="1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/>
    <xf numFmtId="0" fontId="12" fillId="0" borderId="0" xfId="0" applyFont="1"/>
    <xf numFmtId="3" fontId="12" fillId="0" borderId="0" xfId="0" applyNumberFormat="1" applyFont="1"/>
    <xf numFmtId="3" fontId="17" fillId="0" borderId="19" xfId="0" applyNumberFormat="1" applyFont="1" applyBorder="1"/>
    <xf numFmtId="3" fontId="2" fillId="0" borderId="19" xfId="0" applyNumberFormat="1" applyFont="1" applyBorder="1"/>
    <xf numFmtId="1" fontId="4" fillId="0" borderId="7" xfId="0" applyNumberFormat="1" applyFont="1" applyBorder="1" applyAlignment="1">
      <alignment horizontal="center" vertical="center" wrapText="1"/>
    </xf>
    <xf numFmtId="1" fontId="12" fillId="0" borderId="7" xfId="0" applyNumberFormat="1" applyFont="1" applyBorder="1"/>
    <xf numFmtId="1" fontId="8" fillId="0" borderId="0" xfId="0" applyNumberFormat="1" applyFont="1"/>
    <xf numFmtId="1" fontId="12" fillId="0" borderId="7" xfId="0" applyNumberFormat="1" applyFont="1" applyBorder="1" applyAlignment="1">
      <alignment horizontal="center" vertical="center" wrapText="1"/>
    </xf>
    <xf numFmtId="1" fontId="8" fillId="0" borderId="8" xfId="0" applyNumberFormat="1" applyFont="1" applyBorder="1"/>
    <xf numFmtId="1" fontId="32" fillId="0" borderId="7" xfId="0" applyNumberFormat="1" applyFont="1" applyBorder="1"/>
    <xf numFmtId="1" fontId="8" fillId="0" borderId="7" xfId="0" applyNumberFormat="1" applyFont="1" applyBorder="1"/>
    <xf numFmtId="3" fontId="8" fillId="0" borderId="19" xfId="0" applyNumberFormat="1" applyFont="1" applyBorder="1"/>
    <xf numFmtId="1" fontId="18" fillId="0" borderId="0" xfId="0" applyNumberFormat="1" applyFont="1"/>
    <xf numFmtId="1" fontId="18" fillId="0" borderId="0" xfId="0" applyNumberFormat="1" applyFont="1" applyBorder="1"/>
    <xf numFmtId="1" fontId="20" fillId="0" borderId="7" xfId="0" applyNumberFormat="1" applyFont="1" applyBorder="1"/>
    <xf numFmtId="1" fontId="18" fillId="0" borderId="7" xfId="0" applyNumberFormat="1" applyFont="1" applyBorder="1"/>
    <xf numFmtId="3" fontId="18" fillId="0" borderId="8" xfId="0" applyNumberFormat="1" applyFont="1" applyFill="1" applyBorder="1"/>
    <xf numFmtId="3" fontId="2" fillId="0" borderId="15" xfId="2" applyNumberFormat="1" applyFont="1" applyBorder="1"/>
    <xf numFmtId="3" fontId="12" fillId="0" borderId="11" xfId="2" applyNumberFormat="1" applyFont="1" applyBorder="1"/>
    <xf numFmtId="3" fontId="4" fillId="0" borderId="4" xfId="2" applyNumberFormat="1" applyFont="1" applyBorder="1"/>
    <xf numFmtId="1" fontId="2" fillId="0" borderId="0" xfId="2" applyNumberFormat="1" applyFont="1"/>
    <xf numFmtId="1" fontId="2" fillId="0" borderId="5" xfId="2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 vertical="center" wrapText="1"/>
    </xf>
    <xf numFmtId="1" fontId="2" fillId="0" borderId="11" xfId="2" applyNumberFormat="1" applyFont="1" applyBorder="1"/>
    <xf numFmtId="1" fontId="2" fillId="0" borderId="16" xfId="2" applyNumberFormat="1" applyFont="1" applyBorder="1"/>
    <xf numFmtId="1" fontId="4" fillId="0" borderId="0" xfId="2" applyNumberFormat="1" applyFont="1"/>
    <xf numFmtId="1" fontId="12" fillId="0" borderId="11" xfId="2" applyNumberFormat="1" applyFont="1" applyBorder="1"/>
    <xf numFmtId="1" fontId="12" fillId="0" borderId="6" xfId="2" applyNumberFormat="1" applyFont="1" applyBorder="1"/>
    <xf numFmtId="1" fontId="13" fillId="0" borderId="7" xfId="2" applyNumberFormat="1" applyFont="1" applyBorder="1" applyAlignment="1">
      <alignment horizontal="center"/>
    </xf>
    <xf numFmtId="1" fontId="13" fillId="0" borderId="0" xfId="2" applyNumberFormat="1" applyFont="1" applyBorder="1"/>
    <xf numFmtId="1" fontId="12" fillId="0" borderId="0" xfId="0" applyNumberFormat="1" applyFont="1" applyBorder="1" applyAlignment="1">
      <alignment horizontal="center" vertical="center" wrapText="1"/>
    </xf>
    <xf numFmtId="1" fontId="16" fillId="0" borderId="0" xfId="2" applyNumberFormat="1" applyFont="1"/>
    <xf numFmtId="1" fontId="16" fillId="0" borderId="7" xfId="2" applyNumberFormat="1" applyFont="1" applyBorder="1"/>
    <xf numFmtId="1" fontId="13" fillId="0" borderId="0" xfId="2" applyNumberFormat="1" applyFont="1"/>
    <xf numFmtId="0" fontId="2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3" fontId="13" fillId="0" borderId="0" xfId="2" applyNumberFormat="1" applyFont="1" applyBorder="1" applyAlignment="1">
      <alignment horizontal="center" vertical="top" wrapText="1"/>
    </xf>
    <xf numFmtId="0" fontId="13" fillId="0" borderId="0" xfId="2" applyFont="1" applyBorder="1" applyAlignment="1">
      <alignment horizontal="center" vertical="center" wrapText="1"/>
    </xf>
    <xf numFmtId="3" fontId="13" fillId="0" borderId="0" xfId="2" applyNumberFormat="1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/>
    </xf>
    <xf numFmtId="3" fontId="16" fillId="0" borderId="6" xfId="2" applyNumberFormat="1" applyFont="1" applyBorder="1" applyAlignment="1">
      <alignment horizontal="center" vertical="center" wrapText="1"/>
    </xf>
    <xf numFmtId="3" fontId="16" fillId="0" borderId="0" xfId="2" applyNumberFormat="1" applyFont="1"/>
    <xf numFmtId="3" fontId="16" fillId="0" borderId="0" xfId="2" applyNumberFormat="1" applyFont="1" applyBorder="1"/>
    <xf numFmtId="1" fontId="2" fillId="0" borderId="8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3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3" fontId="32" fillId="0" borderId="8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3" fontId="12" fillId="0" borderId="14" xfId="2" applyNumberFormat="1" applyFont="1" applyBorder="1"/>
    <xf numFmtId="3" fontId="2" fillId="0" borderId="2" xfId="0" applyNumberFormat="1" applyFont="1" applyBorder="1"/>
    <xf numFmtId="3" fontId="0" fillId="0" borderId="19" xfId="0" applyNumberFormat="1" applyBorder="1"/>
    <xf numFmtId="3" fontId="32" fillId="0" borderId="0" xfId="0" applyNumberFormat="1" applyFont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0" fontId="34" fillId="0" borderId="0" xfId="0" applyFont="1" applyFill="1" applyBorder="1"/>
    <xf numFmtId="3" fontId="2" fillId="0" borderId="14" xfId="2" applyNumberFormat="1" applyFont="1" applyBorder="1" applyAlignment="1">
      <alignment horizontal="center"/>
    </xf>
    <xf numFmtId="3" fontId="2" fillId="0" borderId="11" xfId="2" applyNumberFormat="1" applyFont="1" applyBorder="1" applyAlignment="1">
      <alignment horizontal="center"/>
    </xf>
    <xf numFmtId="3" fontId="4" fillId="0" borderId="4" xfId="2" applyNumberFormat="1" applyFont="1" applyBorder="1" applyAlignment="1">
      <alignment horizontal="center" vertical="center" wrapText="1"/>
    </xf>
    <xf numFmtId="3" fontId="4" fillId="0" borderId="0" xfId="2" applyNumberFormat="1" applyFont="1" applyAlignment="1">
      <alignment horizontal="center" vertical="center" wrapText="1"/>
    </xf>
    <xf numFmtId="3" fontId="12" fillId="0" borderId="0" xfId="2" applyNumberFormat="1" applyFont="1"/>
    <xf numFmtId="0" fontId="26" fillId="0" borderId="5" xfId="1" applyFont="1" applyBorder="1"/>
    <xf numFmtId="3" fontId="28" fillId="0" borderId="19" xfId="1" applyNumberFormat="1" applyFont="1" applyFill="1" applyBorder="1"/>
    <xf numFmtId="0" fontId="26" fillId="0" borderId="15" xfId="1" applyFont="1" applyBorder="1"/>
    <xf numFmtId="0" fontId="26" fillId="0" borderId="8" xfId="1" applyFont="1" applyBorder="1"/>
    <xf numFmtId="3" fontId="26" fillId="0" borderId="5" xfId="1" applyNumberFormat="1" applyFont="1" applyBorder="1" applyAlignment="1">
      <alignment horizontal="right"/>
    </xf>
    <xf numFmtId="3" fontId="13" fillId="0" borderId="6" xfId="2" applyNumberFormat="1" applyFont="1" applyBorder="1"/>
    <xf numFmtId="3" fontId="13" fillId="0" borderId="18" xfId="2" applyNumberFormat="1" applyFont="1" applyBorder="1"/>
    <xf numFmtId="0" fontId="40" fillId="0" borderId="0" xfId="2" applyFont="1"/>
    <xf numFmtId="0" fontId="41" fillId="0" borderId="0" xfId="2" applyFont="1" applyAlignment="1">
      <alignment horizontal="right"/>
    </xf>
    <xf numFmtId="0" fontId="41" fillId="0" borderId="0" xfId="2" applyFont="1" applyAlignment="1"/>
    <xf numFmtId="0" fontId="42" fillId="0" borderId="0" xfId="2" applyFont="1" applyAlignment="1"/>
    <xf numFmtId="0" fontId="42" fillId="0" borderId="0" xfId="2" applyFont="1"/>
    <xf numFmtId="0" fontId="40" fillId="0" borderId="6" xfId="2" applyFont="1" applyBorder="1"/>
    <xf numFmtId="3" fontId="40" fillId="0" borderId="6" xfId="2" applyNumberFormat="1" applyFont="1" applyBorder="1"/>
    <xf numFmtId="3" fontId="42" fillId="0" borderId="6" xfId="2" applyNumberFormat="1" applyFont="1" applyBorder="1"/>
    <xf numFmtId="0" fontId="40" fillId="0" borderId="11" xfId="2" applyFont="1" applyBorder="1"/>
    <xf numFmtId="3" fontId="40" fillId="0" borderId="11" xfId="2" applyNumberFormat="1" applyFont="1" applyBorder="1"/>
    <xf numFmtId="0" fontId="40" fillId="0" borderId="22" xfId="2" applyFont="1" applyBorder="1"/>
    <xf numFmtId="3" fontId="40" fillId="0" borderId="22" xfId="2" applyNumberFormat="1" applyFont="1" applyBorder="1"/>
    <xf numFmtId="3" fontId="42" fillId="0" borderId="22" xfId="2" applyNumberFormat="1" applyFont="1" applyBorder="1"/>
    <xf numFmtId="0" fontId="42" fillId="0" borderId="23" xfId="2" applyFont="1" applyBorder="1"/>
    <xf numFmtId="3" fontId="42" fillId="0" borderId="24" xfId="2" applyNumberFormat="1" applyFont="1" applyBorder="1"/>
    <xf numFmtId="0" fontId="40" fillId="0" borderId="18" xfId="2" applyFont="1" applyBorder="1"/>
    <xf numFmtId="3" fontId="40" fillId="0" borderId="18" xfId="2" applyNumberFormat="1" applyFont="1" applyBorder="1"/>
    <xf numFmtId="3" fontId="40" fillId="0" borderId="5" xfId="2" applyNumberFormat="1" applyFont="1" applyBorder="1"/>
    <xf numFmtId="3" fontId="40" fillId="0" borderId="4" xfId="2" applyNumberFormat="1" applyFont="1" applyBorder="1"/>
    <xf numFmtId="0" fontId="42" fillId="0" borderId="25" xfId="2" applyFont="1" applyBorder="1"/>
    <xf numFmtId="3" fontId="42" fillId="0" borderId="18" xfId="2" applyNumberFormat="1" applyFont="1" applyBorder="1"/>
    <xf numFmtId="3" fontId="42" fillId="0" borderId="26" xfId="2" applyNumberFormat="1" applyFont="1" applyBorder="1"/>
    <xf numFmtId="0" fontId="42" fillId="0" borderId="26" xfId="2" applyFont="1" applyBorder="1"/>
    <xf numFmtId="0" fontId="42" fillId="0" borderId="0" xfId="2" applyFont="1" applyBorder="1"/>
    <xf numFmtId="0" fontId="42" fillId="0" borderId="18" xfId="2" applyFont="1" applyBorder="1"/>
    <xf numFmtId="0" fontId="40" fillId="0" borderId="0" xfId="2" applyFont="1" applyBorder="1"/>
    <xf numFmtId="0" fontId="42" fillId="0" borderId="6" xfId="2" applyFont="1" applyBorder="1"/>
    <xf numFmtId="9" fontId="40" fillId="0" borderId="6" xfId="2" applyNumberFormat="1" applyFont="1" applyBorder="1"/>
    <xf numFmtId="0" fontId="40" fillId="0" borderId="0" xfId="2" applyFont="1" applyFill="1" applyBorder="1"/>
    <xf numFmtId="3" fontId="18" fillId="0" borderId="7" xfId="0" applyNumberFormat="1" applyFont="1" applyBorder="1" applyAlignment="1">
      <alignment horizontal="center" vertical="center" wrapText="1"/>
    </xf>
    <xf numFmtId="0" fontId="22" fillId="0" borderId="7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left" vertical="center" wrapText="1"/>
    </xf>
    <xf numFmtId="0" fontId="2" fillId="0" borderId="6" xfId="2" applyFont="1" applyBorder="1"/>
    <xf numFmtId="0" fontId="22" fillId="0" borderId="6" xfId="2" applyFont="1" applyBorder="1"/>
    <xf numFmtId="3" fontId="2" fillId="0" borderId="6" xfId="2" applyNumberFormat="1" applyFont="1" applyBorder="1"/>
    <xf numFmtId="0" fontId="17" fillId="0" borderId="6" xfId="2" applyFont="1" applyBorder="1" applyAlignment="1">
      <alignment horizontal="left" vertical="center" wrapText="1"/>
    </xf>
    <xf numFmtId="0" fontId="17" fillId="0" borderId="6" xfId="2" applyFont="1" applyBorder="1" applyAlignment="1">
      <alignment horizontal="right" vertical="center" wrapText="1"/>
    </xf>
    <xf numFmtId="0" fontId="17" fillId="0" borderId="6" xfId="2" applyFont="1" applyBorder="1" applyAlignment="1">
      <alignment horizontal="center" vertical="center" wrapText="1"/>
    </xf>
    <xf numFmtId="0" fontId="2" fillId="0" borderId="6" xfId="2" applyFont="1" applyBorder="1" applyAlignment="1">
      <alignment vertical="center"/>
    </xf>
    <xf numFmtId="3" fontId="17" fillId="0" borderId="6" xfId="2" applyNumberFormat="1" applyFont="1" applyBorder="1"/>
    <xf numFmtId="0" fontId="12" fillId="0" borderId="8" xfId="0" applyFont="1" applyBorder="1"/>
    <xf numFmtId="0" fontId="17" fillId="0" borderId="1" xfId="0" applyFont="1" applyBorder="1"/>
    <xf numFmtId="3" fontId="17" fillId="0" borderId="9" xfId="0" applyNumberFormat="1" applyFont="1" applyBorder="1"/>
    <xf numFmtId="0" fontId="17" fillId="0" borderId="7" xfId="0" applyFont="1" applyBorder="1"/>
    <xf numFmtId="1" fontId="17" fillId="0" borderId="7" xfId="0" applyNumberFormat="1" applyFont="1" applyBorder="1"/>
    <xf numFmtId="3" fontId="20" fillId="0" borderId="0" xfId="0" applyNumberFormat="1" applyFont="1" applyBorder="1"/>
    <xf numFmtId="3" fontId="32" fillId="0" borderId="0" xfId="0" applyNumberFormat="1" applyFont="1" applyBorder="1"/>
    <xf numFmtId="0" fontId="13" fillId="0" borderId="0" xfId="3" applyFont="1" applyFill="1" applyBorder="1" applyAlignment="1">
      <alignment horizontal="left" vertical="center" wrapText="1"/>
    </xf>
    <xf numFmtId="3" fontId="13" fillId="0" borderId="0" xfId="3" applyNumberFormat="1" applyFont="1" applyBorder="1" applyAlignment="1">
      <alignment horizontal="center" vertical="center"/>
    </xf>
    <xf numFmtId="3" fontId="2" fillId="0" borderId="14" xfId="2" applyNumberFormat="1" applyFont="1" applyBorder="1"/>
    <xf numFmtId="0" fontId="13" fillId="2" borderId="4" xfId="3" applyFont="1" applyFill="1" applyBorder="1" applyAlignment="1">
      <alignment vertical="top"/>
    </xf>
    <xf numFmtId="3" fontId="6" fillId="0" borderId="4" xfId="0" applyNumberFormat="1" applyFont="1" applyBorder="1" applyAlignment="1">
      <alignment horizontal="center" vertical="center" wrapText="1"/>
    </xf>
    <xf numFmtId="3" fontId="4" fillId="0" borderId="0" xfId="2" applyNumberFormat="1" applyFont="1" applyBorder="1"/>
    <xf numFmtId="3" fontId="12" fillId="0" borderId="0" xfId="2" applyNumberFormat="1" applyFont="1" applyBorder="1"/>
    <xf numFmtId="0" fontId="12" fillId="0" borderId="0" xfId="2" applyFont="1"/>
    <xf numFmtId="0" fontId="5" fillId="0" borderId="11" xfId="2" applyFont="1" applyBorder="1"/>
    <xf numFmtId="0" fontId="5" fillId="0" borderId="18" xfId="2" applyFont="1" applyBorder="1"/>
    <xf numFmtId="3" fontId="12" fillId="0" borderId="5" xfId="2" applyNumberFormat="1" applyFont="1" applyBorder="1"/>
    <xf numFmtId="0" fontId="16" fillId="0" borderId="11" xfId="2" applyFont="1" applyBorder="1"/>
    <xf numFmtId="0" fontId="16" fillId="0" borderId="14" xfId="2" applyFont="1" applyBorder="1"/>
    <xf numFmtId="0" fontId="5" fillId="0" borderId="14" xfId="2" applyFont="1" applyBorder="1"/>
    <xf numFmtId="0" fontId="12" fillId="0" borderId="18" xfId="2" applyFont="1" applyBorder="1" applyAlignment="1">
      <alignment horizontal="left" vertical="center" wrapText="1"/>
    </xf>
    <xf numFmtId="0" fontId="2" fillId="0" borderId="18" xfId="2" applyFont="1" applyBorder="1"/>
    <xf numFmtId="0" fontId="13" fillId="0" borderId="18" xfId="2" applyBorder="1"/>
    <xf numFmtId="0" fontId="5" fillId="0" borderId="18" xfId="2" applyFont="1" applyBorder="1" applyAlignment="1">
      <alignment horizontal="right" vertical="center"/>
    </xf>
    <xf numFmtId="0" fontId="22" fillId="0" borderId="18" xfId="2" applyFont="1" applyBorder="1"/>
    <xf numFmtId="0" fontId="16" fillId="0" borderId="18" xfId="2" applyFont="1" applyBorder="1"/>
    <xf numFmtId="0" fontId="12" fillId="0" borderId="18" xfId="2" applyFont="1" applyBorder="1"/>
    <xf numFmtId="0" fontId="5" fillId="0" borderId="26" xfId="2" applyFont="1" applyBorder="1" applyAlignment="1">
      <alignment horizontal="right" vertical="center"/>
    </xf>
    <xf numFmtId="0" fontId="5" fillId="0" borderId="26" xfId="2" applyFont="1" applyBorder="1"/>
    <xf numFmtId="0" fontId="5" fillId="0" borderId="27" xfId="2" applyFont="1" applyBorder="1"/>
    <xf numFmtId="0" fontId="12" fillId="0" borderId="28" xfId="2" applyFont="1" applyBorder="1" applyAlignment="1">
      <alignment horizontal="left" vertical="center" wrapText="1"/>
    </xf>
    <xf numFmtId="0" fontId="12" fillId="0" borderId="27" xfId="2" applyFont="1" applyBorder="1" applyAlignment="1">
      <alignment horizontal="left" vertical="center" wrapText="1"/>
    </xf>
    <xf numFmtId="0" fontId="13" fillId="0" borderId="29" xfId="2" applyBorder="1"/>
    <xf numFmtId="0" fontId="13" fillId="0" borderId="26" xfId="2" applyBorder="1"/>
    <xf numFmtId="0" fontId="13" fillId="0" borderId="28" xfId="2" applyBorder="1"/>
    <xf numFmtId="0" fontId="16" fillId="0" borderId="26" xfId="2" applyFont="1" applyBorder="1"/>
    <xf numFmtId="0" fontId="2" fillId="0" borderId="29" xfId="2" applyFont="1" applyBorder="1"/>
    <xf numFmtId="0" fontId="2" fillId="0" borderId="28" xfId="2" applyFont="1" applyBorder="1"/>
    <xf numFmtId="0" fontId="12" fillId="0" borderId="26" xfId="2" applyFont="1" applyBorder="1"/>
    <xf numFmtId="0" fontId="17" fillId="0" borderId="11" xfId="2" applyFont="1" applyBorder="1" applyAlignment="1">
      <alignment horizontal="center" vertical="center" wrapText="1"/>
    </xf>
    <xf numFmtId="0" fontId="17" fillId="0" borderId="11" xfId="2" applyFont="1" applyBorder="1" applyAlignment="1">
      <alignment horizontal="left" vertical="center" wrapText="1"/>
    </xf>
    <xf numFmtId="0" fontId="17" fillId="0" borderId="11" xfId="2" applyFont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/>
    </xf>
    <xf numFmtId="0" fontId="22" fillId="0" borderId="11" xfId="2" applyFont="1" applyBorder="1"/>
    <xf numFmtId="0" fontId="13" fillId="0" borderId="11" xfId="2" applyBorder="1"/>
    <xf numFmtId="0" fontId="2" fillId="0" borderId="11" xfId="2" applyFont="1" applyBorder="1"/>
    <xf numFmtId="0" fontId="12" fillId="0" borderId="11" xfId="2" applyFont="1" applyBorder="1"/>
    <xf numFmtId="0" fontId="17" fillId="0" borderId="18" xfId="2" applyFont="1" applyBorder="1"/>
    <xf numFmtId="0" fontId="4" fillId="0" borderId="26" xfId="2" applyFont="1" applyBorder="1"/>
    <xf numFmtId="0" fontId="17" fillId="0" borderId="26" xfId="2" applyFont="1" applyBorder="1" applyAlignment="1">
      <alignment vertical="center"/>
    </xf>
    <xf numFmtId="0" fontId="12" fillId="0" borderId="26" xfId="2" applyFont="1" applyBorder="1" applyAlignment="1">
      <alignment vertical="center"/>
    </xf>
    <xf numFmtId="0" fontId="12" fillId="0" borderId="26" xfId="2" applyFont="1" applyBorder="1" applyAlignment="1">
      <alignment horizontal="left" vertical="center"/>
    </xf>
    <xf numFmtId="0" fontId="2" fillId="0" borderId="26" xfId="2" applyFont="1" applyBorder="1"/>
    <xf numFmtId="0" fontId="17" fillId="0" borderId="11" xfId="2" applyFont="1" applyBorder="1"/>
    <xf numFmtId="0" fontId="2" fillId="0" borderId="18" xfId="2" applyFont="1" applyBorder="1" applyAlignment="1">
      <alignment vertical="center"/>
    </xf>
    <xf numFmtId="0" fontId="17" fillId="0" borderId="26" xfId="2" applyFont="1" applyBorder="1"/>
    <xf numFmtId="0" fontId="2" fillId="0" borderId="11" xfId="2" applyFont="1" applyBorder="1" applyAlignment="1">
      <alignment vertical="center"/>
    </xf>
    <xf numFmtId="0" fontId="13" fillId="0" borderId="26" xfId="2" applyFont="1" applyBorder="1"/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17" fillId="0" borderId="8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top" wrapText="1"/>
    </xf>
    <xf numFmtId="3" fontId="8" fillId="0" borderId="8" xfId="0" applyNumberFormat="1" applyFont="1" applyBorder="1" applyAlignment="1">
      <alignment horizontal="center"/>
    </xf>
    <xf numFmtId="3" fontId="8" fillId="0" borderId="8" xfId="0" applyNumberFormat="1" applyFont="1" applyFill="1" applyBorder="1" applyAlignment="1">
      <alignment horizontal="center"/>
    </xf>
    <xf numFmtId="3" fontId="16" fillId="0" borderId="17" xfId="2" applyNumberFormat="1" applyFont="1" applyBorder="1"/>
    <xf numFmtId="3" fontId="13" fillId="0" borderId="17" xfId="2" applyNumberFormat="1" applyFont="1" applyBorder="1"/>
    <xf numFmtId="0" fontId="5" fillId="0" borderId="4" xfId="2" applyFont="1" applyBorder="1"/>
    <xf numFmtId="0" fontId="8" fillId="0" borderId="4" xfId="2" applyFont="1" applyBorder="1" applyAlignment="1">
      <alignment horizontal="center"/>
    </xf>
    <xf numFmtId="0" fontId="5" fillId="0" borderId="10" xfId="2" applyFont="1" applyBorder="1"/>
    <xf numFmtId="3" fontId="2" fillId="0" borderId="29" xfId="2" applyNumberFormat="1" applyFont="1" applyBorder="1"/>
    <xf numFmtId="3" fontId="2" fillId="0" borderId="4" xfId="2" applyNumberFormat="1" applyFont="1" applyBorder="1"/>
    <xf numFmtId="3" fontId="12" fillId="0" borderId="29" xfId="2" applyNumberFormat="1" applyFont="1" applyBorder="1"/>
    <xf numFmtId="0" fontId="13" fillId="0" borderId="10" xfId="2" applyBorder="1"/>
    <xf numFmtId="0" fontId="13" fillId="0" borderId="15" xfId="2" applyBorder="1"/>
    <xf numFmtId="0" fontId="13" fillId="0" borderId="16" xfId="2" applyBorder="1"/>
    <xf numFmtId="0" fontId="13" fillId="0" borderId="4" xfId="2" applyBorder="1"/>
    <xf numFmtId="0" fontId="13" fillId="0" borderId="30" xfId="2" applyBorder="1"/>
    <xf numFmtId="0" fontId="13" fillId="0" borderId="22" xfId="2" applyBorder="1"/>
    <xf numFmtId="0" fontId="13" fillId="0" borderId="31" xfId="2" applyBorder="1"/>
    <xf numFmtId="0" fontId="16" fillId="0" borderId="31" xfId="2" applyFont="1" applyBorder="1"/>
    <xf numFmtId="0" fontId="16" fillId="0" borderId="24" xfId="2" applyFont="1" applyBorder="1"/>
    <xf numFmtId="3" fontId="4" fillId="0" borderId="5" xfId="0" applyNumberFormat="1" applyFont="1" applyBorder="1" applyAlignment="1">
      <alignment horizontal="center" vertical="center" wrapText="1"/>
    </xf>
    <xf numFmtId="1" fontId="8" fillId="0" borderId="0" xfId="0" applyNumberFormat="1" applyFont="1" applyBorder="1"/>
    <xf numFmtId="0" fontId="32" fillId="0" borderId="24" xfId="2" applyFont="1" applyBorder="1"/>
    <xf numFmtId="0" fontId="12" fillId="0" borderId="24" xfId="2" applyFont="1" applyBorder="1"/>
    <xf numFmtId="0" fontId="4" fillId="0" borderId="11" xfId="2" applyFont="1" applyBorder="1"/>
    <xf numFmtId="0" fontId="4" fillId="0" borderId="28" xfId="2" applyFont="1" applyBorder="1" applyAlignment="1">
      <alignment horizontal="left" vertical="center" wrapText="1"/>
    </xf>
    <xf numFmtId="0" fontId="4" fillId="0" borderId="27" xfId="2" applyFont="1" applyBorder="1" applyAlignment="1">
      <alignment horizontal="left" vertical="center" wrapText="1"/>
    </xf>
    <xf numFmtId="0" fontId="4" fillId="0" borderId="26" xfId="2" applyFont="1" applyBorder="1" applyAlignment="1">
      <alignment horizontal="right" vertical="center"/>
    </xf>
    <xf numFmtId="0" fontId="4" fillId="0" borderId="18" xfId="2" applyFont="1" applyBorder="1"/>
    <xf numFmtId="0" fontId="4" fillId="0" borderId="18" xfId="2" applyFont="1" applyBorder="1" applyAlignment="1">
      <alignment horizontal="right" vertical="center"/>
    </xf>
    <xf numFmtId="0" fontId="4" fillId="0" borderId="6" xfId="2" applyFont="1" applyBorder="1"/>
    <xf numFmtId="0" fontId="4" fillId="0" borderId="6" xfId="2" applyFont="1" applyBorder="1" applyAlignment="1">
      <alignment horizontal="right" vertical="center"/>
    </xf>
    <xf numFmtId="0" fontId="2" fillId="0" borderId="11" xfId="2" applyFont="1" applyBorder="1" applyAlignment="1">
      <alignment horizontal="right" vertical="center" wrapText="1"/>
    </xf>
    <xf numFmtId="0" fontId="4" fillId="0" borderId="11" xfId="2" applyFont="1" applyBorder="1" applyAlignment="1">
      <alignment horizontal="right" vertical="center"/>
    </xf>
    <xf numFmtId="0" fontId="4" fillId="0" borderId="26" xfId="2" applyFont="1" applyBorder="1" applyAlignment="1">
      <alignment horizontal="left" vertical="center"/>
    </xf>
    <xf numFmtId="3" fontId="4" fillId="0" borderId="26" xfId="2" applyNumberFormat="1" applyFont="1" applyBorder="1"/>
    <xf numFmtId="3" fontId="17" fillId="0" borderId="16" xfId="2" applyNumberFormat="1" applyFont="1" applyBorder="1"/>
    <xf numFmtId="0" fontId="12" fillId="0" borderId="19" xfId="2" applyFont="1" applyBorder="1"/>
    <xf numFmtId="0" fontId="17" fillId="0" borderId="4" xfId="2" applyFont="1" applyBorder="1"/>
    <xf numFmtId="0" fontId="17" fillId="0" borderId="7" xfId="2" applyFont="1" applyBorder="1"/>
    <xf numFmtId="0" fontId="17" fillId="0" borderId="15" xfId="2" applyFont="1" applyBorder="1"/>
    <xf numFmtId="0" fontId="39" fillId="0" borderId="15" xfId="1" applyFont="1" applyBorder="1"/>
    <xf numFmtId="0" fontId="39" fillId="0" borderId="8" xfId="1" applyFont="1" applyBorder="1"/>
    <xf numFmtId="0" fontId="39" fillId="0" borderId="5" xfId="1" applyFont="1" applyBorder="1"/>
    <xf numFmtId="3" fontId="39" fillId="0" borderId="13" xfId="1" applyNumberFormat="1" applyFont="1" applyBorder="1"/>
    <xf numFmtId="0" fontId="39" fillId="0" borderId="0" xfId="1" applyFont="1"/>
    <xf numFmtId="3" fontId="43" fillId="0" borderId="4" xfId="1" applyNumberFormat="1" applyFont="1" applyFill="1" applyBorder="1"/>
    <xf numFmtId="0" fontId="43" fillId="0" borderId="0" xfId="1" applyFont="1"/>
    <xf numFmtId="3" fontId="43" fillId="0" borderId="0" xfId="1" applyNumberFormat="1" applyFont="1"/>
    <xf numFmtId="0" fontId="43" fillId="0" borderId="7" xfId="1" applyFont="1" applyBorder="1"/>
    <xf numFmtId="0" fontId="39" fillId="0" borderId="7" xfId="1" applyFont="1" applyBorder="1"/>
    <xf numFmtId="0" fontId="26" fillId="0" borderId="15" xfId="1" applyFont="1" applyBorder="1" applyAlignment="1">
      <alignment horizontal="left"/>
    </xf>
    <xf numFmtId="0" fontId="39" fillId="0" borderId="15" xfId="1" applyFont="1" applyBorder="1" applyAlignment="1">
      <alignment horizontal="left"/>
    </xf>
    <xf numFmtId="3" fontId="39" fillId="0" borderId="5" xfId="1" applyNumberFormat="1" applyFont="1" applyFill="1" applyBorder="1" applyAlignment="1">
      <alignment horizontal="right" wrapText="1"/>
    </xf>
    <xf numFmtId="3" fontId="26" fillId="0" borderId="5" xfId="1" applyNumberFormat="1" applyFont="1" applyFill="1" applyBorder="1" applyAlignment="1">
      <alignment horizontal="right" wrapText="1"/>
    </xf>
    <xf numFmtId="3" fontId="26" fillId="0" borderId="4" xfId="1" applyNumberFormat="1" applyFont="1" applyFill="1" applyBorder="1" applyAlignment="1">
      <alignment horizontal="right" wrapText="1"/>
    </xf>
    <xf numFmtId="0" fontId="43" fillId="0" borderId="4" xfId="1" applyFont="1" applyBorder="1" applyAlignment="1">
      <alignment horizontal="left"/>
    </xf>
    <xf numFmtId="3" fontId="39" fillId="0" borderId="10" xfId="1" applyNumberFormat="1" applyFont="1" applyFill="1" applyBorder="1" applyAlignment="1">
      <alignment horizontal="right" wrapText="1"/>
    </xf>
    <xf numFmtId="0" fontId="28" fillId="0" borderId="15" xfId="1" applyFont="1" applyBorder="1" applyAlignment="1">
      <alignment horizontal="left"/>
    </xf>
    <xf numFmtId="0" fontId="43" fillId="0" borderId="8" xfId="1" applyFont="1" applyFill="1" applyBorder="1"/>
    <xf numFmtId="3" fontId="28" fillId="0" borderId="13" xfId="1" applyNumberFormat="1" applyFont="1" applyBorder="1"/>
    <xf numFmtId="0" fontId="26" fillId="0" borderId="15" xfId="1" applyFont="1" applyFill="1" applyBorder="1" applyAlignment="1">
      <alignment horizontal="left"/>
    </xf>
    <xf numFmtId="0" fontId="26" fillId="0" borderId="14" xfId="1" applyFont="1" applyFill="1" applyBorder="1" applyAlignment="1">
      <alignment horizontal="left"/>
    </xf>
    <xf numFmtId="0" fontId="29" fillId="0" borderId="0" xfId="1" applyFont="1" applyBorder="1" applyProtection="1">
      <protection locked="0"/>
    </xf>
    <xf numFmtId="3" fontId="29" fillId="0" borderId="0" xfId="1" applyNumberFormat="1" applyFont="1"/>
    <xf numFmtId="0" fontId="29" fillId="0" borderId="0" xfId="1" applyFont="1"/>
    <xf numFmtId="0" fontId="40" fillId="0" borderId="6" xfId="2" applyFont="1" applyFill="1" applyBorder="1"/>
    <xf numFmtId="3" fontId="40" fillId="0" borderId="6" xfId="2" applyNumberFormat="1" applyFont="1" applyFill="1" applyBorder="1"/>
    <xf numFmtId="3" fontId="42" fillId="0" borderId="22" xfId="2" applyNumberFormat="1" applyFont="1" applyFill="1" applyBorder="1"/>
    <xf numFmtId="0" fontId="40" fillId="0" borderId="0" xfId="2" applyFont="1" applyFill="1"/>
    <xf numFmtId="3" fontId="16" fillId="0" borderId="5" xfId="2" applyNumberFormat="1" applyFont="1" applyBorder="1"/>
    <xf numFmtId="0" fontId="21" fillId="0" borderId="0" xfId="2" applyFont="1" applyAlignment="1">
      <alignment horizontal="right"/>
    </xf>
    <xf numFmtId="0" fontId="16" fillId="0" borderId="6" xfId="2" applyFont="1" applyBorder="1" applyAlignment="1">
      <alignment horizontal="center"/>
    </xf>
    <xf numFmtId="0" fontId="51" fillId="0" borderId="0" xfId="0" applyFont="1" applyBorder="1" applyAlignment="1">
      <alignment vertical="top"/>
    </xf>
    <xf numFmtId="0" fontId="13" fillId="0" borderId="7" xfId="2" applyFont="1" applyBorder="1" applyAlignment="1">
      <alignment horizontal="center"/>
    </xf>
    <xf numFmtId="0" fontId="21" fillId="0" borderId="0" xfId="2" applyFont="1" applyAlignment="1">
      <alignment horizontal="left"/>
    </xf>
    <xf numFmtId="3" fontId="13" fillId="0" borderId="0" xfId="2" applyNumberFormat="1" applyFont="1" applyBorder="1" applyAlignment="1">
      <alignment horizontal="center"/>
    </xf>
    <xf numFmtId="3" fontId="16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top"/>
    </xf>
    <xf numFmtId="0" fontId="16" fillId="0" borderId="7" xfId="2" applyFont="1" applyBorder="1" applyAlignment="1">
      <alignment horizontal="center"/>
    </xf>
    <xf numFmtId="3" fontId="16" fillId="0" borderId="7" xfId="2" applyNumberFormat="1" applyFont="1" applyBorder="1"/>
    <xf numFmtId="0" fontId="16" fillId="0" borderId="8" xfId="2" applyFont="1" applyBorder="1" applyAlignment="1">
      <alignment horizontal="center"/>
    </xf>
    <xf numFmtId="3" fontId="16" fillId="0" borderId="19" xfId="2" applyNumberFormat="1" applyFont="1" applyBorder="1"/>
    <xf numFmtId="3" fontId="13" fillId="0" borderId="8" xfId="2" applyNumberFormat="1" applyFont="1" applyBorder="1"/>
    <xf numFmtId="0" fontId="16" fillId="0" borderId="0" xfId="2" applyFont="1" applyBorder="1" applyAlignment="1">
      <alignment horizontal="center"/>
    </xf>
    <xf numFmtId="0" fontId="13" fillId="0" borderId="7" xfId="2" applyFont="1" applyBorder="1"/>
    <xf numFmtId="0" fontId="25" fillId="0" borderId="0" xfId="0" applyFont="1"/>
    <xf numFmtId="0" fontId="15" fillId="0" borderId="0" xfId="2" applyFont="1"/>
    <xf numFmtId="3" fontId="52" fillId="0" borderId="0" xfId="2" applyNumberFormat="1" applyFont="1" applyBorder="1" applyAlignment="1">
      <alignment vertical="center"/>
    </xf>
    <xf numFmtId="0" fontId="13" fillId="0" borderId="0" xfId="2" applyFont="1" applyAlignment="1"/>
    <xf numFmtId="0" fontId="13" fillId="0" borderId="8" xfId="2" applyFont="1" applyBorder="1" applyAlignment="1">
      <alignment horizontal="center"/>
    </xf>
    <xf numFmtId="3" fontId="16" fillId="0" borderId="8" xfId="2" applyNumberFormat="1" applyFont="1" applyBorder="1"/>
    <xf numFmtId="0" fontId="53" fillId="0" borderId="0" xfId="0" applyFont="1" applyBorder="1" applyAlignment="1">
      <alignment vertical="top"/>
    </xf>
    <xf numFmtId="3" fontId="13" fillId="0" borderId="0" xfId="2" applyNumberFormat="1"/>
    <xf numFmtId="0" fontId="13" fillId="0" borderId="6" xfId="2" applyBorder="1" applyAlignment="1">
      <alignment horizontal="center"/>
    </xf>
    <xf numFmtId="3" fontId="13" fillId="0" borderId="6" xfId="2" applyNumberFormat="1" applyBorder="1" applyAlignment="1">
      <alignment horizontal="center"/>
    </xf>
    <xf numFmtId="0" fontId="6" fillId="0" borderId="6" xfId="2" applyFont="1" applyBorder="1"/>
    <xf numFmtId="3" fontId="13" fillId="0" borderId="6" xfId="2" applyNumberFormat="1" applyBorder="1"/>
    <xf numFmtId="0" fontId="11" fillId="0" borderId="6" xfId="2" applyFont="1" applyBorder="1"/>
    <xf numFmtId="3" fontId="13" fillId="0" borderId="16" xfId="2" applyNumberFormat="1" applyFill="1" applyBorder="1"/>
    <xf numFmtId="0" fontId="13" fillId="0" borderId="6" xfId="2" applyFont="1" applyBorder="1"/>
    <xf numFmtId="0" fontId="1" fillId="0" borderId="0" xfId="5"/>
    <xf numFmtId="0" fontId="25" fillId="0" borderId="0" xfId="5" applyFont="1" applyFill="1"/>
    <xf numFmtId="0" fontId="10" fillId="0" borderId="6" xfId="5" applyFont="1" applyBorder="1" applyAlignment="1">
      <alignment horizontal="center" vertical="center" wrapText="1"/>
    </xf>
    <xf numFmtId="0" fontId="10" fillId="0" borderId="6" xfId="5" applyFont="1" applyFill="1" applyBorder="1" applyAlignment="1">
      <alignment horizontal="center" vertical="center" wrapText="1"/>
    </xf>
    <xf numFmtId="0" fontId="10" fillId="0" borderId="0" xfId="5" applyFont="1" applyAlignment="1">
      <alignment vertical="center" wrapText="1"/>
    </xf>
    <xf numFmtId="0" fontId="1" fillId="0" borderId="6" xfId="5" applyBorder="1" applyAlignment="1">
      <alignment wrapText="1"/>
    </xf>
    <xf numFmtId="3" fontId="1" fillId="0" borderId="6" xfId="5" applyNumberFormat="1" applyBorder="1"/>
    <xf numFmtId="3" fontId="25" fillId="0" borderId="6" xfId="5" applyNumberFormat="1" applyFont="1" applyFill="1" applyBorder="1"/>
    <xf numFmtId="0" fontId="1" fillId="0" borderId="4" xfId="5" applyBorder="1" applyAlignment="1">
      <alignment wrapText="1"/>
    </xf>
    <xf numFmtId="0" fontId="1" fillId="0" borderId="6" xfId="5" applyFont="1" applyBorder="1" applyAlignment="1">
      <alignment wrapText="1"/>
    </xf>
    <xf numFmtId="3" fontId="10" fillId="0" borderId="6" xfId="5" applyNumberFormat="1" applyFont="1" applyBorder="1"/>
    <xf numFmtId="0" fontId="15" fillId="0" borderId="0" xfId="2" applyFont="1" applyAlignment="1">
      <alignment horizontal="right"/>
    </xf>
    <xf numFmtId="0" fontId="6" fillId="0" borderId="6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0" fontId="15" fillId="0" borderId="6" xfId="2" applyFont="1" applyBorder="1"/>
    <xf numFmtId="3" fontId="13" fillId="0" borderId="11" xfId="2" applyNumberFormat="1" applyFont="1" applyBorder="1" applyAlignment="1">
      <alignment horizontal="right" vertical="center"/>
    </xf>
    <xf numFmtId="3" fontId="13" fillId="0" borderId="6" xfId="2" applyNumberFormat="1" applyFont="1" applyBorder="1" applyAlignment="1">
      <alignment horizontal="right" vertical="center"/>
    </xf>
    <xf numFmtId="0" fontId="26" fillId="0" borderId="6" xfId="6" applyFont="1" applyBorder="1" applyAlignment="1">
      <alignment horizontal="left" vertical="center" wrapText="1"/>
    </xf>
    <xf numFmtId="0" fontId="26" fillId="0" borderId="6" xfId="6" applyFont="1" applyBorder="1"/>
    <xf numFmtId="3" fontId="15" fillId="0" borderId="6" xfId="2" applyNumberFormat="1" applyFont="1" applyBorder="1"/>
    <xf numFmtId="0" fontId="15" fillId="0" borderId="4" xfId="2" applyFont="1" applyBorder="1"/>
    <xf numFmtId="0" fontId="6" fillId="0" borderId="5" xfId="2" applyFont="1" applyBorder="1"/>
    <xf numFmtId="3" fontId="6" fillId="0" borderId="6" xfId="2" applyNumberFormat="1" applyFont="1" applyBorder="1"/>
    <xf numFmtId="0" fontId="35" fillId="0" borderId="0" xfId="0" applyFont="1" applyAlignment="1">
      <alignment horizontal="right"/>
    </xf>
    <xf numFmtId="0" fontId="16" fillId="0" borderId="0" xfId="0" applyFont="1" applyAlignment="1"/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0" fillId="0" borderId="0" xfId="0" applyBorder="1" applyAlignment="1"/>
    <xf numFmtId="0" fontId="20" fillId="0" borderId="8" xfId="0" applyFont="1" applyBorder="1" applyAlignment="1">
      <alignment horizontal="right"/>
    </xf>
    <xf numFmtId="0" fontId="0" fillId="0" borderId="8" xfId="0" applyBorder="1" applyAlignment="1"/>
    <xf numFmtId="0" fontId="20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6" fillId="0" borderId="0" xfId="0" applyFont="1" applyAlignment="1"/>
    <xf numFmtId="1" fontId="21" fillId="0" borderId="0" xfId="0" applyNumberFormat="1" applyFont="1" applyBorder="1" applyAlignment="1">
      <alignment horizontal="right"/>
    </xf>
    <xf numFmtId="1" fontId="12" fillId="0" borderId="0" xfId="0" applyNumberFormat="1" applyFont="1" applyBorder="1" applyAlignment="1">
      <alignment horizontal="right"/>
    </xf>
    <xf numFmtId="0" fontId="16" fillId="0" borderId="0" xfId="0" applyFont="1" applyBorder="1" applyAlignment="1"/>
    <xf numFmtId="1" fontId="12" fillId="0" borderId="8" xfId="0" applyNumberFormat="1" applyFont="1" applyBorder="1" applyAlignment="1">
      <alignment horizontal="right"/>
    </xf>
    <xf numFmtId="1" fontId="33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1" fontId="32" fillId="0" borderId="0" xfId="0" applyNumberFormat="1" applyFont="1" applyBorder="1" applyAlignment="1">
      <alignment horizontal="right"/>
    </xf>
    <xf numFmtId="1" fontId="32" fillId="0" borderId="8" xfId="0" applyNumberFormat="1" applyFont="1" applyBorder="1" applyAlignment="1">
      <alignment horizontal="right"/>
    </xf>
    <xf numFmtId="0" fontId="16" fillId="0" borderId="8" xfId="0" applyFont="1" applyBorder="1" applyAlignment="1"/>
    <xf numFmtId="3" fontId="16" fillId="0" borderId="6" xfId="3" applyNumberFormat="1" applyFont="1" applyBorder="1" applyAlignment="1">
      <alignment horizontal="center" vertical="center"/>
    </xf>
    <xf numFmtId="0" fontId="16" fillId="0" borderId="6" xfId="3" applyFont="1" applyFill="1" applyBorder="1" applyAlignment="1">
      <alignment horizontal="center" vertical="center" wrapText="1"/>
    </xf>
    <xf numFmtId="0" fontId="16" fillId="0" borderId="4" xfId="3" applyFont="1" applyBorder="1" applyAlignment="1">
      <alignment horizontal="left" vertical="top" wrapText="1"/>
    </xf>
    <xf numFmtId="0" fontId="16" fillId="0" borderId="5" xfId="3" applyFont="1" applyBorder="1" applyAlignment="1">
      <alignment horizontal="left" vertical="top" wrapText="1"/>
    </xf>
    <xf numFmtId="0" fontId="12" fillId="0" borderId="0" xfId="3" applyFont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16" fillId="0" borderId="0" xfId="3" applyFont="1" applyFill="1" applyBorder="1" applyAlignment="1">
      <alignment horizontal="left" vertical="center" wrapText="1"/>
    </xf>
    <xf numFmtId="0" fontId="13" fillId="0" borderId="4" xfId="3" applyFont="1" applyFill="1" applyBorder="1" applyAlignment="1">
      <alignment horizontal="left" vertical="center" wrapText="1"/>
    </xf>
    <xf numFmtId="0" fontId="13" fillId="0" borderId="5" xfId="3" applyFont="1" applyFill="1" applyBorder="1" applyAlignment="1">
      <alignment horizontal="left" vertical="center" wrapText="1"/>
    </xf>
    <xf numFmtId="3" fontId="13" fillId="0" borderId="4" xfId="3" applyNumberFormat="1" applyFont="1" applyBorder="1" applyAlignment="1">
      <alignment horizontal="center" vertical="center"/>
    </xf>
    <xf numFmtId="3" fontId="13" fillId="0" borderId="7" xfId="3" applyNumberFormat="1" applyFont="1" applyBorder="1" applyAlignment="1">
      <alignment horizontal="center" vertical="center"/>
    </xf>
    <xf numFmtId="3" fontId="13" fillId="0" borderId="5" xfId="3" applyNumberFormat="1" applyFont="1" applyBorder="1" applyAlignment="1">
      <alignment horizontal="center" vertical="center"/>
    </xf>
    <xf numFmtId="0" fontId="13" fillId="0" borderId="6" xfId="3" applyFont="1" applyFill="1" applyBorder="1" applyAlignment="1">
      <alignment horizontal="left" vertical="center" wrapText="1"/>
    </xf>
    <xf numFmtId="3" fontId="13" fillId="0" borderId="6" xfId="3" applyNumberFormat="1" applyFont="1" applyBorder="1" applyAlignment="1">
      <alignment horizontal="center" vertical="center"/>
    </xf>
    <xf numFmtId="0" fontId="7" fillId="0" borderId="0" xfId="3" applyFont="1" applyAlignment="1">
      <alignment horizontal="right"/>
    </xf>
    <xf numFmtId="0" fontId="6" fillId="0" borderId="6" xfId="3" applyFont="1" applyBorder="1" applyAlignment="1">
      <alignment horizontal="center" vertical="center" wrapText="1"/>
    </xf>
    <xf numFmtId="0" fontId="21" fillId="0" borderId="0" xfId="3" applyFont="1" applyAlignment="1">
      <alignment horizontal="right"/>
    </xf>
    <xf numFmtId="0" fontId="16" fillId="0" borderId="0" xfId="3" applyFont="1" applyBorder="1" applyAlignment="1">
      <alignment horizontal="right" vertical="top"/>
    </xf>
    <xf numFmtId="14" fontId="13" fillId="0" borderId="8" xfId="3" applyNumberFormat="1" applyFont="1" applyBorder="1" applyAlignment="1">
      <alignment horizontal="left"/>
    </xf>
    <xf numFmtId="14" fontId="13" fillId="0" borderId="8" xfId="3" applyNumberFormat="1" applyBorder="1" applyAlignment="1">
      <alignment horizontal="left"/>
    </xf>
    <xf numFmtId="3" fontId="13" fillId="0" borderId="7" xfId="3" applyNumberFormat="1" applyFont="1" applyBorder="1" applyAlignment="1">
      <alignment horizontal="left"/>
    </xf>
    <xf numFmtId="3" fontId="13" fillId="0" borderId="7" xfId="3" applyNumberFormat="1" applyBorder="1" applyAlignment="1">
      <alignment horizontal="left"/>
    </xf>
    <xf numFmtId="0" fontId="6" fillId="0" borderId="0" xfId="3" applyFont="1" applyAlignment="1">
      <alignment horizontal="center"/>
    </xf>
    <xf numFmtId="3" fontId="16" fillId="0" borderId="6" xfId="3" applyNumberFormat="1" applyFont="1" applyBorder="1" applyAlignment="1">
      <alignment horizontal="center" vertical="center" wrapText="1"/>
    </xf>
    <xf numFmtId="0" fontId="16" fillId="0" borderId="4" xfId="3" applyFont="1" applyFill="1" applyBorder="1" applyAlignment="1">
      <alignment horizontal="left" vertical="center" wrapText="1"/>
    </xf>
    <xf numFmtId="0" fontId="16" fillId="0" borderId="5" xfId="3" applyFont="1" applyFill="1" applyBorder="1" applyAlignment="1">
      <alignment horizontal="left" vertical="center" wrapText="1"/>
    </xf>
    <xf numFmtId="0" fontId="6" fillId="0" borderId="6" xfId="3" applyFont="1" applyBorder="1" applyAlignment="1">
      <alignment horizontal="center" vertical="top" wrapText="1"/>
    </xf>
    <xf numFmtId="0" fontId="3" fillId="0" borderId="0" xfId="2" applyFont="1" applyAlignment="1">
      <alignment horizontal="right"/>
    </xf>
    <xf numFmtId="0" fontId="4" fillId="0" borderId="0" xfId="2" applyFont="1" applyAlignment="1">
      <alignment horizontal="center" wrapText="1"/>
    </xf>
    <xf numFmtId="3" fontId="12" fillId="0" borderId="8" xfId="2" applyNumberFormat="1" applyFont="1" applyBorder="1" applyAlignment="1">
      <alignment horizontal="right"/>
    </xf>
    <xf numFmtId="0" fontId="22" fillId="0" borderId="7" xfId="2" applyFont="1" applyBorder="1" applyAlignment="1">
      <alignment horizontal="center" vertical="top" wrapText="1"/>
    </xf>
    <xf numFmtId="0" fontId="33" fillId="0" borderId="0" xfId="2" applyFont="1" applyAlignment="1">
      <alignment horizontal="right"/>
    </xf>
    <xf numFmtId="0" fontId="21" fillId="0" borderId="0" xfId="2" applyFont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8" xfId="2" applyFont="1" applyBorder="1" applyAlignment="1">
      <alignment horizontal="right"/>
    </xf>
    <xf numFmtId="3" fontId="16" fillId="0" borderId="6" xfId="2" applyNumberFormat="1" applyFont="1" applyBorder="1" applyAlignment="1">
      <alignment horizontal="center" vertical="center" wrapText="1"/>
    </xf>
    <xf numFmtId="3" fontId="16" fillId="0" borderId="11" xfId="2" applyNumberFormat="1" applyFont="1" applyBorder="1" applyAlignment="1">
      <alignment horizontal="center" vertical="center"/>
    </xf>
    <xf numFmtId="3" fontId="16" fillId="0" borderId="18" xfId="2" applyNumberFormat="1" applyFont="1" applyBorder="1" applyAlignment="1">
      <alignment horizontal="center" vertical="center"/>
    </xf>
    <xf numFmtId="3" fontId="16" fillId="0" borderId="4" xfId="2" applyNumberFormat="1" applyFont="1" applyBorder="1" applyAlignment="1">
      <alignment horizontal="center" vertical="center" wrapText="1"/>
    </xf>
    <xf numFmtId="3" fontId="16" fillId="0" borderId="7" xfId="2" applyNumberFormat="1" applyFont="1" applyBorder="1" applyAlignment="1">
      <alignment horizontal="center" vertical="center" wrapText="1"/>
    </xf>
    <xf numFmtId="3" fontId="16" fillId="0" borderId="5" xfId="2" applyNumberFormat="1" applyFont="1" applyBorder="1" applyAlignment="1">
      <alignment horizontal="center" vertical="center" wrapText="1"/>
    </xf>
    <xf numFmtId="0" fontId="16" fillId="0" borderId="18" xfId="2" applyFont="1" applyBorder="1" applyAlignment="1">
      <alignment horizontal="center" vertical="center" wrapText="1"/>
    </xf>
    <xf numFmtId="3" fontId="16" fillId="0" borderId="18" xfId="2" applyNumberFormat="1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top" wrapText="1"/>
    </xf>
    <xf numFmtId="0" fontId="16" fillId="0" borderId="16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21" fillId="0" borderId="0" xfId="2" applyFont="1" applyAlignment="1">
      <alignment horizontal="right"/>
    </xf>
    <xf numFmtId="0" fontId="0" fillId="0" borderId="0" xfId="0"/>
    <xf numFmtId="0" fontId="21" fillId="0" borderId="0" xfId="2" applyFont="1" applyAlignment="1">
      <alignment horizontal="center"/>
    </xf>
    <xf numFmtId="0" fontId="16" fillId="0" borderId="0" xfId="2" applyFont="1" applyBorder="1" applyAlignment="1">
      <alignment horizontal="right"/>
    </xf>
    <xf numFmtId="3" fontId="16" fillId="0" borderId="0" xfId="2" applyNumberFormat="1" applyFont="1" applyAlignment="1">
      <alignment horizontal="right"/>
    </xf>
    <xf numFmtId="3" fontId="21" fillId="0" borderId="0" xfId="2" applyNumberFormat="1" applyFont="1" applyAlignment="1">
      <alignment horizontal="right"/>
    </xf>
    <xf numFmtId="0" fontId="13" fillId="0" borderId="7" xfId="2" applyFont="1" applyBorder="1" applyAlignment="1">
      <alignment horizontal="center"/>
    </xf>
    <xf numFmtId="0" fontId="5" fillId="0" borderId="5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8" fillId="0" borderId="7" xfId="0" applyFont="1" applyBorder="1" applyAlignment="1"/>
    <xf numFmtId="0" fontId="8" fillId="0" borderId="5" xfId="0" applyFont="1" applyBorder="1" applyAlignment="1"/>
    <xf numFmtId="0" fontId="4" fillId="0" borderId="11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32" fillId="0" borderId="4" xfId="2" applyFont="1" applyBorder="1" applyAlignment="1">
      <alignment horizontal="center"/>
    </xf>
    <xf numFmtId="0" fontId="32" fillId="0" borderId="5" xfId="2" applyFont="1" applyBorder="1" applyAlignment="1">
      <alignment horizontal="center"/>
    </xf>
    <xf numFmtId="0" fontId="22" fillId="0" borderId="4" xfId="2" applyFont="1" applyBorder="1" applyAlignment="1">
      <alignment horizontal="center"/>
    </xf>
    <xf numFmtId="0" fontId="22" fillId="0" borderId="5" xfId="2" applyFont="1" applyBorder="1" applyAlignment="1">
      <alignment horizontal="center"/>
    </xf>
    <xf numFmtId="0" fontId="4" fillId="0" borderId="7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 wrapText="1"/>
    </xf>
    <xf numFmtId="0" fontId="2" fillId="0" borderId="7" xfId="0" applyFont="1" applyBorder="1" applyAlignment="1"/>
    <xf numFmtId="0" fontId="2" fillId="0" borderId="5" xfId="0" applyFont="1" applyBorder="1" applyAlignment="1"/>
    <xf numFmtId="0" fontId="5" fillId="0" borderId="7" xfId="2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0" borderId="4" xfId="2" applyFont="1" applyBorder="1" applyAlignment="1">
      <alignment horizontal="center" vertical="center" wrapText="1"/>
    </xf>
    <xf numFmtId="0" fontId="0" fillId="0" borderId="7" xfId="0" applyBorder="1" applyAlignment="1"/>
    <xf numFmtId="0" fontId="0" fillId="0" borderId="5" xfId="0" applyBorder="1" applyAlignment="1"/>
    <xf numFmtId="0" fontId="22" fillId="0" borderId="7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5" fillId="0" borderId="11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/>
    </xf>
    <xf numFmtId="0" fontId="16" fillId="0" borderId="4" xfId="2" applyFont="1" applyBorder="1" applyAlignment="1">
      <alignment horizontal="center"/>
    </xf>
    <xf numFmtId="0" fontId="4" fillId="0" borderId="25" xfId="2" applyFont="1" applyBorder="1" applyAlignment="1">
      <alignment horizontal="left"/>
    </xf>
    <xf numFmtId="0" fontId="4" fillId="0" borderId="26" xfId="2" applyFont="1" applyBorder="1" applyAlignment="1">
      <alignment horizontal="left"/>
    </xf>
    <xf numFmtId="0" fontId="12" fillId="0" borderId="25" xfId="2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2" fillId="0" borderId="32" xfId="2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4" fillId="0" borderId="8" xfId="2" applyFont="1" applyBorder="1" applyAlignment="1">
      <alignment horizontal="center"/>
    </xf>
    <xf numFmtId="0" fontId="4" fillId="0" borderId="4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right"/>
    </xf>
    <xf numFmtId="0" fontId="41" fillId="0" borderId="0" xfId="2" applyFont="1" applyAlignment="1">
      <alignment horizontal="right"/>
    </xf>
    <xf numFmtId="0" fontId="42" fillId="0" borderId="11" xfId="2" applyFont="1" applyBorder="1" applyAlignment="1">
      <alignment horizontal="center" vertical="center" wrapText="1"/>
    </xf>
    <xf numFmtId="0" fontId="42" fillId="0" borderId="18" xfId="2" applyFont="1" applyBorder="1" applyAlignment="1">
      <alignment horizontal="center" vertical="center" wrapText="1"/>
    </xf>
    <xf numFmtId="0" fontId="42" fillId="0" borderId="0" xfId="2" applyFont="1" applyAlignment="1">
      <alignment horizontal="center"/>
    </xf>
    <xf numFmtId="0" fontId="42" fillId="0" borderId="8" xfId="2" applyFont="1" applyBorder="1" applyAlignment="1">
      <alignment horizontal="right"/>
    </xf>
    <xf numFmtId="0" fontId="42" fillId="0" borderId="6" xfId="2" applyFont="1" applyBorder="1" applyAlignment="1">
      <alignment horizontal="center" vertical="center"/>
    </xf>
    <xf numFmtId="0" fontId="42" fillId="0" borderId="11" xfId="2" applyFont="1" applyBorder="1" applyAlignment="1">
      <alignment horizontal="center" wrapText="1"/>
    </xf>
    <xf numFmtId="0" fontId="42" fillId="0" borderId="18" xfId="2" applyFont="1" applyBorder="1" applyAlignment="1">
      <alignment horizontal="center" wrapText="1"/>
    </xf>
    <xf numFmtId="0" fontId="27" fillId="0" borderId="0" xfId="1" applyFont="1" applyBorder="1" applyAlignment="1">
      <alignment horizontal="right"/>
    </xf>
    <xf numFmtId="0" fontId="28" fillId="0" borderId="0" xfId="1" applyFont="1" applyBorder="1" applyAlignment="1">
      <alignment horizontal="center"/>
    </xf>
    <xf numFmtId="0" fontId="28" fillId="0" borderId="4" xfId="1" applyFont="1" applyBorder="1" applyAlignment="1">
      <alignment horizontal="left"/>
    </xf>
    <xf numFmtId="0" fontId="28" fillId="0" borderId="7" xfId="1" applyFont="1" applyBorder="1" applyAlignment="1">
      <alignment horizontal="left"/>
    </xf>
    <xf numFmtId="0" fontId="26" fillId="0" borderId="8" xfId="1" applyFont="1" applyFill="1" applyBorder="1" applyAlignment="1">
      <alignment horizontal="left"/>
    </xf>
    <xf numFmtId="0" fontId="12" fillId="0" borderId="0" xfId="2" applyFont="1" applyBorder="1" applyAlignment="1">
      <alignment horizontal="center"/>
    </xf>
    <xf numFmtId="0" fontId="12" fillId="0" borderId="4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/>
    </xf>
    <xf numFmtId="0" fontId="19" fillId="0" borderId="0" xfId="1" applyFont="1" applyBorder="1" applyAlignment="1">
      <alignment horizontal="right"/>
    </xf>
    <xf numFmtId="0" fontId="10" fillId="0" borderId="0" xfId="5" applyFont="1" applyAlignment="1">
      <alignment horizontal="center"/>
    </xf>
    <xf numFmtId="0" fontId="10" fillId="0" borderId="4" xfId="5" applyFont="1" applyBorder="1" applyAlignment="1">
      <alignment horizontal="left"/>
    </xf>
    <xf numFmtId="0" fontId="10" fillId="0" borderId="5" xfId="5" applyFont="1" applyBorder="1" applyAlignment="1">
      <alignment horizontal="left"/>
    </xf>
    <xf numFmtId="0" fontId="41" fillId="0" borderId="0" xfId="5" applyFont="1" applyFill="1" applyAlignment="1">
      <alignment horizontal="right"/>
    </xf>
    <xf numFmtId="0" fontId="10" fillId="0" borderId="8" xfId="5" applyFont="1" applyBorder="1" applyAlignment="1">
      <alignment horizontal="right"/>
    </xf>
    <xf numFmtId="0" fontId="12" fillId="0" borderId="0" xfId="2" applyFont="1" applyAlignment="1">
      <alignment horizontal="center"/>
    </xf>
  </cellXfs>
  <cellStyles count="7">
    <cellStyle name="Normál" xfId="0" builtinId="0"/>
    <cellStyle name="Normál_2010 I. névi rendmód" xfId="1"/>
    <cellStyle name="Normál_2012 évi kv. II. forduló" xfId="2"/>
    <cellStyle name="Normál_2013 hitel tábla" xfId="3"/>
    <cellStyle name="Normál_39212201 - 2009_ev" xfId="4"/>
    <cellStyle name="Normál_Európai Uniós támogatással megvalósuló projektek 2013-ban A" xfId="5"/>
    <cellStyle name="Normál_mellékletek (uniós,közvetett)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35</xdr:row>
      <xdr:rowOff>0</xdr:rowOff>
    </xdr:from>
    <xdr:ext cx="104775" cy="231775"/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400050" y="22383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35</xdr:row>
      <xdr:rowOff>0</xdr:rowOff>
    </xdr:from>
    <xdr:ext cx="104775" cy="231775"/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400050" y="22383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8</xdr:row>
      <xdr:rowOff>0</xdr:rowOff>
    </xdr:from>
    <xdr:ext cx="104775" cy="231775"/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400050" y="16383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5</xdr:col>
      <xdr:colOff>19050</xdr:colOff>
      <xdr:row>142</xdr:row>
      <xdr:rowOff>0</xdr:rowOff>
    </xdr:from>
    <xdr:to>
      <xdr:col>5</xdr:col>
      <xdr:colOff>171450</xdr:colOff>
      <xdr:row>142</xdr:row>
      <xdr:rowOff>0</xdr:rowOff>
    </xdr:to>
    <xdr:sp macro="" textlink="">
      <xdr:nvSpPr>
        <xdr:cNvPr id="5124" name="AutoShape 4"/>
        <xdr:cNvSpPr>
          <a:spLocks/>
        </xdr:cNvSpPr>
      </xdr:nvSpPr>
      <xdr:spPr bwMode="auto">
        <a:xfrm>
          <a:off x="9363075" y="22440900"/>
          <a:ext cx="1524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szeln&#233;/Documents/kv.besz&#225;molo/2013/k&#246;lts&#233;gvet&#233;s/2013%20&#233;vi%20kv.%20I.%20fordu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2013.I.egys&#233;g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szeln&#233;/Documents/kv.besz&#225;molo/2012/k&#246;lts&#233;gvet&#233;s/k&#246;lts&#233;gvet&#233;s/2012%20&#233;vi%20kv.%20II.%20fordul&#24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ímrendes bevétel"/>
      <sheetName val="címrendes kiadás"/>
      <sheetName val="Önkorm.bevétel"/>
      <sheetName val="Hivatal bevétel"/>
      <sheetName val="Önkorm.kiadás"/>
      <sheetName val="Hivatal kiad."/>
      <sheetName val="hitel 3.sz."/>
      <sheetName val="4.sz.mell. (2)"/>
      <sheetName val="5.mell. (2)"/>
      <sheetName val="6.mell.(2)"/>
      <sheetName val="7.mell (2)"/>
      <sheetName val="9.m.II.f."/>
      <sheetName val="10.mell "/>
      <sheetName val="10.mell  összehasonlító"/>
      <sheetName val="11a melléklet"/>
      <sheetName val="11b melléklet"/>
      <sheetName val="12. melléklet"/>
      <sheetName val="13.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ímrendes bevétel"/>
      <sheetName val="címrendes kiadás"/>
      <sheetName val="Önkorm.bevétel"/>
      <sheetName val="Hivatal bevétel"/>
      <sheetName val="Önkorm.kiadás"/>
      <sheetName val="Hivatal kiad."/>
      <sheetName val="hitel 3.sz."/>
      <sheetName val="4.sz.mell. (2)"/>
      <sheetName val="5.mell. (2)"/>
      <sheetName val="kötelező-nem kötelező"/>
      <sheetName val="6.mell.(2)"/>
      <sheetName val="7.mell (2)"/>
      <sheetName val="9.m.II.f."/>
      <sheetName val="10.mell "/>
      <sheetName val="11a melléklet"/>
      <sheetName val="11b melléklet"/>
      <sheetName val="12. melléklet"/>
      <sheetName val="13.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F11">
            <v>156322</v>
          </cell>
        </row>
        <row r="12">
          <cell r="F12">
            <v>685000</v>
          </cell>
        </row>
        <row r="15">
          <cell r="F15">
            <v>87530</v>
          </cell>
        </row>
        <row r="21">
          <cell r="F21">
            <v>0</v>
          </cell>
        </row>
        <row r="22">
          <cell r="F22">
            <v>500</v>
          </cell>
        </row>
        <row r="24">
          <cell r="F24">
            <v>3100</v>
          </cell>
        </row>
        <row r="29">
          <cell r="F29">
            <v>345173</v>
          </cell>
        </row>
        <row r="30">
          <cell r="F30">
            <v>93125</v>
          </cell>
        </row>
        <row r="31">
          <cell r="F31">
            <v>366927</v>
          </cell>
        </row>
        <row r="33">
          <cell r="F33">
            <v>45885</v>
          </cell>
        </row>
        <row r="34">
          <cell r="F34">
            <v>189482</v>
          </cell>
        </row>
        <row r="36">
          <cell r="F36">
            <v>52500</v>
          </cell>
        </row>
        <row r="58">
          <cell r="F58">
            <v>69579</v>
          </cell>
        </row>
        <row r="59">
          <cell r="F59">
            <v>138750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ímrendes bevétel"/>
      <sheetName val="címrendes kiadás"/>
      <sheetName val="Önkorm.bevétel"/>
      <sheetName val="Hivatal bevétel"/>
      <sheetName val="Önkorm.kiadás"/>
      <sheetName val="Hivatal kiad."/>
      <sheetName val="hitel 3.sz. (jó)"/>
      <sheetName val="kisebbs.eredeti "/>
      <sheetName val="4.sz.mell. (2)"/>
      <sheetName val="5.mell. (2)"/>
      <sheetName val="6.mell.(2)"/>
      <sheetName val="7.mell (2)"/>
      <sheetName val="9.m.II.f."/>
      <sheetName val="10.mell (2)"/>
      <sheetName val="10.mell"/>
      <sheetName val="11a melléklet"/>
      <sheetName val="11b melléklet"/>
      <sheetName val="12.mell."/>
      <sheetName val="13.mell."/>
    </sheetNames>
    <sheetDataSet>
      <sheetData sheetId="0">
        <row r="160">
          <cell r="M16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2">
          <cell r="F42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/>
  <dimension ref="A1:AP165"/>
  <sheetViews>
    <sheetView tabSelected="1" view="pageBreakPreview" zoomScale="75" zoomScaleNormal="100" zoomScaleSheetLayoutView="75" workbookViewId="0">
      <selection activeCell="AD76" sqref="AD76"/>
    </sheetView>
  </sheetViews>
  <sheetFormatPr defaultRowHeight="15"/>
  <cols>
    <col min="1" max="1" width="2.7109375" style="1" customWidth="1"/>
    <col min="2" max="2" width="3.140625" style="1" customWidth="1"/>
    <col min="3" max="3" width="4.5703125" style="1" customWidth="1"/>
    <col min="4" max="4" width="4" style="1" customWidth="1"/>
    <col min="5" max="5" width="3.42578125" style="1" customWidth="1"/>
    <col min="6" max="6" width="2.7109375" style="2" customWidth="1"/>
    <col min="7" max="7" width="3.28515625" style="2" customWidth="1"/>
    <col min="8" max="8" width="3.140625" style="2" customWidth="1"/>
    <col min="9" max="9" width="4.85546875" style="2" customWidth="1"/>
    <col min="10" max="10" width="2.42578125" style="2" customWidth="1"/>
    <col min="11" max="11" width="2.85546875" style="2" customWidth="1"/>
    <col min="12" max="12" width="52.7109375" style="2" customWidth="1"/>
    <col min="13" max="13" width="16.5703125" style="3" customWidth="1"/>
    <col min="14" max="14" width="10.140625" style="3" hidden="1" customWidth="1"/>
    <col min="15" max="15" width="12.28515625" style="3" hidden="1" customWidth="1"/>
    <col min="16" max="16" width="10.28515625" style="3" hidden="1" customWidth="1"/>
    <col min="17" max="17" width="9" style="3" hidden="1" customWidth="1"/>
    <col min="18" max="18" width="11.28515625" style="556" hidden="1" customWidth="1"/>
    <col min="19" max="19" width="12.28515625" style="556" hidden="1" customWidth="1"/>
    <col min="20" max="20" width="10.7109375" style="3" hidden="1" customWidth="1"/>
    <col min="21" max="21" width="9.140625" style="580" hidden="1" customWidth="1"/>
    <col min="22" max="22" width="9.140625" style="98" hidden="1" customWidth="1"/>
    <col min="23" max="23" width="11.5703125" style="98" customWidth="1"/>
    <col min="24" max="24" width="10.7109375" style="3" hidden="1" customWidth="1"/>
    <col min="25" max="25" width="6.28515625" style="3" hidden="1" customWidth="1"/>
    <col min="26" max="26" width="10.28515625" style="3" customWidth="1"/>
    <col min="27" max="27" width="11.7109375" style="3" customWidth="1"/>
    <col min="28" max="16384" width="9.140625" style="2"/>
  </cols>
  <sheetData>
    <row r="1" spans="1:42" ht="15.75">
      <c r="M1" s="210"/>
    </row>
    <row r="2" spans="1:42" ht="15" customHeight="1">
      <c r="L2" s="911" t="s">
        <v>887</v>
      </c>
      <c r="M2" s="911"/>
      <c r="N2" s="912"/>
      <c r="O2" s="912"/>
      <c r="P2" s="913"/>
      <c r="Q2" s="913"/>
      <c r="R2" s="913"/>
      <c r="S2" s="913"/>
      <c r="T2" s="913"/>
      <c r="U2" s="913"/>
      <c r="V2" s="913"/>
      <c r="W2" s="913"/>
      <c r="X2" s="913"/>
      <c r="Y2" s="913"/>
      <c r="Z2" s="913"/>
      <c r="AA2" s="913"/>
    </row>
    <row r="3" spans="1:42" ht="15" customHeight="1">
      <c r="L3" s="210"/>
      <c r="M3" s="210"/>
    </row>
    <row r="4" spans="1:42" ht="15" customHeight="1">
      <c r="L4" s="210"/>
      <c r="M4" s="210"/>
    </row>
    <row r="5" spans="1:42" ht="15.75">
      <c r="A5" s="914" t="s">
        <v>349</v>
      </c>
      <c r="B5" s="914"/>
      <c r="C5" s="914"/>
      <c r="D5" s="914"/>
      <c r="E5" s="914"/>
      <c r="F5" s="914"/>
      <c r="G5" s="914"/>
      <c r="H5" s="914"/>
      <c r="I5" s="914"/>
      <c r="J5" s="914"/>
      <c r="K5" s="914"/>
      <c r="L5" s="914"/>
      <c r="M5" s="913"/>
      <c r="N5" s="913"/>
      <c r="O5" s="913"/>
      <c r="P5" s="913"/>
      <c r="Q5" s="913"/>
      <c r="R5" s="913"/>
      <c r="S5" s="913"/>
      <c r="T5" s="913"/>
      <c r="U5" s="913"/>
      <c r="V5" s="913"/>
      <c r="W5" s="913"/>
      <c r="X5" s="913"/>
      <c r="Y5" s="913"/>
      <c r="Z5" s="913"/>
      <c r="AA5" s="913"/>
    </row>
    <row r="6" spans="1:42" ht="15.7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42" ht="15.7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4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915" t="s">
        <v>103</v>
      </c>
      <c r="M8" s="915"/>
      <c r="N8" s="916"/>
      <c r="O8" s="916"/>
      <c r="P8" s="916"/>
      <c r="Q8" s="916"/>
      <c r="R8" s="916"/>
      <c r="S8" s="916"/>
      <c r="T8" s="916"/>
      <c r="U8" s="916"/>
      <c r="V8" s="916"/>
      <c r="W8" s="916"/>
      <c r="X8" s="916"/>
      <c r="Y8" s="916"/>
      <c r="Z8" s="913"/>
      <c r="AA8" s="913"/>
    </row>
    <row r="9" spans="1:42" s="7" customFormat="1" ht="95.25">
      <c r="A9" s="6" t="s">
        <v>104</v>
      </c>
      <c r="B9" s="6" t="s">
        <v>105</v>
      </c>
      <c r="C9" s="6" t="s">
        <v>106</v>
      </c>
      <c r="D9" s="6" t="s">
        <v>107</v>
      </c>
      <c r="E9" s="6" t="s">
        <v>108</v>
      </c>
      <c r="F9" s="6" t="s">
        <v>109</v>
      </c>
      <c r="G9" s="6" t="s">
        <v>110</v>
      </c>
      <c r="H9" s="6" t="s">
        <v>111</v>
      </c>
      <c r="I9" s="6" t="s">
        <v>112</v>
      </c>
      <c r="J9" s="6" t="s">
        <v>113</v>
      </c>
      <c r="K9" s="6" t="s">
        <v>114</v>
      </c>
      <c r="L9" s="130" t="s">
        <v>115</v>
      </c>
      <c r="M9" s="131" t="s">
        <v>528</v>
      </c>
      <c r="N9" s="131" t="s">
        <v>432</v>
      </c>
      <c r="O9" s="131" t="s">
        <v>259</v>
      </c>
      <c r="P9" s="131" t="s">
        <v>547</v>
      </c>
      <c r="Q9" s="131" t="s">
        <v>548</v>
      </c>
      <c r="R9" s="552" t="s">
        <v>432</v>
      </c>
      <c r="S9" s="552" t="s">
        <v>592</v>
      </c>
      <c r="T9" s="131" t="s">
        <v>706</v>
      </c>
      <c r="U9" s="581" t="s">
        <v>548</v>
      </c>
      <c r="V9" s="134" t="s">
        <v>432</v>
      </c>
      <c r="W9" s="134" t="s">
        <v>732</v>
      </c>
      <c r="X9" s="131" t="s">
        <v>815</v>
      </c>
      <c r="Y9" s="131" t="s">
        <v>260</v>
      </c>
      <c r="Z9" s="134" t="s">
        <v>432</v>
      </c>
      <c r="AA9" s="134" t="s">
        <v>832</v>
      </c>
    </row>
    <row r="10" spans="1:42" s="7" customFormat="1">
      <c r="A10" s="130" t="s">
        <v>376</v>
      </c>
      <c r="B10" s="130" t="s">
        <v>377</v>
      </c>
      <c r="C10" s="130" t="s">
        <v>378</v>
      </c>
      <c r="D10" s="130" t="s">
        <v>379</v>
      </c>
      <c r="E10" s="130" t="s">
        <v>380</v>
      </c>
      <c r="F10" s="130" t="s">
        <v>381</v>
      </c>
      <c r="G10" s="130" t="s">
        <v>382</v>
      </c>
      <c r="H10" s="130" t="s">
        <v>383</v>
      </c>
      <c r="I10" s="130" t="s">
        <v>384</v>
      </c>
      <c r="J10" s="130" t="s">
        <v>385</v>
      </c>
      <c r="K10" s="130" t="s">
        <v>386</v>
      </c>
      <c r="L10" s="783" t="s">
        <v>387</v>
      </c>
      <c r="M10" s="128" t="s">
        <v>388</v>
      </c>
      <c r="N10" s="128" t="s">
        <v>389</v>
      </c>
      <c r="O10" s="128" t="s">
        <v>549</v>
      </c>
      <c r="P10" s="128" t="s">
        <v>390</v>
      </c>
      <c r="Q10" s="128" t="s">
        <v>546</v>
      </c>
      <c r="R10" s="784" t="s">
        <v>390</v>
      </c>
      <c r="S10" s="784" t="s">
        <v>389</v>
      </c>
      <c r="T10" s="128" t="s">
        <v>390</v>
      </c>
      <c r="U10" s="650" t="s">
        <v>546</v>
      </c>
      <c r="V10" s="785" t="s">
        <v>390</v>
      </c>
      <c r="W10" s="785" t="s">
        <v>389</v>
      </c>
      <c r="X10" s="128" t="s">
        <v>390</v>
      </c>
      <c r="Y10" s="128" t="s">
        <v>546</v>
      </c>
      <c r="Z10" s="131" t="s">
        <v>390</v>
      </c>
      <c r="AA10" s="786" t="s">
        <v>546</v>
      </c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</row>
    <row r="11" spans="1:42">
      <c r="A11" s="8" t="s">
        <v>117</v>
      </c>
      <c r="B11" s="8"/>
      <c r="C11" s="8"/>
      <c r="D11" s="8"/>
      <c r="E11" s="8"/>
      <c r="F11" s="9"/>
      <c r="G11" s="9" t="s">
        <v>118</v>
      </c>
      <c r="H11" s="9"/>
      <c r="I11" s="9"/>
      <c r="J11" s="9"/>
      <c r="K11" s="9"/>
      <c r="L11" s="9"/>
      <c r="N11" s="20"/>
      <c r="O11" s="20"/>
      <c r="P11" s="20"/>
      <c r="Q11" s="20"/>
      <c r="R11" s="21"/>
      <c r="S11" s="21"/>
      <c r="T11" s="20"/>
      <c r="U11" s="582"/>
      <c r="V11" s="396"/>
      <c r="W11" s="396"/>
      <c r="X11" s="20"/>
      <c r="Y11" s="20"/>
      <c r="Z11" s="20"/>
      <c r="AA11" s="20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>
      <c r="A12" s="10"/>
      <c r="B12" s="10"/>
      <c r="C12" s="10" t="s">
        <v>119</v>
      </c>
      <c r="D12" s="10"/>
      <c r="E12" s="10"/>
      <c r="F12" s="11"/>
      <c r="G12" s="11"/>
      <c r="H12" s="11"/>
      <c r="I12" s="11" t="s">
        <v>120</v>
      </c>
      <c r="J12" s="11"/>
      <c r="K12" s="11"/>
      <c r="L12" s="11"/>
      <c r="M12" s="3">
        <v>141822</v>
      </c>
      <c r="N12" s="124">
        <v>0</v>
      </c>
      <c r="O12" s="124">
        <f>M12+N12</f>
        <v>141822</v>
      </c>
      <c r="P12" s="290">
        <v>66771</v>
      </c>
      <c r="Q12" s="124">
        <f>SUM(P12/O12)*100</f>
        <v>47.080847823327829</v>
      </c>
      <c r="R12" s="21">
        <v>68477</v>
      </c>
      <c r="S12" s="21">
        <f>O12+R12</f>
        <v>210299</v>
      </c>
      <c r="T12" s="124">
        <v>204420</v>
      </c>
      <c r="U12" s="583">
        <f>SUM(T12/S12)*100</f>
        <v>97.20445651191875</v>
      </c>
      <c r="V12" s="396">
        <v>170730</v>
      </c>
      <c r="W12" s="396">
        <f>S12+V12</f>
        <v>381029</v>
      </c>
      <c r="X12" s="20">
        <v>467481</v>
      </c>
      <c r="Y12" s="20">
        <f>SUM(X12/W12)*100</f>
        <v>122.68908665744603</v>
      </c>
      <c r="Z12" s="20">
        <v>384031</v>
      </c>
      <c r="AA12" s="20">
        <f>W12+Z12</f>
        <v>765060</v>
      </c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16" customFormat="1" ht="15.75">
      <c r="A13" s="13"/>
      <c r="B13" s="13"/>
      <c r="C13" s="13"/>
      <c r="D13" s="13" t="s">
        <v>117</v>
      </c>
      <c r="E13" s="13"/>
      <c r="F13" s="14"/>
      <c r="G13" s="14"/>
      <c r="H13" s="14"/>
      <c r="I13" s="14"/>
      <c r="J13" s="14" t="s">
        <v>121</v>
      </c>
      <c r="K13" s="14"/>
      <c r="L13" s="14"/>
      <c r="M13" s="15">
        <f>SUM(M12)</f>
        <v>141822</v>
      </c>
      <c r="N13" s="289">
        <f>SUM(N12)</f>
        <v>0</v>
      </c>
      <c r="O13" s="289">
        <f>M13+N13</f>
        <v>141822</v>
      </c>
      <c r="P13" s="289">
        <f>SUM(P12)</f>
        <v>66771</v>
      </c>
      <c r="Q13" s="289">
        <f t="shared" ref="Q13:Q84" si="0">SUM(P13/O13)*100</f>
        <v>47.080847823327829</v>
      </c>
      <c r="R13" s="463">
        <f>SUM(R12)</f>
        <v>68477</v>
      </c>
      <c r="S13" s="463">
        <f t="shared" ref="S13:S84" si="1">O13+R13</f>
        <v>210299</v>
      </c>
      <c r="T13" s="286">
        <f>SUM(T12)</f>
        <v>204420</v>
      </c>
      <c r="U13" s="589">
        <f t="shared" ref="U13:U84" si="2">SUM(T13/S13)*100</f>
        <v>97.20445651191875</v>
      </c>
      <c r="V13" s="289">
        <f>SUM(V12)</f>
        <v>170730</v>
      </c>
      <c r="W13" s="289">
        <f t="shared" ref="W13:W75" si="3">S13+V13</f>
        <v>381029</v>
      </c>
      <c r="X13" s="286">
        <f>SUM(X12)</f>
        <v>467481</v>
      </c>
      <c r="Y13" s="289">
        <f t="shared" ref="Y13:Y75" si="4">SUM(X13/W13)*100</f>
        <v>122.68908665744603</v>
      </c>
      <c r="Z13" s="289">
        <v>384031</v>
      </c>
      <c r="AA13" s="289">
        <f t="shared" ref="AA13:AA75" si="5">W13+Z13</f>
        <v>765060</v>
      </c>
    </row>
    <row r="14" spans="1:42">
      <c r="A14" s="8"/>
      <c r="B14" s="8"/>
      <c r="C14" s="8"/>
      <c r="D14" s="8" t="s">
        <v>122</v>
      </c>
      <c r="E14" s="8"/>
      <c r="F14" s="9"/>
      <c r="G14" s="9"/>
      <c r="H14" s="9"/>
      <c r="I14" s="9"/>
      <c r="J14" s="9" t="s">
        <v>123</v>
      </c>
      <c r="K14" s="9"/>
      <c r="L14" s="9"/>
      <c r="O14" s="20"/>
      <c r="Q14" s="20"/>
      <c r="S14" s="21"/>
      <c r="U14" s="582"/>
      <c r="W14" s="396"/>
      <c r="X14" s="20"/>
      <c r="Y14" s="20"/>
      <c r="AA14" s="20"/>
    </row>
    <row r="15" spans="1:42">
      <c r="A15" s="17"/>
      <c r="B15" s="17"/>
      <c r="C15" s="17"/>
      <c r="D15" s="17"/>
      <c r="E15" s="18" t="s">
        <v>124</v>
      </c>
      <c r="F15" s="19"/>
      <c r="G15" s="19"/>
      <c r="H15" s="19"/>
      <c r="I15" s="19"/>
      <c r="J15" s="19"/>
      <c r="K15" s="19" t="s">
        <v>125</v>
      </c>
      <c r="L15" s="19"/>
      <c r="O15" s="20"/>
      <c r="Q15" s="20"/>
      <c r="S15" s="21"/>
      <c r="U15" s="582"/>
      <c r="W15" s="396"/>
      <c r="X15" s="20"/>
      <c r="Y15" s="20"/>
      <c r="AA15" s="20"/>
    </row>
    <row r="16" spans="1:42">
      <c r="A16" s="17"/>
      <c r="B16" s="17"/>
      <c r="C16" s="17"/>
      <c r="D16" s="17"/>
      <c r="E16" s="17"/>
      <c r="F16" s="19" t="s">
        <v>126</v>
      </c>
      <c r="G16" s="19"/>
      <c r="H16" s="19"/>
      <c r="I16" s="19"/>
      <c r="J16" s="19"/>
      <c r="K16" s="19"/>
      <c r="L16" s="19" t="s">
        <v>127</v>
      </c>
      <c r="M16" s="3">
        <v>125000</v>
      </c>
      <c r="N16" s="3">
        <v>0</v>
      </c>
      <c r="O16" s="20">
        <f>M16+N16</f>
        <v>125000</v>
      </c>
      <c r="P16" s="3">
        <v>60495</v>
      </c>
      <c r="Q16" s="20">
        <f t="shared" si="0"/>
        <v>48.396000000000001</v>
      </c>
      <c r="R16" s="556">
        <v>0</v>
      </c>
      <c r="S16" s="21">
        <f t="shared" si="1"/>
        <v>125000</v>
      </c>
      <c r="T16" s="20">
        <v>69747</v>
      </c>
      <c r="U16" s="582">
        <f t="shared" si="2"/>
        <v>55.797600000000003</v>
      </c>
      <c r="V16" s="98">
        <v>0</v>
      </c>
      <c r="W16" s="396">
        <f t="shared" si="3"/>
        <v>125000</v>
      </c>
      <c r="X16" s="20">
        <v>127512</v>
      </c>
      <c r="Y16" s="20">
        <f t="shared" si="4"/>
        <v>102.00959999999999</v>
      </c>
      <c r="Z16" s="3">
        <v>0</v>
      </c>
      <c r="AA16" s="20">
        <f t="shared" si="5"/>
        <v>125000</v>
      </c>
    </row>
    <row r="17" spans="1:27">
      <c r="A17" s="17"/>
      <c r="B17" s="17"/>
      <c r="C17" s="17"/>
      <c r="D17" s="17"/>
      <c r="E17" s="17"/>
      <c r="F17" s="19" t="s">
        <v>128</v>
      </c>
      <c r="G17" s="19"/>
      <c r="H17" s="19"/>
      <c r="I17" s="19"/>
      <c r="J17" s="19"/>
      <c r="K17" s="19"/>
      <c r="L17" s="19" t="s">
        <v>129</v>
      </c>
      <c r="M17" s="3">
        <v>9000</v>
      </c>
      <c r="N17" s="3">
        <v>0</v>
      </c>
      <c r="O17" s="20">
        <f>M17+N17</f>
        <v>9000</v>
      </c>
      <c r="P17" s="3">
        <v>2543</v>
      </c>
      <c r="Q17" s="20">
        <f t="shared" si="0"/>
        <v>28.255555555555556</v>
      </c>
      <c r="R17" s="556">
        <v>0</v>
      </c>
      <c r="S17" s="21">
        <f t="shared" si="1"/>
        <v>9000</v>
      </c>
      <c r="T17" s="20">
        <v>5209</v>
      </c>
      <c r="U17" s="582">
        <f t="shared" si="2"/>
        <v>57.877777777777773</v>
      </c>
      <c r="V17" s="98">
        <v>190</v>
      </c>
      <c r="W17" s="396">
        <f t="shared" si="3"/>
        <v>9190</v>
      </c>
      <c r="X17" s="20">
        <v>11150</v>
      </c>
      <c r="Y17" s="20">
        <f t="shared" si="4"/>
        <v>121.32752992383024</v>
      </c>
      <c r="Z17" s="3">
        <v>0</v>
      </c>
      <c r="AA17" s="20">
        <f t="shared" si="5"/>
        <v>9190</v>
      </c>
    </row>
    <row r="18" spans="1:27">
      <c r="A18" s="17"/>
      <c r="B18" s="17"/>
      <c r="C18" s="17"/>
      <c r="D18" s="17"/>
      <c r="E18" s="17"/>
      <c r="F18" s="19" t="s">
        <v>130</v>
      </c>
      <c r="G18" s="19"/>
      <c r="H18" s="19"/>
      <c r="I18" s="19"/>
      <c r="J18" s="19"/>
      <c r="K18" s="19"/>
      <c r="L18" s="19" t="s">
        <v>131</v>
      </c>
      <c r="M18" s="3">
        <v>470000</v>
      </c>
      <c r="N18" s="124">
        <v>0</v>
      </c>
      <c r="O18" s="124">
        <f>M18+N18</f>
        <v>470000</v>
      </c>
      <c r="P18" s="124">
        <v>179797</v>
      </c>
      <c r="Q18" s="124">
        <f t="shared" si="0"/>
        <v>38.254680851063831</v>
      </c>
      <c r="R18" s="556">
        <v>0</v>
      </c>
      <c r="S18" s="21">
        <f t="shared" si="1"/>
        <v>470000</v>
      </c>
      <c r="T18" s="20">
        <v>275717</v>
      </c>
      <c r="U18" s="582">
        <f t="shared" si="2"/>
        <v>58.663191489361701</v>
      </c>
      <c r="V18" s="98">
        <v>0</v>
      </c>
      <c r="W18" s="396">
        <f t="shared" si="3"/>
        <v>470000</v>
      </c>
      <c r="X18" s="20">
        <v>475976</v>
      </c>
      <c r="Y18" s="20">
        <f t="shared" si="4"/>
        <v>101.27148936170214</v>
      </c>
      <c r="Z18" s="3">
        <v>5109</v>
      </c>
      <c r="AA18" s="20">
        <f t="shared" si="5"/>
        <v>475109</v>
      </c>
    </row>
    <row r="19" spans="1:27">
      <c r="A19" s="17"/>
      <c r="B19" s="17"/>
      <c r="C19" s="17"/>
      <c r="D19" s="17"/>
      <c r="E19" s="17"/>
      <c r="F19" s="19" t="s">
        <v>713</v>
      </c>
      <c r="G19" s="19"/>
      <c r="H19" s="19"/>
      <c r="I19" s="19"/>
      <c r="J19" s="19"/>
      <c r="K19" s="19"/>
      <c r="L19" s="19" t="s">
        <v>714</v>
      </c>
      <c r="M19" s="3">
        <v>0</v>
      </c>
      <c r="N19" s="124"/>
      <c r="O19" s="124"/>
      <c r="P19" s="124"/>
      <c r="Q19" s="124"/>
      <c r="S19" s="21">
        <v>0</v>
      </c>
      <c r="T19" s="124">
        <v>4</v>
      </c>
      <c r="U19" s="583">
        <v>0</v>
      </c>
      <c r="V19" s="98">
        <v>0</v>
      </c>
      <c r="W19" s="396">
        <f t="shared" si="3"/>
        <v>0</v>
      </c>
      <c r="X19" s="20">
        <v>0</v>
      </c>
      <c r="Y19" s="20">
        <v>0</v>
      </c>
      <c r="Z19" s="3">
        <v>0</v>
      </c>
      <c r="AA19" s="20">
        <f t="shared" si="5"/>
        <v>0</v>
      </c>
    </row>
    <row r="20" spans="1:27" s="16" customFormat="1" ht="15.75">
      <c r="A20" s="13"/>
      <c r="B20" s="13"/>
      <c r="C20" s="13"/>
      <c r="D20" s="13"/>
      <c r="E20" s="13" t="s">
        <v>124</v>
      </c>
      <c r="F20" s="14"/>
      <c r="G20" s="14"/>
      <c r="H20" s="14"/>
      <c r="I20" s="14"/>
      <c r="J20" s="14"/>
      <c r="K20" s="14" t="s">
        <v>132</v>
      </c>
      <c r="L20" s="14"/>
      <c r="M20" s="15">
        <f>SUM(M16:M19)</f>
        <v>604000</v>
      </c>
      <c r="N20" s="289">
        <f>SUM(N16:N18)</f>
        <v>0</v>
      </c>
      <c r="O20" s="289">
        <f>M20+N20</f>
        <v>604000</v>
      </c>
      <c r="P20" s="286">
        <f>SUM(P16:P18)</f>
        <v>242835</v>
      </c>
      <c r="Q20" s="451">
        <f t="shared" si="0"/>
        <v>40.204470198675494</v>
      </c>
      <c r="R20" s="463">
        <v>0</v>
      </c>
      <c r="S20" s="463">
        <f t="shared" si="1"/>
        <v>604000</v>
      </c>
      <c r="T20" s="286">
        <f>SUM(T16:T19)</f>
        <v>350677</v>
      </c>
      <c r="U20" s="589">
        <f t="shared" si="2"/>
        <v>58.059105960264901</v>
      </c>
      <c r="V20" s="289">
        <f>SUM(V16:V19)</f>
        <v>190</v>
      </c>
      <c r="W20" s="289">
        <f t="shared" si="3"/>
        <v>604190</v>
      </c>
      <c r="X20" s="286">
        <f>SUM(X16:X19)</f>
        <v>614638</v>
      </c>
      <c r="Y20" s="289">
        <f t="shared" si="4"/>
        <v>101.72925735281947</v>
      </c>
      <c r="Z20" s="289">
        <f>SUM(Z16:Z19)</f>
        <v>5109</v>
      </c>
      <c r="AA20" s="289">
        <f t="shared" si="5"/>
        <v>609299</v>
      </c>
    </row>
    <row r="21" spans="1:27">
      <c r="A21" s="8"/>
      <c r="B21" s="8"/>
      <c r="C21" s="8"/>
      <c r="D21" s="8"/>
      <c r="E21" s="8" t="s">
        <v>133</v>
      </c>
      <c r="F21" s="9"/>
      <c r="G21" s="9"/>
      <c r="H21" s="9"/>
      <c r="I21" s="9"/>
      <c r="J21" s="9"/>
      <c r="K21" s="9" t="s">
        <v>134</v>
      </c>
      <c r="L21" s="9"/>
      <c r="O21" s="20"/>
      <c r="Q21" s="20"/>
      <c r="S21" s="21"/>
      <c r="U21" s="582"/>
      <c r="W21" s="396"/>
      <c r="X21" s="20"/>
      <c r="Y21" s="20"/>
      <c r="AA21" s="20"/>
    </row>
    <row r="22" spans="1:27">
      <c r="A22" s="17"/>
      <c r="B22" s="17"/>
      <c r="C22" s="17"/>
      <c r="D22" s="17"/>
      <c r="E22" s="17"/>
      <c r="F22" s="19" t="s">
        <v>135</v>
      </c>
      <c r="G22" s="19"/>
      <c r="H22" s="19"/>
      <c r="I22" s="19"/>
      <c r="J22" s="19"/>
      <c r="K22" s="19"/>
      <c r="L22" s="19" t="s">
        <v>136</v>
      </c>
      <c r="M22" s="3">
        <v>42000</v>
      </c>
      <c r="N22" s="124">
        <v>0</v>
      </c>
      <c r="O22" s="124">
        <f>M22+N22</f>
        <v>42000</v>
      </c>
      <c r="P22" s="124">
        <v>1223</v>
      </c>
      <c r="Q22" s="124">
        <f t="shared" si="0"/>
        <v>2.9119047619047618</v>
      </c>
      <c r="R22" s="556">
        <v>0</v>
      </c>
      <c r="S22" s="21">
        <f t="shared" si="1"/>
        <v>42000</v>
      </c>
      <c r="T22" s="3">
        <v>21529</v>
      </c>
      <c r="U22" s="583">
        <f t="shared" si="2"/>
        <v>51.259523809523813</v>
      </c>
      <c r="V22" s="98">
        <v>0</v>
      </c>
      <c r="W22" s="396">
        <f t="shared" si="3"/>
        <v>42000</v>
      </c>
      <c r="X22" s="20">
        <v>25319</v>
      </c>
      <c r="Y22" s="20">
        <f t="shared" si="4"/>
        <v>60.283333333333331</v>
      </c>
      <c r="Z22" s="3">
        <v>0</v>
      </c>
      <c r="AA22" s="20">
        <f t="shared" si="5"/>
        <v>42000</v>
      </c>
    </row>
    <row r="23" spans="1:27" s="16" customFormat="1" ht="15.75">
      <c r="A23" s="13"/>
      <c r="B23" s="13"/>
      <c r="C23" s="13"/>
      <c r="D23" s="13"/>
      <c r="E23" s="13" t="s">
        <v>133</v>
      </c>
      <c r="F23" s="14"/>
      <c r="G23" s="14"/>
      <c r="H23" s="14"/>
      <c r="I23" s="14"/>
      <c r="J23" s="14"/>
      <c r="K23" s="14" t="s">
        <v>132</v>
      </c>
      <c r="L23" s="14"/>
      <c r="M23" s="15">
        <f>SUM(M22:M22)</f>
        <v>42000</v>
      </c>
      <c r="N23" s="289">
        <f>SUM(N22)</f>
        <v>0</v>
      </c>
      <c r="O23" s="289">
        <f>M23+N23</f>
        <v>42000</v>
      </c>
      <c r="P23" s="286">
        <f>SUM(P22)</f>
        <v>1223</v>
      </c>
      <c r="Q23" s="451">
        <f t="shared" si="0"/>
        <v>2.9119047619047618</v>
      </c>
      <c r="R23" s="463">
        <v>0</v>
      </c>
      <c r="S23" s="463">
        <f t="shared" si="1"/>
        <v>42000</v>
      </c>
      <c r="T23" s="286">
        <f>SUM(T22)</f>
        <v>21529</v>
      </c>
      <c r="U23" s="589">
        <f t="shared" si="2"/>
        <v>51.259523809523813</v>
      </c>
      <c r="V23" s="289">
        <f>SUM(V22)</f>
        <v>0</v>
      </c>
      <c r="W23" s="289">
        <f t="shared" si="3"/>
        <v>42000</v>
      </c>
      <c r="X23" s="286">
        <f>SUM(X22)</f>
        <v>25319</v>
      </c>
      <c r="Y23" s="289">
        <f t="shared" si="4"/>
        <v>60.283333333333331</v>
      </c>
      <c r="Z23" s="289">
        <f>SUM(Z22)</f>
        <v>0</v>
      </c>
      <c r="AA23" s="289">
        <f t="shared" si="5"/>
        <v>42000</v>
      </c>
    </row>
    <row r="24" spans="1:27">
      <c r="A24" s="17"/>
      <c r="B24" s="17"/>
      <c r="C24" s="17"/>
      <c r="D24" s="17"/>
      <c r="E24" s="17" t="s">
        <v>137</v>
      </c>
      <c r="F24" s="19"/>
      <c r="G24" s="19"/>
      <c r="H24" s="19"/>
      <c r="I24" s="19"/>
      <c r="J24" s="19"/>
      <c r="K24" s="19" t="s">
        <v>138</v>
      </c>
      <c r="L24" s="19"/>
      <c r="O24" s="20"/>
      <c r="Q24" s="20"/>
      <c r="S24" s="21"/>
      <c r="U24" s="582"/>
      <c r="W24" s="396"/>
      <c r="X24" s="20"/>
      <c r="Y24" s="20"/>
      <c r="AA24" s="20"/>
    </row>
    <row r="25" spans="1:27">
      <c r="A25" s="17"/>
      <c r="B25" s="17"/>
      <c r="C25" s="17"/>
      <c r="D25" s="17"/>
      <c r="E25" s="17"/>
      <c r="F25" s="19" t="s">
        <v>139</v>
      </c>
      <c r="G25" s="19"/>
      <c r="H25" s="19"/>
      <c r="I25" s="19"/>
      <c r="J25" s="19"/>
      <c r="K25" s="19"/>
      <c r="L25" s="19" t="s">
        <v>140</v>
      </c>
      <c r="M25" s="3">
        <v>5000</v>
      </c>
      <c r="N25" s="3">
        <v>0</v>
      </c>
      <c r="O25" s="20">
        <f t="shared" ref="O25:O31" si="6">M25+N25</f>
        <v>5000</v>
      </c>
      <c r="P25" s="98">
        <v>1241</v>
      </c>
      <c r="Q25" s="20">
        <f t="shared" si="0"/>
        <v>24.82</v>
      </c>
      <c r="R25" s="556">
        <v>0</v>
      </c>
      <c r="S25" s="21">
        <f t="shared" si="1"/>
        <v>5000</v>
      </c>
      <c r="T25" s="20">
        <v>3652</v>
      </c>
      <c r="U25" s="582">
        <f t="shared" si="2"/>
        <v>73.040000000000006</v>
      </c>
      <c r="V25" s="98">
        <v>0</v>
      </c>
      <c r="W25" s="396">
        <f t="shared" si="3"/>
        <v>5000</v>
      </c>
      <c r="X25" s="20">
        <v>5032</v>
      </c>
      <c r="Y25" s="20">
        <f t="shared" si="4"/>
        <v>100.64</v>
      </c>
      <c r="Z25" s="3">
        <v>0</v>
      </c>
      <c r="AA25" s="20">
        <f t="shared" si="5"/>
        <v>5000</v>
      </c>
    </row>
    <row r="26" spans="1:27">
      <c r="A26" s="17"/>
      <c r="B26" s="17"/>
      <c r="C26" s="17"/>
      <c r="D26" s="17"/>
      <c r="E26" s="17"/>
      <c r="F26" s="19" t="s">
        <v>141</v>
      </c>
      <c r="G26" s="19"/>
      <c r="H26" s="19"/>
      <c r="I26" s="19"/>
      <c r="J26" s="19"/>
      <c r="K26" s="19"/>
      <c r="L26" s="19" t="s">
        <v>142</v>
      </c>
      <c r="M26" s="3">
        <v>1000</v>
      </c>
      <c r="N26" s="3">
        <v>0</v>
      </c>
      <c r="O26" s="20">
        <f t="shared" si="6"/>
        <v>1000</v>
      </c>
      <c r="P26" s="98">
        <v>0</v>
      </c>
      <c r="Q26" s="20">
        <f t="shared" si="0"/>
        <v>0</v>
      </c>
      <c r="R26" s="556">
        <v>0</v>
      </c>
      <c r="S26" s="21">
        <f t="shared" si="1"/>
        <v>1000</v>
      </c>
      <c r="T26" s="20">
        <v>0</v>
      </c>
      <c r="U26" s="582">
        <f t="shared" si="2"/>
        <v>0</v>
      </c>
      <c r="V26" s="98">
        <v>0</v>
      </c>
      <c r="W26" s="396">
        <f t="shared" si="3"/>
        <v>1000</v>
      </c>
      <c r="X26" s="20">
        <v>1423</v>
      </c>
      <c r="Y26" s="20">
        <f t="shared" si="4"/>
        <v>142.30000000000001</v>
      </c>
      <c r="Z26" s="3">
        <v>0</v>
      </c>
      <c r="AA26" s="20">
        <f t="shared" si="5"/>
        <v>1000</v>
      </c>
    </row>
    <row r="27" spans="1:27">
      <c r="A27" s="17"/>
      <c r="B27" s="17"/>
      <c r="C27" s="17"/>
      <c r="D27" s="17"/>
      <c r="E27" s="17"/>
      <c r="F27" s="19" t="s">
        <v>143</v>
      </c>
      <c r="G27" s="19"/>
      <c r="H27" s="19"/>
      <c r="I27" s="19"/>
      <c r="J27" s="19"/>
      <c r="K27" s="19"/>
      <c r="L27" s="19" t="s">
        <v>144</v>
      </c>
      <c r="M27" s="3">
        <v>32000</v>
      </c>
      <c r="N27" s="3">
        <v>0</v>
      </c>
      <c r="O27" s="20">
        <f t="shared" si="6"/>
        <v>32000</v>
      </c>
      <c r="P27" s="98">
        <v>9637</v>
      </c>
      <c r="Q27" s="20">
        <f t="shared" si="0"/>
        <v>30.115625000000001</v>
      </c>
      <c r="R27" s="556">
        <v>0</v>
      </c>
      <c r="S27" s="21">
        <f t="shared" si="1"/>
        <v>32000</v>
      </c>
      <c r="T27" s="20">
        <v>11889</v>
      </c>
      <c r="U27" s="582">
        <f t="shared" si="2"/>
        <v>37.153124999999996</v>
      </c>
      <c r="V27" s="98">
        <v>0</v>
      </c>
      <c r="W27" s="396">
        <f t="shared" si="3"/>
        <v>32000</v>
      </c>
      <c r="X27" s="20">
        <v>27039</v>
      </c>
      <c r="Y27" s="20">
        <f t="shared" si="4"/>
        <v>84.496875000000003</v>
      </c>
      <c r="Z27" s="3">
        <v>0</v>
      </c>
      <c r="AA27" s="20">
        <f t="shared" si="5"/>
        <v>32000</v>
      </c>
    </row>
    <row r="28" spans="1:27">
      <c r="A28" s="10"/>
      <c r="B28" s="10"/>
      <c r="C28" s="10"/>
      <c r="D28" s="10"/>
      <c r="E28" s="10"/>
      <c r="F28" s="22" t="s">
        <v>145</v>
      </c>
      <c r="G28" s="11"/>
      <c r="H28" s="11"/>
      <c r="I28" s="11"/>
      <c r="J28" s="11"/>
      <c r="K28" s="11"/>
      <c r="L28" s="11" t="s">
        <v>146</v>
      </c>
      <c r="M28" s="3">
        <v>1000</v>
      </c>
      <c r="N28" s="124">
        <v>0</v>
      </c>
      <c r="O28" s="124">
        <f t="shared" si="6"/>
        <v>1000</v>
      </c>
      <c r="P28" s="290">
        <v>854</v>
      </c>
      <c r="Q28" s="124">
        <f t="shared" si="0"/>
        <v>85.399999999999991</v>
      </c>
      <c r="R28" s="556">
        <v>0</v>
      </c>
      <c r="S28" s="21">
        <f t="shared" si="1"/>
        <v>1000</v>
      </c>
      <c r="T28" s="124">
        <v>2352</v>
      </c>
      <c r="U28" s="583">
        <f t="shared" si="2"/>
        <v>235.2</v>
      </c>
      <c r="V28" s="98">
        <v>0</v>
      </c>
      <c r="W28" s="396">
        <f t="shared" si="3"/>
        <v>1000</v>
      </c>
      <c r="X28" s="20">
        <v>2976</v>
      </c>
      <c r="Y28" s="20">
        <f t="shared" si="4"/>
        <v>297.60000000000002</v>
      </c>
      <c r="Z28" s="3">
        <v>0</v>
      </c>
      <c r="AA28" s="20">
        <f t="shared" si="5"/>
        <v>1000</v>
      </c>
    </row>
    <row r="29" spans="1:27" s="16" customFormat="1" ht="15.75">
      <c r="A29" s="13"/>
      <c r="B29" s="13"/>
      <c r="C29" s="13"/>
      <c r="D29" s="13"/>
      <c r="E29" s="13" t="s">
        <v>137</v>
      </c>
      <c r="F29" s="14"/>
      <c r="G29" s="14"/>
      <c r="H29" s="14"/>
      <c r="I29" s="14"/>
      <c r="J29" s="14"/>
      <c r="K29" s="14" t="s">
        <v>132</v>
      </c>
      <c r="L29" s="14"/>
      <c r="M29" s="15">
        <f>SUM(M25:M28)</f>
        <v>39000</v>
      </c>
      <c r="N29" s="289">
        <f>SUM(N25:N28)</f>
        <v>0</v>
      </c>
      <c r="O29" s="289">
        <f t="shared" si="6"/>
        <v>39000</v>
      </c>
      <c r="P29" s="289">
        <f>SUM(P25:P28)</f>
        <v>11732</v>
      </c>
      <c r="Q29" s="289">
        <f t="shared" si="0"/>
        <v>30.082051282051282</v>
      </c>
      <c r="R29" s="463">
        <v>0</v>
      </c>
      <c r="S29" s="463">
        <f t="shared" si="1"/>
        <v>39000</v>
      </c>
      <c r="T29" s="23">
        <f>SUM(T25:T28)</f>
        <v>17893</v>
      </c>
      <c r="U29" s="589">
        <f t="shared" si="2"/>
        <v>45.879487179487178</v>
      </c>
      <c r="V29" s="289">
        <f>SUM(V25:V28)</f>
        <v>0</v>
      </c>
      <c r="W29" s="289">
        <f t="shared" si="3"/>
        <v>39000</v>
      </c>
      <c r="X29" s="289">
        <f>SUM(X25:X28)</f>
        <v>36470</v>
      </c>
      <c r="Y29" s="289">
        <f t="shared" si="4"/>
        <v>93.512820512820511</v>
      </c>
      <c r="Z29" s="289">
        <f>SUM(Z25:Z28)</f>
        <v>0</v>
      </c>
      <c r="AA29" s="289">
        <f t="shared" si="5"/>
        <v>39000</v>
      </c>
    </row>
    <row r="30" spans="1:27" s="16" customFormat="1" ht="15.75">
      <c r="A30" s="13"/>
      <c r="B30" s="13"/>
      <c r="C30" s="13"/>
      <c r="D30" s="13" t="s">
        <v>122</v>
      </c>
      <c r="E30" s="13"/>
      <c r="G30" s="14"/>
      <c r="H30" s="14"/>
      <c r="I30" s="14"/>
      <c r="J30" s="14" t="s">
        <v>147</v>
      </c>
      <c r="K30" s="14"/>
      <c r="L30" s="14"/>
      <c r="M30" s="15">
        <f>SUM(M20+M23+M29)</f>
        <v>685000</v>
      </c>
      <c r="N30" s="289">
        <v>0</v>
      </c>
      <c r="O30" s="289">
        <f t="shared" si="6"/>
        <v>685000</v>
      </c>
      <c r="P30" s="289">
        <f>P20+P23+P29</f>
        <v>255790</v>
      </c>
      <c r="Q30" s="289">
        <f t="shared" si="0"/>
        <v>37.341605839416061</v>
      </c>
      <c r="R30" s="557">
        <v>0</v>
      </c>
      <c r="S30" s="558">
        <f t="shared" si="1"/>
        <v>685000</v>
      </c>
      <c r="T30" s="286">
        <f>T20+T23+T29</f>
        <v>390099</v>
      </c>
      <c r="U30" s="589">
        <f t="shared" si="2"/>
        <v>56.948759124087587</v>
      </c>
      <c r="V30" s="606">
        <f>V20+V23+V29</f>
        <v>190</v>
      </c>
      <c r="W30" s="588">
        <f t="shared" si="3"/>
        <v>685190</v>
      </c>
      <c r="X30" s="588">
        <f>X20+X23+X29</f>
        <v>676427</v>
      </c>
      <c r="Y30" s="588">
        <f t="shared" si="4"/>
        <v>98.721084662648323</v>
      </c>
      <c r="Z30" s="606">
        <f>Z20+Z23+Z29</f>
        <v>5109</v>
      </c>
      <c r="AA30" s="588">
        <f t="shared" si="5"/>
        <v>690299</v>
      </c>
    </row>
    <row r="31" spans="1:27" ht="15.75">
      <c r="A31" s="13"/>
      <c r="B31" s="13"/>
      <c r="C31" s="13" t="s">
        <v>119</v>
      </c>
      <c r="D31" s="13"/>
      <c r="E31" s="14" t="s">
        <v>148</v>
      </c>
      <c r="F31" s="14"/>
      <c r="G31" s="24"/>
      <c r="H31" s="14"/>
      <c r="I31" s="14"/>
      <c r="J31" s="14"/>
      <c r="K31" s="14"/>
      <c r="L31" s="14"/>
      <c r="M31" s="15">
        <f>SUM(M13+M30)</f>
        <v>826822</v>
      </c>
      <c r="N31" s="289">
        <v>0</v>
      </c>
      <c r="O31" s="289">
        <f t="shared" si="6"/>
        <v>826822</v>
      </c>
      <c r="P31" s="289">
        <f>P13+P30</f>
        <v>322561</v>
      </c>
      <c r="Q31" s="289">
        <f t="shared" si="0"/>
        <v>39.012145298504393</v>
      </c>
      <c r="R31" s="463">
        <f>R13+R30</f>
        <v>68477</v>
      </c>
      <c r="S31" s="463">
        <f t="shared" si="1"/>
        <v>895299</v>
      </c>
      <c r="T31" s="289">
        <f>T13+T30</f>
        <v>594519</v>
      </c>
      <c r="U31" s="589">
        <f t="shared" si="2"/>
        <v>66.404519607416063</v>
      </c>
      <c r="V31" s="289">
        <f>V13+V30</f>
        <v>170920</v>
      </c>
      <c r="W31" s="289">
        <f t="shared" si="3"/>
        <v>1066219</v>
      </c>
      <c r="X31" s="289">
        <f>X13+X30</f>
        <v>1143908</v>
      </c>
      <c r="Y31" s="289">
        <f t="shared" si="4"/>
        <v>107.28640176173938</v>
      </c>
      <c r="Z31" s="289">
        <f>Z13+Z30</f>
        <v>389140</v>
      </c>
      <c r="AA31" s="289">
        <f t="shared" si="5"/>
        <v>1455359</v>
      </c>
    </row>
    <row r="32" spans="1:27">
      <c r="C32" s="1" t="s">
        <v>149</v>
      </c>
      <c r="I32" s="2" t="s">
        <v>150</v>
      </c>
      <c r="O32" s="20"/>
      <c r="Q32" s="20"/>
      <c r="S32" s="21"/>
      <c r="U32" s="582"/>
      <c r="W32" s="396"/>
      <c r="X32" s="20"/>
      <c r="Y32" s="20"/>
      <c r="AA32" s="20"/>
    </row>
    <row r="33" spans="1:27">
      <c r="D33" s="1" t="s">
        <v>117</v>
      </c>
      <c r="J33" s="2" t="s">
        <v>151</v>
      </c>
      <c r="O33" s="20"/>
      <c r="Q33" s="20"/>
      <c r="S33" s="21"/>
      <c r="T33" s="20"/>
      <c r="U33" s="582"/>
      <c r="W33" s="396"/>
      <c r="X33" s="20"/>
      <c r="Y33" s="20"/>
      <c r="AA33" s="20"/>
    </row>
    <row r="34" spans="1:27">
      <c r="E34" s="1" t="s">
        <v>152</v>
      </c>
      <c r="K34" s="2" t="s">
        <v>460</v>
      </c>
      <c r="O34" s="20"/>
      <c r="Q34" s="20"/>
      <c r="S34" s="21"/>
      <c r="T34" s="20"/>
      <c r="U34" s="582"/>
      <c r="W34" s="396"/>
      <c r="X34" s="20"/>
      <c r="Y34" s="20"/>
      <c r="AA34" s="20"/>
    </row>
    <row r="35" spans="1:27">
      <c r="F35" s="2" t="s">
        <v>153</v>
      </c>
      <c r="L35" s="2" t="s">
        <v>461</v>
      </c>
      <c r="M35" s="3">
        <v>160835</v>
      </c>
      <c r="N35" s="3">
        <v>0</v>
      </c>
      <c r="O35" s="20">
        <f>M35+N35</f>
        <v>160835</v>
      </c>
      <c r="P35" s="3">
        <v>25117</v>
      </c>
      <c r="Q35" s="20">
        <f t="shared" si="0"/>
        <v>15.616625734448347</v>
      </c>
      <c r="R35" s="556">
        <v>0</v>
      </c>
      <c r="S35" s="21">
        <f t="shared" si="1"/>
        <v>160835</v>
      </c>
      <c r="T35" s="396">
        <v>80418</v>
      </c>
      <c r="U35" s="582">
        <f t="shared" si="2"/>
        <v>50.00031087760749</v>
      </c>
      <c r="V35" s="98">
        <v>0</v>
      </c>
      <c r="W35" s="396">
        <f t="shared" si="3"/>
        <v>160835</v>
      </c>
      <c r="X35" s="20">
        <v>120166</v>
      </c>
      <c r="Y35" s="20">
        <f t="shared" si="4"/>
        <v>74.71383716230919</v>
      </c>
      <c r="Z35" s="3">
        <v>0</v>
      </c>
      <c r="AA35" s="20">
        <f t="shared" si="5"/>
        <v>160835</v>
      </c>
    </row>
    <row r="36" spans="1:27">
      <c r="F36" s="2" t="s">
        <v>154</v>
      </c>
      <c r="L36" s="2" t="s">
        <v>462</v>
      </c>
      <c r="M36" s="3">
        <v>87084</v>
      </c>
      <c r="N36" s="3">
        <v>0</v>
      </c>
      <c r="O36" s="20">
        <f>M36+N36</f>
        <v>87084</v>
      </c>
      <c r="P36" s="3">
        <v>12975</v>
      </c>
      <c r="Q36" s="20">
        <f t="shared" si="0"/>
        <v>14.899407468650958</v>
      </c>
      <c r="R36" s="556">
        <v>0</v>
      </c>
      <c r="S36" s="21">
        <f t="shared" si="1"/>
        <v>87084</v>
      </c>
      <c r="T36" s="396">
        <v>41484</v>
      </c>
      <c r="U36" s="582">
        <f t="shared" si="2"/>
        <v>47.636764503238254</v>
      </c>
      <c r="V36" s="98">
        <v>-5072</v>
      </c>
      <c r="W36" s="396">
        <f t="shared" si="3"/>
        <v>82012</v>
      </c>
      <c r="X36" s="20">
        <v>65468</v>
      </c>
      <c r="Y36" s="20">
        <f t="shared" si="4"/>
        <v>79.82734234014535</v>
      </c>
      <c r="Z36" s="3">
        <v>3157</v>
      </c>
      <c r="AA36" s="20">
        <f t="shared" si="5"/>
        <v>85169</v>
      </c>
    </row>
    <row r="37" spans="1:27">
      <c r="F37" s="2" t="s">
        <v>393</v>
      </c>
      <c r="L37" s="2" t="s">
        <v>463</v>
      </c>
      <c r="M37" s="3">
        <v>31518</v>
      </c>
      <c r="N37" s="3">
        <v>22811</v>
      </c>
      <c r="O37" s="20">
        <f>M37+N37</f>
        <v>54329</v>
      </c>
      <c r="P37" s="3">
        <v>34092</v>
      </c>
      <c r="Q37" s="20">
        <f t="shared" si="0"/>
        <v>62.751016952272266</v>
      </c>
      <c r="R37" s="556">
        <v>22690</v>
      </c>
      <c r="S37" s="21">
        <f t="shared" si="1"/>
        <v>77019</v>
      </c>
      <c r="T37" s="396">
        <v>61260</v>
      </c>
      <c r="U37" s="582">
        <f t="shared" si="2"/>
        <v>79.53881509757332</v>
      </c>
      <c r="V37" s="98">
        <v>123185</v>
      </c>
      <c r="W37" s="396">
        <f t="shared" si="3"/>
        <v>200204</v>
      </c>
      <c r="X37" s="20">
        <v>133814</v>
      </c>
      <c r="Y37" s="20">
        <f t="shared" si="4"/>
        <v>66.838824399112909</v>
      </c>
      <c r="Z37" s="3">
        <v>15273</v>
      </c>
      <c r="AA37" s="20">
        <f t="shared" si="5"/>
        <v>215477</v>
      </c>
    </row>
    <row r="38" spans="1:27">
      <c r="F38" s="2" t="s">
        <v>394</v>
      </c>
      <c r="L38" s="2" t="s">
        <v>464</v>
      </c>
      <c r="M38" s="3">
        <v>19452</v>
      </c>
      <c r="N38" s="124">
        <v>0</v>
      </c>
      <c r="O38" s="124">
        <f>M38+N38</f>
        <v>19452</v>
      </c>
      <c r="P38" s="124">
        <v>2529</v>
      </c>
      <c r="Q38" s="124">
        <f t="shared" si="0"/>
        <v>13.001233806292412</v>
      </c>
      <c r="R38" s="556">
        <v>21238</v>
      </c>
      <c r="S38" s="21">
        <f t="shared" si="1"/>
        <v>40690</v>
      </c>
      <c r="T38" s="290">
        <v>31220</v>
      </c>
      <c r="U38" s="583">
        <f t="shared" si="2"/>
        <v>76.726468419759158</v>
      </c>
      <c r="V38" s="98">
        <v>0</v>
      </c>
      <c r="W38" s="396">
        <f t="shared" si="3"/>
        <v>40690</v>
      </c>
      <c r="X38" s="20">
        <v>35632</v>
      </c>
      <c r="Y38" s="20">
        <f t="shared" si="4"/>
        <v>87.569427377734087</v>
      </c>
      <c r="Z38" s="3">
        <v>0</v>
      </c>
      <c r="AA38" s="20">
        <f t="shared" si="5"/>
        <v>40690</v>
      </c>
    </row>
    <row r="39" spans="1:27" s="16" customFormat="1" ht="15.75">
      <c r="A39" s="13"/>
      <c r="B39" s="13"/>
      <c r="C39" s="13"/>
      <c r="D39" s="13"/>
      <c r="E39" s="25" t="s">
        <v>152</v>
      </c>
      <c r="F39" s="14" t="s">
        <v>155</v>
      </c>
      <c r="G39" s="14"/>
      <c r="H39" s="14"/>
      <c r="I39" s="14"/>
      <c r="J39" s="14"/>
      <c r="K39" s="14" t="s">
        <v>132</v>
      </c>
      <c r="L39" s="14"/>
      <c r="M39" s="15">
        <f>SUM(M35:M38)</f>
        <v>298889</v>
      </c>
      <c r="N39" s="289">
        <f>SUM(N35:N38)</f>
        <v>22811</v>
      </c>
      <c r="O39" s="289">
        <f>M39+N39</f>
        <v>321700</v>
      </c>
      <c r="P39" s="286">
        <f>SUM(P35:P38)</f>
        <v>74713</v>
      </c>
      <c r="Q39" s="289">
        <f t="shared" si="0"/>
        <v>23.22443270127448</v>
      </c>
      <c r="R39" s="463">
        <f>SUM(R35:R38)</f>
        <v>43928</v>
      </c>
      <c r="S39" s="463">
        <f t="shared" si="1"/>
        <v>365628</v>
      </c>
      <c r="T39" s="289">
        <f>SUM(T35:T38)</f>
        <v>214382</v>
      </c>
      <c r="U39" s="589">
        <f t="shared" si="2"/>
        <v>58.633912063627513</v>
      </c>
      <c r="V39" s="289">
        <f>SUM(V35:V38)</f>
        <v>118113</v>
      </c>
      <c r="W39" s="289">
        <f t="shared" si="3"/>
        <v>483741</v>
      </c>
      <c r="X39" s="289">
        <f>SUM(X35:X38)</f>
        <v>355080</v>
      </c>
      <c r="Y39" s="289">
        <f t="shared" si="4"/>
        <v>73.402916023243847</v>
      </c>
      <c r="Z39" s="289">
        <f>SUM(Z35:Z38)</f>
        <v>18430</v>
      </c>
      <c r="AA39" s="289">
        <f t="shared" si="5"/>
        <v>502171</v>
      </c>
    </row>
    <row r="40" spans="1:27">
      <c r="E40" s="1" t="s">
        <v>156</v>
      </c>
      <c r="K40" s="2" t="s">
        <v>157</v>
      </c>
      <c r="O40" s="20"/>
      <c r="Q40" s="20"/>
      <c r="S40" s="21"/>
      <c r="U40" s="582"/>
      <c r="W40" s="396"/>
      <c r="X40" s="20"/>
      <c r="Y40" s="20"/>
      <c r="AA40" s="20"/>
    </row>
    <row r="41" spans="1:27">
      <c r="F41" s="2" t="s">
        <v>158</v>
      </c>
      <c r="L41" s="2" t="s">
        <v>159</v>
      </c>
      <c r="M41" s="3">
        <v>0</v>
      </c>
      <c r="N41" s="3">
        <v>24</v>
      </c>
      <c r="O41" s="20">
        <f t="shared" ref="O41:O57" si="7">M41+N41</f>
        <v>24</v>
      </c>
      <c r="P41" s="3">
        <v>24</v>
      </c>
      <c r="Q41" s="20">
        <f t="shared" si="0"/>
        <v>100</v>
      </c>
      <c r="R41" s="556">
        <v>0</v>
      </c>
      <c r="S41" s="21">
        <f t="shared" si="1"/>
        <v>24</v>
      </c>
      <c r="T41" s="20">
        <v>21</v>
      </c>
      <c r="U41" s="582">
        <f t="shared" si="2"/>
        <v>87.5</v>
      </c>
      <c r="V41" s="98">
        <v>36</v>
      </c>
      <c r="W41" s="396">
        <f t="shared" si="3"/>
        <v>60</v>
      </c>
      <c r="X41" s="20">
        <v>61</v>
      </c>
      <c r="Y41" s="20">
        <f t="shared" si="4"/>
        <v>101.66666666666666</v>
      </c>
      <c r="Z41" s="3">
        <v>0</v>
      </c>
      <c r="AA41" s="20">
        <f t="shared" si="5"/>
        <v>60</v>
      </c>
    </row>
    <row r="42" spans="1:27">
      <c r="F42" s="2" t="s">
        <v>160</v>
      </c>
      <c r="L42" s="2" t="s">
        <v>465</v>
      </c>
      <c r="M42" s="3">
        <v>0</v>
      </c>
      <c r="N42" s="3">
        <v>0</v>
      </c>
      <c r="O42" s="20">
        <f t="shared" si="7"/>
        <v>0</v>
      </c>
      <c r="P42" s="3">
        <v>432</v>
      </c>
      <c r="Q42" s="20">
        <v>0</v>
      </c>
      <c r="R42" s="556">
        <v>0</v>
      </c>
      <c r="S42" s="21">
        <f t="shared" si="1"/>
        <v>0</v>
      </c>
      <c r="T42" s="20">
        <v>432</v>
      </c>
      <c r="U42" s="582">
        <v>0</v>
      </c>
      <c r="V42" s="98">
        <v>432</v>
      </c>
      <c r="W42" s="396">
        <f t="shared" si="3"/>
        <v>432</v>
      </c>
      <c r="X42" s="20">
        <v>432</v>
      </c>
      <c r="Y42" s="20">
        <f t="shared" si="4"/>
        <v>100</v>
      </c>
      <c r="Z42" s="3">
        <v>0</v>
      </c>
      <c r="AA42" s="20">
        <f t="shared" si="5"/>
        <v>432</v>
      </c>
    </row>
    <row r="43" spans="1:27">
      <c r="F43" s="2" t="s">
        <v>161</v>
      </c>
      <c r="L43" s="2" t="s">
        <v>541</v>
      </c>
      <c r="M43" s="3">
        <v>0</v>
      </c>
      <c r="N43" s="3">
        <v>82330</v>
      </c>
      <c r="O43" s="20">
        <f t="shared" si="7"/>
        <v>82330</v>
      </c>
      <c r="P43" s="98">
        <v>81962</v>
      </c>
      <c r="Q43" s="20">
        <f t="shared" si="0"/>
        <v>99.553018340823513</v>
      </c>
      <c r="R43" s="556">
        <v>-368</v>
      </c>
      <c r="S43" s="21">
        <f t="shared" si="1"/>
        <v>81962</v>
      </c>
      <c r="T43" s="20">
        <v>81962</v>
      </c>
      <c r="U43" s="582">
        <f t="shared" si="2"/>
        <v>100</v>
      </c>
      <c r="V43" s="98">
        <v>0</v>
      </c>
      <c r="W43" s="396">
        <f t="shared" si="3"/>
        <v>81962</v>
      </c>
      <c r="X43" s="20">
        <v>81962</v>
      </c>
      <c r="Y43" s="20">
        <f t="shared" si="4"/>
        <v>100</v>
      </c>
      <c r="Z43" s="3">
        <v>0</v>
      </c>
      <c r="AA43" s="20">
        <f t="shared" si="5"/>
        <v>81962</v>
      </c>
    </row>
    <row r="44" spans="1:27">
      <c r="F44" s="2" t="s">
        <v>456</v>
      </c>
      <c r="L44" s="2" t="s">
        <v>466</v>
      </c>
      <c r="M44" s="3">
        <v>0</v>
      </c>
      <c r="N44" s="3">
        <v>0</v>
      </c>
      <c r="O44" s="20">
        <f t="shared" si="7"/>
        <v>0</v>
      </c>
      <c r="P44" s="3">
        <v>0</v>
      </c>
      <c r="Q44" s="20">
        <v>0</v>
      </c>
      <c r="R44" s="556">
        <v>0</v>
      </c>
      <c r="S44" s="21">
        <f t="shared" si="1"/>
        <v>0</v>
      </c>
      <c r="T44" s="20">
        <v>4491</v>
      </c>
      <c r="U44" s="582">
        <v>0</v>
      </c>
      <c r="V44" s="98">
        <v>4491</v>
      </c>
      <c r="W44" s="396">
        <f t="shared" si="3"/>
        <v>4491</v>
      </c>
      <c r="X44" s="20">
        <v>4491</v>
      </c>
      <c r="Y44" s="20">
        <f t="shared" si="4"/>
        <v>100</v>
      </c>
      <c r="Z44" s="3">
        <v>0</v>
      </c>
      <c r="AA44" s="20">
        <f t="shared" si="5"/>
        <v>4491</v>
      </c>
    </row>
    <row r="45" spans="1:27">
      <c r="F45" s="2" t="s">
        <v>457</v>
      </c>
      <c r="L45" s="2" t="s">
        <v>470</v>
      </c>
      <c r="M45" s="3">
        <v>0</v>
      </c>
      <c r="N45" s="3">
        <v>0</v>
      </c>
      <c r="O45" s="20">
        <f t="shared" si="7"/>
        <v>0</v>
      </c>
      <c r="P45" s="3">
        <v>0</v>
      </c>
      <c r="Q45" s="20">
        <v>0</v>
      </c>
      <c r="R45" s="556">
        <v>0</v>
      </c>
      <c r="S45" s="21">
        <f t="shared" si="1"/>
        <v>0</v>
      </c>
      <c r="T45" s="20">
        <v>0</v>
      </c>
      <c r="U45" s="582">
        <v>0</v>
      </c>
      <c r="V45" s="98">
        <v>0</v>
      </c>
      <c r="W45" s="396">
        <f t="shared" si="3"/>
        <v>0</v>
      </c>
      <c r="X45" s="20">
        <v>0</v>
      </c>
      <c r="Y45" s="20">
        <v>0</v>
      </c>
      <c r="Z45" s="3">
        <v>0</v>
      </c>
      <c r="AA45" s="20">
        <f t="shared" si="5"/>
        <v>0</v>
      </c>
    </row>
    <row r="46" spans="1:27">
      <c r="F46" s="2" t="s">
        <v>458</v>
      </c>
      <c r="L46" s="2" t="s">
        <v>467</v>
      </c>
      <c r="M46" s="3">
        <v>0</v>
      </c>
      <c r="N46" s="3">
        <v>0</v>
      </c>
      <c r="O46" s="20">
        <f t="shared" si="7"/>
        <v>0</v>
      </c>
      <c r="P46" s="3">
        <v>0</v>
      </c>
      <c r="Q46" s="20">
        <v>0</v>
      </c>
      <c r="R46" s="556">
        <v>0</v>
      </c>
      <c r="S46" s="21">
        <f t="shared" si="1"/>
        <v>0</v>
      </c>
      <c r="T46" s="20">
        <v>0</v>
      </c>
      <c r="U46" s="582">
        <v>0</v>
      </c>
      <c r="V46" s="98">
        <v>545</v>
      </c>
      <c r="W46" s="396">
        <f t="shared" si="3"/>
        <v>545</v>
      </c>
      <c r="X46" s="20">
        <v>545</v>
      </c>
      <c r="Y46" s="20">
        <f t="shared" si="4"/>
        <v>100</v>
      </c>
      <c r="Z46" s="3">
        <v>0</v>
      </c>
      <c r="AA46" s="20">
        <f t="shared" si="5"/>
        <v>545</v>
      </c>
    </row>
    <row r="47" spans="1:27">
      <c r="F47" s="2" t="s">
        <v>459</v>
      </c>
      <c r="L47" s="2" t="s">
        <v>471</v>
      </c>
      <c r="M47" s="3">
        <v>0</v>
      </c>
      <c r="N47" s="3">
        <v>362</v>
      </c>
      <c r="O47" s="20">
        <f t="shared" si="7"/>
        <v>362</v>
      </c>
      <c r="P47" s="3">
        <v>1064</v>
      </c>
      <c r="Q47" s="20">
        <f t="shared" si="0"/>
        <v>293.92265193370167</v>
      </c>
      <c r="R47" s="556">
        <v>4371</v>
      </c>
      <c r="S47" s="21">
        <f t="shared" si="1"/>
        <v>4733</v>
      </c>
      <c r="T47" s="20">
        <v>4427</v>
      </c>
      <c r="U47" s="582">
        <f t="shared" si="2"/>
        <v>93.534755968730181</v>
      </c>
      <c r="V47" s="98">
        <v>4329</v>
      </c>
      <c r="W47" s="396">
        <f t="shared" si="3"/>
        <v>9062</v>
      </c>
      <c r="X47" s="20">
        <v>9801</v>
      </c>
      <c r="Y47" s="20">
        <f t="shared" si="4"/>
        <v>108.15493268594129</v>
      </c>
      <c r="Z47" s="3">
        <v>5833</v>
      </c>
      <c r="AA47" s="20">
        <f t="shared" si="5"/>
        <v>14895</v>
      </c>
    </row>
    <row r="48" spans="1:27">
      <c r="F48" s="2" t="s">
        <v>468</v>
      </c>
      <c r="L48" s="2" t="s">
        <v>392</v>
      </c>
      <c r="M48" s="3">
        <v>10872</v>
      </c>
      <c r="N48" s="3">
        <v>0</v>
      </c>
      <c r="O48" s="20">
        <f t="shared" si="7"/>
        <v>10872</v>
      </c>
      <c r="P48" s="3">
        <v>1413</v>
      </c>
      <c r="Q48" s="20">
        <f t="shared" si="0"/>
        <v>12.996688741721854</v>
      </c>
      <c r="R48" s="556">
        <v>0</v>
      </c>
      <c r="S48" s="21">
        <f t="shared" si="1"/>
        <v>10872</v>
      </c>
      <c r="T48" s="20">
        <v>5436</v>
      </c>
      <c r="U48" s="582">
        <f t="shared" si="2"/>
        <v>50</v>
      </c>
      <c r="V48" s="98">
        <v>0</v>
      </c>
      <c r="W48" s="396">
        <f t="shared" si="3"/>
        <v>10872</v>
      </c>
      <c r="X48" s="20">
        <v>8046</v>
      </c>
      <c r="Y48" s="20">
        <f t="shared" si="4"/>
        <v>74.006622516556291</v>
      </c>
      <c r="Z48" s="3">
        <v>0</v>
      </c>
      <c r="AA48" s="20">
        <f t="shared" si="5"/>
        <v>10872</v>
      </c>
    </row>
    <row r="49" spans="1:27">
      <c r="F49" s="2" t="s">
        <v>469</v>
      </c>
      <c r="L49" s="2" t="s">
        <v>472</v>
      </c>
      <c r="M49" s="3">
        <v>5306</v>
      </c>
      <c r="N49" s="20">
        <v>0</v>
      </c>
      <c r="O49" s="20">
        <f t="shared" si="7"/>
        <v>5306</v>
      </c>
      <c r="P49" s="20">
        <v>1327</v>
      </c>
      <c r="Q49" s="124">
        <f t="shared" si="0"/>
        <v>25.009423294383716</v>
      </c>
      <c r="R49" s="556">
        <v>-1</v>
      </c>
      <c r="S49" s="21">
        <f t="shared" si="1"/>
        <v>5305</v>
      </c>
      <c r="T49" s="3">
        <v>2653</v>
      </c>
      <c r="U49" s="583">
        <f t="shared" si="2"/>
        <v>50.009425070688032</v>
      </c>
      <c r="V49" s="98">
        <v>0</v>
      </c>
      <c r="W49" s="396">
        <f t="shared" si="3"/>
        <v>5305</v>
      </c>
      <c r="X49" s="20">
        <v>3980</v>
      </c>
      <c r="Y49" s="20">
        <f t="shared" si="4"/>
        <v>75.023562676720076</v>
      </c>
      <c r="Z49" s="3">
        <v>0</v>
      </c>
      <c r="AA49" s="20">
        <f t="shared" si="5"/>
        <v>5305</v>
      </c>
    </row>
    <row r="50" spans="1:27">
      <c r="F50" s="2" t="s">
        <v>822</v>
      </c>
      <c r="L50" s="2" t="s">
        <v>823</v>
      </c>
      <c r="M50" s="3">
        <v>0</v>
      </c>
      <c r="N50" s="20"/>
      <c r="O50" s="20"/>
      <c r="P50" s="20"/>
      <c r="Q50" s="124"/>
      <c r="S50" s="21"/>
      <c r="U50" s="583"/>
      <c r="W50" s="396">
        <v>0</v>
      </c>
      <c r="X50" s="20">
        <v>650</v>
      </c>
      <c r="Y50" s="20">
        <v>0</v>
      </c>
      <c r="Z50" s="3">
        <v>650</v>
      </c>
      <c r="AA50" s="20">
        <f t="shared" si="5"/>
        <v>650</v>
      </c>
    </row>
    <row r="51" spans="1:27" s="16" customFormat="1" ht="15.75">
      <c r="A51" s="13"/>
      <c r="B51" s="13"/>
      <c r="C51" s="13"/>
      <c r="D51" s="13"/>
      <c r="E51" s="13" t="s">
        <v>156</v>
      </c>
      <c r="F51" s="14"/>
      <c r="G51" s="14"/>
      <c r="H51" s="14"/>
      <c r="I51" s="14"/>
      <c r="J51" s="14"/>
      <c r="K51" s="14" t="s">
        <v>132</v>
      </c>
      <c r="L51" s="14"/>
      <c r="M51" s="15">
        <f>SUM(M41:M50)</f>
        <v>16178</v>
      </c>
      <c r="N51" s="289">
        <f>SUM(N41:N49)</f>
        <v>82716</v>
      </c>
      <c r="O51" s="289">
        <f>M51+N51</f>
        <v>98894</v>
      </c>
      <c r="P51" s="289">
        <f>SUM(P41:P49)</f>
        <v>86222</v>
      </c>
      <c r="Q51" s="451">
        <f t="shared" si="0"/>
        <v>87.18628025967196</v>
      </c>
      <c r="R51" s="463">
        <f>SUM(R41:R49)</f>
        <v>4002</v>
      </c>
      <c r="S51" s="463">
        <f t="shared" si="1"/>
        <v>102896</v>
      </c>
      <c r="T51" s="286">
        <f>SUM(T41:T49)</f>
        <v>99422</v>
      </c>
      <c r="U51" s="589">
        <f t="shared" si="2"/>
        <v>96.623775462603007</v>
      </c>
      <c r="V51" s="289">
        <f>SUM(V41:V49)</f>
        <v>9833</v>
      </c>
      <c r="W51" s="289">
        <f t="shared" si="3"/>
        <v>112729</v>
      </c>
      <c r="X51" s="286">
        <f>SUM(X41:X50)</f>
        <v>109968</v>
      </c>
      <c r="Y51" s="289">
        <f t="shared" si="4"/>
        <v>97.550763335077932</v>
      </c>
      <c r="Z51" s="289">
        <f>SUM(Z41:Z50)</f>
        <v>6483</v>
      </c>
      <c r="AA51" s="289">
        <f t="shared" si="5"/>
        <v>119212</v>
      </c>
    </row>
    <row r="52" spans="1:27" s="16" customFormat="1" ht="15.75">
      <c r="A52" s="36"/>
      <c r="B52" s="36"/>
      <c r="C52" s="36"/>
      <c r="D52" s="36"/>
      <c r="E52" s="1" t="s">
        <v>220</v>
      </c>
      <c r="F52" s="37"/>
      <c r="G52" s="37"/>
      <c r="H52" s="37"/>
      <c r="I52" s="37"/>
      <c r="J52" s="37"/>
      <c r="K52" s="594" t="s">
        <v>709</v>
      </c>
      <c r="L52" s="37"/>
      <c r="M52" s="590"/>
      <c r="N52" s="591"/>
      <c r="O52" s="591"/>
      <c r="P52" s="591"/>
      <c r="Q52" s="588"/>
      <c r="R52" s="592"/>
      <c r="S52" s="592"/>
      <c r="T52" s="587"/>
      <c r="U52" s="593"/>
      <c r="V52" s="98"/>
      <c r="W52" s="396"/>
      <c r="X52" s="586"/>
      <c r="Y52" s="20"/>
      <c r="Z52" s="23"/>
      <c r="AA52" s="20"/>
    </row>
    <row r="53" spans="1:27" s="16" customFormat="1" ht="15.75">
      <c r="A53" s="4"/>
      <c r="B53" s="4"/>
      <c r="C53" s="4"/>
      <c r="D53" s="4"/>
      <c r="E53" s="17"/>
      <c r="F53" s="19" t="s">
        <v>710</v>
      </c>
      <c r="G53" s="26"/>
      <c r="H53" s="26"/>
      <c r="I53" s="26"/>
      <c r="J53" s="26"/>
      <c r="K53" s="395"/>
      <c r="L53" s="395" t="s">
        <v>449</v>
      </c>
      <c r="M53" s="396">
        <v>0</v>
      </c>
      <c r="N53" s="396"/>
      <c r="O53" s="396"/>
      <c r="P53" s="396"/>
      <c r="Q53" s="396"/>
      <c r="R53" s="595"/>
      <c r="S53" s="595">
        <v>0</v>
      </c>
      <c r="T53" s="396">
        <v>748</v>
      </c>
      <c r="U53" s="596">
        <v>0</v>
      </c>
      <c r="V53" s="98">
        <v>6692</v>
      </c>
      <c r="W53" s="396">
        <f t="shared" si="3"/>
        <v>6692</v>
      </c>
      <c r="X53" s="396">
        <v>3334</v>
      </c>
      <c r="Y53" s="20">
        <f t="shared" si="4"/>
        <v>49.820681410639573</v>
      </c>
      <c r="Z53" s="98">
        <v>0</v>
      </c>
      <c r="AA53" s="20">
        <f t="shared" si="5"/>
        <v>6692</v>
      </c>
    </row>
    <row r="54" spans="1:27" s="16" customFormat="1" ht="15.75">
      <c r="A54" s="4"/>
      <c r="B54" s="4"/>
      <c r="C54" s="4"/>
      <c r="D54" s="4"/>
      <c r="E54" s="17"/>
      <c r="F54" s="19" t="s">
        <v>711</v>
      </c>
      <c r="G54" s="26"/>
      <c r="H54" s="26"/>
      <c r="I54" s="26"/>
      <c r="J54" s="26"/>
      <c r="K54" s="395"/>
      <c r="L54" s="395" t="s">
        <v>712</v>
      </c>
      <c r="M54" s="396">
        <v>0</v>
      </c>
      <c r="N54" s="396"/>
      <c r="O54" s="396"/>
      <c r="P54" s="396"/>
      <c r="Q54" s="396"/>
      <c r="R54" s="595"/>
      <c r="S54" s="595">
        <v>0</v>
      </c>
      <c r="T54" s="290">
        <v>58560</v>
      </c>
      <c r="U54" s="601">
        <v>0</v>
      </c>
      <c r="V54" s="98">
        <v>0</v>
      </c>
      <c r="W54" s="396">
        <f t="shared" si="3"/>
        <v>0</v>
      </c>
      <c r="X54" s="396">
        <v>58560</v>
      </c>
      <c r="Y54" s="20">
        <v>0</v>
      </c>
      <c r="Z54" s="98">
        <v>0</v>
      </c>
      <c r="AA54" s="20">
        <f t="shared" si="5"/>
        <v>0</v>
      </c>
    </row>
    <row r="55" spans="1:27" s="16" customFormat="1" ht="15.75">
      <c r="A55" s="597"/>
      <c r="B55" s="597"/>
      <c r="C55" s="597"/>
      <c r="D55" s="597"/>
      <c r="E55" s="598"/>
      <c r="F55" s="127" t="s">
        <v>736</v>
      </c>
      <c r="G55" s="599"/>
      <c r="H55" s="599"/>
      <c r="I55" s="599"/>
      <c r="J55" s="599"/>
      <c r="K55" s="397"/>
      <c r="L55" s="397" t="s">
        <v>737</v>
      </c>
      <c r="M55" s="290">
        <v>0</v>
      </c>
      <c r="N55" s="290"/>
      <c r="O55" s="290"/>
      <c r="P55" s="290"/>
      <c r="Q55" s="290"/>
      <c r="R55" s="600"/>
      <c r="S55" s="600">
        <v>0</v>
      </c>
      <c r="T55" s="396"/>
      <c r="U55" s="601"/>
      <c r="V55" s="98">
        <v>13338</v>
      </c>
      <c r="W55" s="396">
        <f t="shared" si="3"/>
        <v>13338</v>
      </c>
      <c r="X55" s="396">
        <v>6669</v>
      </c>
      <c r="Y55" s="20">
        <f t="shared" si="4"/>
        <v>50</v>
      </c>
      <c r="Z55" s="98">
        <v>0</v>
      </c>
      <c r="AA55" s="20">
        <f t="shared" si="5"/>
        <v>13338</v>
      </c>
    </row>
    <row r="56" spans="1:27" s="605" customFormat="1" ht="15.75">
      <c r="A56" s="602"/>
      <c r="B56" s="602"/>
      <c r="C56" s="602"/>
      <c r="D56" s="602"/>
      <c r="E56" s="603" t="s">
        <v>220</v>
      </c>
      <c r="F56" s="604"/>
      <c r="G56" s="604"/>
      <c r="H56" s="604"/>
      <c r="I56" s="604"/>
      <c r="J56" s="604"/>
      <c r="K56" s="604" t="s">
        <v>132</v>
      </c>
      <c r="L56" s="604"/>
      <c r="M56" s="588">
        <f>SUM(M53)</f>
        <v>0</v>
      </c>
      <c r="N56" s="588"/>
      <c r="O56" s="588"/>
      <c r="P56" s="588"/>
      <c r="Q56" s="588"/>
      <c r="R56" s="558"/>
      <c r="S56" s="558">
        <f>SUM(S53)</f>
        <v>0</v>
      </c>
      <c r="T56" s="588">
        <f>SUM(T53:T54)</f>
        <v>59308</v>
      </c>
      <c r="U56" s="589">
        <f>SUM(U53)</f>
        <v>0</v>
      </c>
      <c r="V56" s="289">
        <f>SUM(V53:V55)</f>
        <v>20030</v>
      </c>
      <c r="W56" s="289">
        <f t="shared" si="3"/>
        <v>20030</v>
      </c>
      <c r="X56" s="289">
        <f>SUM(X53:X55)</f>
        <v>68563</v>
      </c>
      <c r="Y56" s="289">
        <f t="shared" si="4"/>
        <v>342.30154767848228</v>
      </c>
      <c r="Z56" s="289">
        <f>SUM(Z53:Z55)</f>
        <v>0</v>
      </c>
      <c r="AA56" s="289">
        <f t="shared" si="5"/>
        <v>20030</v>
      </c>
    </row>
    <row r="57" spans="1:27" ht="15.75">
      <c r="A57" s="13"/>
      <c r="B57" s="13"/>
      <c r="C57" s="13" t="s">
        <v>149</v>
      </c>
      <c r="D57" s="13"/>
      <c r="E57" s="14"/>
      <c r="F57" s="14"/>
      <c r="G57" s="14"/>
      <c r="H57" s="14"/>
      <c r="I57" s="14" t="s">
        <v>164</v>
      </c>
      <c r="J57" s="14"/>
      <c r="K57" s="14"/>
      <c r="L57" s="14"/>
      <c r="M57" s="15">
        <f>M39+M51</f>
        <v>315067</v>
      </c>
      <c r="N57" s="289">
        <f>N39+N51</f>
        <v>105527</v>
      </c>
      <c r="O57" s="289">
        <f t="shared" si="7"/>
        <v>420594</v>
      </c>
      <c r="P57" s="289">
        <f>P39+P51</f>
        <v>160935</v>
      </c>
      <c r="Q57" s="451">
        <f t="shared" si="0"/>
        <v>38.263741280189443</v>
      </c>
      <c r="R57" s="463">
        <f>R39+R51</f>
        <v>47930</v>
      </c>
      <c r="S57" s="463">
        <f t="shared" si="1"/>
        <v>468524</v>
      </c>
      <c r="T57" s="289">
        <f>T39+T51+T56</f>
        <v>373112</v>
      </c>
      <c r="U57" s="589">
        <f t="shared" si="2"/>
        <v>79.635621654386966</v>
      </c>
      <c r="V57" s="289">
        <f>V39+V51+V56</f>
        <v>147976</v>
      </c>
      <c r="W57" s="289">
        <f t="shared" si="3"/>
        <v>616500</v>
      </c>
      <c r="X57" s="289">
        <f>X39+X51+X56</f>
        <v>533611</v>
      </c>
      <c r="Y57" s="289">
        <f t="shared" si="4"/>
        <v>86.554906731549067</v>
      </c>
      <c r="Z57" s="289">
        <f>Z39+Z51+Z56</f>
        <v>24913</v>
      </c>
      <c r="AA57" s="289">
        <f t="shared" si="5"/>
        <v>641413</v>
      </c>
    </row>
    <row r="58" spans="1:27">
      <c r="C58" s="1" t="s">
        <v>165</v>
      </c>
      <c r="I58" s="2" t="s">
        <v>166</v>
      </c>
      <c r="O58" s="20"/>
      <c r="Q58" s="20"/>
      <c r="S58" s="21"/>
      <c r="U58" s="582"/>
      <c r="W58" s="396"/>
      <c r="X58" s="20"/>
      <c r="Y58" s="20"/>
      <c r="AA58" s="20"/>
    </row>
    <row r="59" spans="1:27">
      <c r="D59" s="1" t="s">
        <v>117</v>
      </c>
      <c r="J59" s="2" t="s">
        <v>167</v>
      </c>
      <c r="M59" s="3">
        <v>5000</v>
      </c>
      <c r="N59" s="3">
        <v>0</v>
      </c>
      <c r="O59" s="20">
        <f>M59+N59</f>
        <v>5000</v>
      </c>
      <c r="P59" s="98">
        <v>0</v>
      </c>
      <c r="Q59" s="20">
        <f t="shared" si="0"/>
        <v>0</v>
      </c>
      <c r="R59" s="556">
        <v>0</v>
      </c>
      <c r="S59" s="21">
        <f t="shared" si="1"/>
        <v>5000</v>
      </c>
      <c r="T59" s="20">
        <v>0</v>
      </c>
      <c r="U59" s="582">
        <f t="shared" si="2"/>
        <v>0</v>
      </c>
      <c r="V59" s="98">
        <v>0</v>
      </c>
      <c r="W59" s="396">
        <f t="shared" si="3"/>
        <v>5000</v>
      </c>
      <c r="X59" s="20">
        <v>243</v>
      </c>
      <c r="Y59" s="20">
        <f t="shared" si="4"/>
        <v>4.8599999999999994</v>
      </c>
      <c r="Z59" s="3">
        <v>0</v>
      </c>
      <c r="AA59" s="20">
        <f t="shared" si="5"/>
        <v>5000</v>
      </c>
    </row>
    <row r="60" spans="1:27">
      <c r="D60" s="1" t="s">
        <v>122</v>
      </c>
      <c r="J60" s="2" t="s">
        <v>168</v>
      </c>
      <c r="M60" s="3">
        <v>70530</v>
      </c>
      <c r="N60" s="3">
        <v>0</v>
      </c>
      <c r="O60" s="20">
        <f>M60+N60</f>
        <v>70530</v>
      </c>
      <c r="P60" s="98">
        <v>10225</v>
      </c>
      <c r="Q60" s="20">
        <f t="shared" si="0"/>
        <v>14.49737700269389</v>
      </c>
      <c r="R60" s="556">
        <v>-30969</v>
      </c>
      <c r="S60" s="21">
        <f t="shared" si="1"/>
        <v>39561</v>
      </c>
      <c r="T60" s="20">
        <v>1800</v>
      </c>
      <c r="U60" s="582">
        <f t="shared" si="2"/>
        <v>4.5499355425798127</v>
      </c>
      <c r="V60" s="98">
        <v>0</v>
      </c>
      <c r="W60" s="396">
        <f t="shared" si="3"/>
        <v>39561</v>
      </c>
      <c r="X60" s="20">
        <v>2700</v>
      </c>
      <c r="Y60" s="20">
        <f t="shared" si="4"/>
        <v>6.8249033138697204</v>
      </c>
      <c r="Z60" s="3">
        <v>0</v>
      </c>
      <c r="AA60" s="20">
        <f t="shared" si="5"/>
        <v>39561</v>
      </c>
    </row>
    <row r="61" spans="1:27">
      <c r="D61" s="1" t="s">
        <v>169</v>
      </c>
      <c r="J61" s="2" t="s">
        <v>170</v>
      </c>
      <c r="M61" s="3">
        <v>12000</v>
      </c>
      <c r="N61" s="124">
        <v>0</v>
      </c>
      <c r="O61" s="124">
        <f>M61+N61</f>
        <v>12000</v>
      </c>
      <c r="P61" s="290">
        <v>0</v>
      </c>
      <c r="Q61" s="124">
        <f t="shared" si="0"/>
        <v>0</v>
      </c>
      <c r="R61" s="556">
        <v>0</v>
      </c>
      <c r="S61" s="21">
        <f t="shared" si="1"/>
        <v>12000</v>
      </c>
      <c r="T61" s="124">
        <v>0</v>
      </c>
      <c r="U61" s="583">
        <f t="shared" si="2"/>
        <v>0</v>
      </c>
      <c r="V61" s="98">
        <v>235</v>
      </c>
      <c r="W61" s="396">
        <f t="shared" si="3"/>
        <v>12235</v>
      </c>
      <c r="X61" s="20">
        <v>12402</v>
      </c>
      <c r="Y61" s="20">
        <f t="shared" si="4"/>
        <v>101.36493665713118</v>
      </c>
      <c r="Z61" s="3">
        <v>0</v>
      </c>
      <c r="AA61" s="20">
        <f t="shared" si="5"/>
        <v>12235</v>
      </c>
    </row>
    <row r="62" spans="1:27" ht="15.75">
      <c r="A62" s="13"/>
      <c r="B62" s="13"/>
      <c r="C62" s="13" t="s">
        <v>165</v>
      </c>
      <c r="D62" s="13"/>
      <c r="E62" s="14"/>
      <c r="F62" s="14"/>
      <c r="G62" s="14"/>
      <c r="H62" s="14"/>
      <c r="I62" s="14" t="s">
        <v>171</v>
      </c>
      <c r="J62" s="14"/>
      <c r="K62" s="14"/>
      <c r="L62" s="14"/>
      <c r="M62" s="15">
        <f>SUM(M59:M61)</f>
        <v>87530</v>
      </c>
      <c r="N62" s="289">
        <v>0</v>
      </c>
      <c r="O62" s="289">
        <f>M62+N62</f>
        <v>87530</v>
      </c>
      <c r="P62" s="289">
        <f>SUM(P59:P61)</f>
        <v>10225</v>
      </c>
      <c r="Q62" s="451">
        <f t="shared" si="0"/>
        <v>11.681709128298868</v>
      </c>
      <c r="R62" s="463">
        <f>SUM(R59:R61)</f>
        <v>-30969</v>
      </c>
      <c r="S62" s="463">
        <f t="shared" si="1"/>
        <v>56561</v>
      </c>
      <c r="T62" s="451">
        <f>SUM(T59:T61)</f>
        <v>1800</v>
      </c>
      <c r="U62" s="589">
        <f t="shared" si="2"/>
        <v>3.1824048372553522</v>
      </c>
      <c r="V62" s="289">
        <f>SUM(V59:V61)</f>
        <v>235</v>
      </c>
      <c r="W62" s="289">
        <f t="shared" si="3"/>
        <v>56796</v>
      </c>
      <c r="X62" s="289">
        <f>SUM(X59:X61)</f>
        <v>15345</v>
      </c>
      <c r="Y62" s="289">
        <f t="shared" si="4"/>
        <v>27.017747728713289</v>
      </c>
      <c r="Z62" s="289">
        <f>SUM(Z59:Z61)</f>
        <v>0</v>
      </c>
      <c r="AA62" s="289">
        <f t="shared" si="5"/>
        <v>56796</v>
      </c>
    </row>
    <row r="63" spans="1:27" s="16" customFormat="1" ht="15.75">
      <c r="A63" s="4"/>
      <c r="B63" s="4"/>
      <c r="C63" s="17" t="s">
        <v>172</v>
      </c>
      <c r="D63" s="4"/>
      <c r="E63" s="26"/>
      <c r="F63" s="26"/>
      <c r="G63" s="26"/>
      <c r="H63" s="26"/>
      <c r="I63" s="19" t="s">
        <v>173</v>
      </c>
      <c r="J63" s="26"/>
      <c r="K63" s="26"/>
      <c r="L63" s="26"/>
      <c r="M63" s="23"/>
      <c r="N63" s="23"/>
      <c r="O63" s="20"/>
      <c r="P63" s="23"/>
      <c r="Q63" s="20"/>
      <c r="R63" s="559"/>
      <c r="S63" s="21"/>
      <c r="T63" s="23"/>
      <c r="U63" s="582"/>
      <c r="V63" s="98"/>
      <c r="W63" s="396"/>
      <c r="X63" s="586"/>
      <c r="Y63" s="20"/>
      <c r="Z63" s="23"/>
      <c r="AA63" s="20"/>
    </row>
    <row r="64" spans="1:27" s="16" customFormat="1" ht="15.75">
      <c r="A64" s="4"/>
      <c r="B64" s="4"/>
      <c r="C64" s="4"/>
      <c r="D64" s="17" t="s">
        <v>117</v>
      </c>
      <c r="E64" s="19"/>
      <c r="F64" s="19"/>
      <c r="G64" s="19"/>
      <c r="H64" s="19"/>
      <c r="I64" s="19"/>
      <c r="J64" s="19" t="s">
        <v>174</v>
      </c>
      <c r="K64" s="19"/>
      <c r="L64" s="19"/>
      <c r="M64" s="98">
        <v>9618</v>
      </c>
      <c r="N64" s="98">
        <v>406</v>
      </c>
      <c r="O64" s="20">
        <f>M64+N64</f>
        <v>10024</v>
      </c>
      <c r="P64" s="98">
        <v>124427</v>
      </c>
      <c r="Q64" s="20">
        <f t="shared" si="0"/>
        <v>1241.2909018355945</v>
      </c>
      <c r="R64" s="560">
        <v>396041</v>
      </c>
      <c r="S64" s="21">
        <f t="shared" si="1"/>
        <v>406065</v>
      </c>
      <c r="T64" s="396">
        <v>230207</v>
      </c>
      <c r="U64" s="582">
        <f t="shared" si="2"/>
        <v>56.692155196828097</v>
      </c>
      <c r="V64" s="98">
        <v>4847</v>
      </c>
      <c r="W64" s="396">
        <f t="shared" si="3"/>
        <v>410912</v>
      </c>
      <c r="X64" s="396">
        <v>314560</v>
      </c>
      <c r="Y64" s="20">
        <f t="shared" si="4"/>
        <v>76.551670430651825</v>
      </c>
      <c r="Z64" s="98">
        <v>16035</v>
      </c>
      <c r="AA64" s="20">
        <f t="shared" si="5"/>
        <v>426947</v>
      </c>
    </row>
    <row r="65" spans="1:27" s="16" customFormat="1" ht="15.75">
      <c r="A65" s="4"/>
      <c r="B65" s="4"/>
      <c r="C65" s="4"/>
      <c r="D65" s="17" t="s">
        <v>122</v>
      </c>
      <c r="E65" s="19"/>
      <c r="F65" s="19"/>
      <c r="G65" s="19"/>
      <c r="H65" s="19"/>
      <c r="I65" s="19"/>
      <c r="J65" s="27" t="s">
        <v>175</v>
      </c>
      <c r="L65" s="19"/>
      <c r="M65" s="98">
        <v>0</v>
      </c>
      <c r="N65" s="290">
        <v>264409</v>
      </c>
      <c r="O65" s="124">
        <f>M65+N65</f>
        <v>264409</v>
      </c>
      <c r="P65" s="290">
        <v>196697</v>
      </c>
      <c r="Q65" s="124">
        <f t="shared" si="0"/>
        <v>74.391189407319729</v>
      </c>
      <c r="R65" s="560">
        <v>1960162</v>
      </c>
      <c r="S65" s="21">
        <f t="shared" si="1"/>
        <v>2224571</v>
      </c>
      <c r="T65" s="290">
        <v>492303</v>
      </c>
      <c r="U65" s="583">
        <f t="shared" si="2"/>
        <v>22.130244438141105</v>
      </c>
      <c r="V65" s="98">
        <v>41255</v>
      </c>
      <c r="W65" s="396">
        <f t="shared" si="3"/>
        <v>2265826</v>
      </c>
      <c r="X65" s="396">
        <v>803537</v>
      </c>
      <c r="Y65" s="20">
        <f t="shared" si="4"/>
        <v>35.463314482224142</v>
      </c>
      <c r="Z65" s="98">
        <v>348864</v>
      </c>
      <c r="AA65" s="20">
        <f t="shared" si="5"/>
        <v>2614690</v>
      </c>
    </row>
    <row r="66" spans="1:27" s="16" customFormat="1" ht="15.75">
      <c r="A66" s="13"/>
      <c r="B66" s="13"/>
      <c r="C66" s="13" t="s">
        <v>172</v>
      </c>
      <c r="D66" s="28"/>
      <c r="E66" s="24"/>
      <c r="F66" s="24"/>
      <c r="G66" s="24"/>
      <c r="H66" s="24"/>
      <c r="I66" s="14" t="s">
        <v>176</v>
      </c>
      <c r="J66" s="24"/>
      <c r="K66" s="24"/>
      <c r="L66" s="24"/>
      <c r="M66" s="15">
        <f>SUM(M64:M65)</f>
        <v>9618</v>
      </c>
      <c r="N66" s="289">
        <f>SUM(N64:N65)</f>
        <v>264815</v>
      </c>
      <c r="O66" s="289">
        <f>M66+N66</f>
        <v>274433</v>
      </c>
      <c r="P66" s="286">
        <f>SUM(P64:P65)</f>
        <v>321124</v>
      </c>
      <c r="Q66" s="451">
        <f t="shared" si="0"/>
        <v>117.01362445478496</v>
      </c>
      <c r="R66" s="463">
        <f>SUM(R64:R65)</f>
        <v>2356203</v>
      </c>
      <c r="S66" s="463">
        <f t="shared" si="1"/>
        <v>2630636</v>
      </c>
      <c r="T66" s="289">
        <f>SUM(T64:T65)</f>
        <v>722510</v>
      </c>
      <c r="U66" s="589">
        <f t="shared" si="2"/>
        <v>27.465221338109874</v>
      </c>
      <c r="V66" s="289">
        <f>SUM(V64:V65)</f>
        <v>46102</v>
      </c>
      <c r="W66" s="289">
        <f t="shared" si="3"/>
        <v>2676738</v>
      </c>
      <c r="X66" s="289">
        <f>SUM(X64:X65)</f>
        <v>1118097</v>
      </c>
      <c r="Y66" s="289">
        <f t="shared" si="4"/>
        <v>41.770879331484814</v>
      </c>
      <c r="Z66" s="289">
        <f>SUM(Z64:Z65)</f>
        <v>364899</v>
      </c>
      <c r="AA66" s="289">
        <f t="shared" si="5"/>
        <v>3041637</v>
      </c>
    </row>
    <row r="67" spans="1:27" s="16" customFormat="1" ht="15.75">
      <c r="A67" s="1"/>
      <c r="B67" s="1"/>
      <c r="C67" s="1" t="s">
        <v>177</v>
      </c>
      <c r="D67" s="1"/>
      <c r="E67" s="1"/>
      <c r="F67" s="2"/>
      <c r="G67" s="2"/>
      <c r="H67" s="2"/>
      <c r="I67" s="2" t="s">
        <v>178</v>
      </c>
      <c r="J67" s="2"/>
      <c r="K67" s="2"/>
      <c r="L67" s="2"/>
      <c r="M67" s="23"/>
      <c r="N67" s="23"/>
      <c r="O67" s="20"/>
      <c r="P67" s="23"/>
      <c r="Q67" s="20"/>
      <c r="R67" s="559"/>
      <c r="S67" s="21"/>
      <c r="T67" s="23"/>
      <c r="U67" s="582"/>
      <c r="V67" s="98"/>
      <c r="W67" s="396"/>
      <c r="X67" s="586"/>
      <c r="Y67" s="20"/>
      <c r="Z67" s="23"/>
      <c r="AA67" s="20"/>
    </row>
    <row r="68" spans="1:27" s="16" customFormat="1" ht="15.75">
      <c r="A68" s="1"/>
      <c r="B68" s="1"/>
      <c r="C68" s="1"/>
      <c r="D68" s="1" t="s">
        <v>117</v>
      </c>
      <c r="E68" s="1"/>
      <c r="F68" s="2"/>
      <c r="G68" s="2"/>
      <c r="H68" s="2"/>
      <c r="I68" s="2"/>
      <c r="J68" s="2" t="s">
        <v>179</v>
      </c>
      <c r="K68" s="2"/>
      <c r="L68" s="2"/>
      <c r="M68" s="98">
        <v>0</v>
      </c>
      <c r="N68" s="98">
        <v>0</v>
      </c>
      <c r="O68" s="20">
        <f>M68+N68</f>
        <v>0</v>
      </c>
      <c r="P68" s="98">
        <v>7449</v>
      </c>
      <c r="Q68" s="20">
        <v>0</v>
      </c>
      <c r="R68" s="560">
        <v>8449</v>
      </c>
      <c r="S68" s="21">
        <f t="shared" si="1"/>
        <v>8449</v>
      </c>
      <c r="T68" s="396">
        <v>7449</v>
      </c>
      <c r="U68" s="582">
        <f t="shared" si="2"/>
        <v>88.164279796425618</v>
      </c>
      <c r="V68" s="98">
        <v>0</v>
      </c>
      <c r="W68" s="396">
        <f t="shared" si="3"/>
        <v>8449</v>
      </c>
      <c r="X68" s="396">
        <v>7449</v>
      </c>
      <c r="Y68" s="20">
        <f t="shared" si="4"/>
        <v>88.164279796425618</v>
      </c>
      <c r="Z68" s="98">
        <v>0</v>
      </c>
      <c r="AA68" s="20">
        <f t="shared" si="5"/>
        <v>8449</v>
      </c>
    </row>
    <row r="69" spans="1:27" s="16" customFormat="1" ht="15.75">
      <c r="A69" s="1"/>
      <c r="B69" s="1"/>
      <c r="C69" s="1"/>
      <c r="D69" s="1" t="s">
        <v>122</v>
      </c>
      <c r="E69" s="1"/>
      <c r="F69" s="2"/>
      <c r="G69" s="2"/>
      <c r="H69" s="2"/>
      <c r="I69" s="2"/>
      <c r="J69" s="2" t="s">
        <v>180</v>
      </c>
      <c r="K69" s="2"/>
      <c r="L69" s="2"/>
      <c r="M69" s="98">
        <v>500</v>
      </c>
      <c r="N69" s="290">
        <v>0</v>
      </c>
      <c r="O69" s="124">
        <f>M69+N69</f>
        <v>500</v>
      </c>
      <c r="P69" s="290">
        <v>148</v>
      </c>
      <c r="Q69" s="124">
        <f t="shared" si="0"/>
        <v>29.599999999999998</v>
      </c>
      <c r="R69" s="560">
        <v>0</v>
      </c>
      <c r="S69" s="21">
        <f t="shared" si="1"/>
        <v>500</v>
      </c>
      <c r="T69" s="290">
        <v>3266</v>
      </c>
      <c r="U69" s="583">
        <f t="shared" si="2"/>
        <v>653.20000000000005</v>
      </c>
      <c r="V69" s="98">
        <v>0</v>
      </c>
      <c r="W69" s="396">
        <f t="shared" si="3"/>
        <v>500</v>
      </c>
      <c r="X69" s="396">
        <v>358</v>
      </c>
      <c r="Y69" s="20">
        <f t="shared" si="4"/>
        <v>71.599999999999994</v>
      </c>
      <c r="Z69" s="98">
        <v>0</v>
      </c>
      <c r="AA69" s="20">
        <f t="shared" si="5"/>
        <v>500</v>
      </c>
    </row>
    <row r="70" spans="1:27" s="466" customFormat="1" ht="15.75">
      <c r="A70" s="460"/>
      <c r="B70" s="460"/>
      <c r="C70" s="460" t="s">
        <v>177</v>
      </c>
      <c r="D70" s="460"/>
      <c r="E70" s="461"/>
      <c r="F70" s="461"/>
      <c r="G70" s="461"/>
      <c r="H70" s="461"/>
      <c r="I70" s="461" t="s">
        <v>181</v>
      </c>
      <c r="J70" s="461"/>
      <c r="K70" s="461"/>
      <c r="L70" s="461"/>
      <c r="M70" s="462">
        <f>SUM(M68:M69)</f>
        <v>500</v>
      </c>
      <c r="N70" s="463">
        <v>0</v>
      </c>
      <c r="O70" s="463">
        <f>M70+N70</f>
        <v>500</v>
      </c>
      <c r="P70" s="464">
        <f>SUM(P68:P69)</f>
        <v>7597</v>
      </c>
      <c r="Q70" s="465">
        <f t="shared" si="0"/>
        <v>1519.4</v>
      </c>
      <c r="R70" s="463">
        <f>SUM(R68:R69)</f>
        <v>8449</v>
      </c>
      <c r="S70" s="463">
        <f t="shared" si="1"/>
        <v>8949</v>
      </c>
      <c r="T70" s="464">
        <f>SUM(T68:T69)</f>
        <v>10715</v>
      </c>
      <c r="U70" s="589">
        <f t="shared" si="2"/>
        <v>119.73404849703877</v>
      </c>
      <c r="V70" s="463">
        <f>SUM(V68:V69)</f>
        <v>0</v>
      </c>
      <c r="W70" s="289">
        <f t="shared" si="3"/>
        <v>8949</v>
      </c>
      <c r="X70" s="463">
        <f>SUM(X68:X69)</f>
        <v>7807</v>
      </c>
      <c r="Y70" s="289">
        <f t="shared" si="4"/>
        <v>87.238797631020219</v>
      </c>
      <c r="Z70" s="463">
        <f>SUM(Z68:Z69)</f>
        <v>0</v>
      </c>
      <c r="AA70" s="289">
        <f t="shared" si="5"/>
        <v>8949</v>
      </c>
    </row>
    <row r="71" spans="1:27">
      <c r="C71" s="1" t="s">
        <v>182</v>
      </c>
      <c r="I71" s="2" t="s">
        <v>183</v>
      </c>
      <c r="O71" s="20"/>
      <c r="Q71" s="20"/>
      <c r="S71" s="21"/>
      <c r="U71" s="582"/>
      <c r="W71" s="396"/>
      <c r="X71" s="20"/>
      <c r="Y71" s="20"/>
      <c r="AA71" s="20"/>
    </row>
    <row r="72" spans="1:27">
      <c r="D72" s="1" t="s">
        <v>117</v>
      </c>
      <c r="J72" s="2" t="s">
        <v>184</v>
      </c>
      <c r="M72" s="3">
        <v>3100</v>
      </c>
      <c r="N72" s="3">
        <v>0</v>
      </c>
      <c r="O72" s="20">
        <f>M72+N72</f>
        <v>3100</v>
      </c>
      <c r="P72" s="3">
        <v>2934</v>
      </c>
      <c r="Q72" s="20">
        <f t="shared" si="0"/>
        <v>94.645161290322577</v>
      </c>
      <c r="R72" s="556">
        <v>0</v>
      </c>
      <c r="S72" s="21">
        <f t="shared" si="1"/>
        <v>3100</v>
      </c>
      <c r="T72" s="396">
        <v>3735</v>
      </c>
      <c r="U72" s="582">
        <f t="shared" si="2"/>
        <v>120.48387096774194</v>
      </c>
      <c r="V72" s="98">
        <v>1946</v>
      </c>
      <c r="W72" s="396">
        <f t="shared" si="3"/>
        <v>5046</v>
      </c>
      <c r="X72" s="20">
        <v>4629</v>
      </c>
      <c r="Y72" s="20">
        <f t="shared" si="4"/>
        <v>91.736028537455411</v>
      </c>
      <c r="Z72" s="3">
        <v>0</v>
      </c>
      <c r="AA72" s="20">
        <f t="shared" si="5"/>
        <v>5046</v>
      </c>
    </row>
    <row r="73" spans="1:27">
      <c r="D73" s="1" t="s">
        <v>122</v>
      </c>
      <c r="J73" s="2" t="s">
        <v>185</v>
      </c>
      <c r="M73" s="3">
        <v>0</v>
      </c>
      <c r="N73" s="124">
        <v>0</v>
      </c>
      <c r="O73" s="124">
        <f>M73+N73</f>
        <v>0</v>
      </c>
      <c r="P73" s="124">
        <v>0</v>
      </c>
      <c r="Q73" s="124">
        <v>0</v>
      </c>
      <c r="R73" s="556">
        <v>0</v>
      </c>
      <c r="S73" s="21">
        <f t="shared" si="1"/>
        <v>0</v>
      </c>
      <c r="T73" s="290">
        <v>0</v>
      </c>
      <c r="U73" s="583">
        <v>0</v>
      </c>
      <c r="V73" s="98">
        <v>0</v>
      </c>
      <c r="W73" s="396">
        <f t="shared" si="3"/>
        <v>0</v>
      </c>
      <c r="X73" s="20">
        <v>0</v>
      </c>
      <c r="Y73" s="20">
        <v>0</v>
      </c>
      <c r="Z73" s="3">
        <v>0</v>
      </c>
      <c r="AA73" s="20">
        <f t="shared" si="5"/>
        <v>0</v>
      </c>
    </row>
    <row r="74" spans="1:27" s="16" customFormat="1" ht="15.75">
      <c r="A74" s="13"/>
      <c r="B74" s="13"/>
      <c r="C74" s="13" t="s">
        <v>182</v>
      </c>
      <c r="D74" s="13"/>
      <c r="E74" s="14"/>
      <c r="F74" s="14"/>
      <c r="G74" s="14"/>
      <c r="H74" s="14"/>
      <c r="I74" s="14" t="s">
        <v>186</v>
      </c>
      <c r="J74" s="14"/>
      <c r="K74" s="14"/>
      <c r="L74" s="14"/>
      <c r="M74" s="15">
        <f>SUM(M72:M73)</f>
        <v>3100</v>
      </c>
      <c r="N74" s="289">
        <v>0</v>
      </c>
      <c r="O74" s="289">
        <f>M74+N74</f>
        <v>3100</v>
      </c>
      <c r="P74" s="286">
        <f>SUM(P72:P73)</f>
        <v>2934</v>
      </c>
      <c r="Q74" s="451">
        <f t="shared" si="0"/>
        <v>94.645161290322577</v>
      </c>
      <c r="R74" s="463">
        <v>0</v>
      </c>
      <c r="S74" s="463">
        <f t="shared" si="1"/>
        <v>3100</v>
      </c>
      <c r="T74" s="606">
        <f>SUM(T72:T73)</f>
        <v>3735</v>
      </c>
      <c r="U74" s="589">
        <f t="shared" si="2"/>
        <v>120.48387096774194</v>
      </c>
      <c r="V74" s="289">
        <f>SUM(V72:V73)</f>
        <v>1946</v>
      </c>
      <c r="W74" s="289">
        <f t="shared" si="3"/>
        <v>5046</v>
      </c>
      <c r="X74" s="289">
        <f>SUM(X72:X73)</f>
        <v>4629</v>
      </c>
      <c r="Y74" s="289">
        <f t="shared" si="4"/>
        <v>91.736028537455411</v>
      </c>
      <c r="Z74" s="289">
        <f>SUM(Z72:Z73)</f>
        <v>0</v>
      </c>
      <c r="AA74" s="289">
        <f t="shared" si="5"/>
        <v>5046</v>
      </c>
    </row>
    <row r="75" spans="1:27" s="16" customFormat="1" ht="15.75">
      <c r="A75" s="13" t="s">
        <v>117</v>
      </c>
      <c r="B75" s="13"/>
      <c r="C75" s="13"/>
      <c r="D75" s="13"/>
      <c r="E75" s="13"/>
      <c r="F75" s="14"/>
      <c r="G75" s="14"/>
      <c r="H75" s="14" t="s">
        <v>187</v>
      </c>
      <c r="I75" s="14"/>
      <c r="J75" s="14"/>
      <c r="K75" s="14"/>
      <c r="L75" s="14"/>
      <c r="M75" s="15">
        <f>SUM(M31+M57+M62+M66+M70+M74)</f>
        <v>1242637</v>
      </c>
      <c r="N75" s="289">
        <f>N31+N57+N62+N66</f>
        <v>370342</v>
      </c>
      <c r="O75" s="289">
        <f>M75+N75</f>
        <v>1612979</v>
      </c>
      <c r="P75" s="286">
        <f>P31+P57+P62+P66+P70+P74</f>
        <v>825376</v>
      </c>
      <c r="Q75" s="451">
        <f t="shared" si="0"/>
        <v>51.170907990742599</v>
      </c>
      <c r="R75" s="463">
        <f>R31+R57+R62+R66+R70+R74</f>
        <v>2450090</v>
      </c>
      <c r="S75" s="463">
        <f t="shared" si="1"/>
        <v>4063069</v>
      </c>
      <c r="T75" s="289">
        <f>T31+T57+T62+T66+T70+T74</f>
        <v>1706391</v>
      </c>
      <c r="U75" s="589">
        <f t="shared" si="2"/>
        <v>41.997588522370648</v>
      </c>
      <c r="V75" s="289">
        <f>V31+V57+V62+V66+V70+V74</f>
        <v>367179</v>
      </c>
      <c r="W75" s="289">
        <f t="shared" si="3"/>
        <v>4430248</v>
      </c>
      <c r="X75" s="289">
        <f>X31+X57+X62+X66+X70+X74</f>
        <v>2823397</v>
      </c>
      <c r="Y75" s="289">
        <f t="shared" si="4"/>
        <v>63.729998862366166</v>
      </c>
      <c r="Z75" s="289">
        <f>Z31+Z57+Z62+Z66+Z70+Z74</f>
        <v>778952</v>
      </c>
      <c r="AA75" s="289">
        <f t="shared" si="5"/>
        <v>5209200</v>
      </c>
    </row>
    <row r="76" spans="1:27" s="16" customFormat="1" ht="15.75">
      <c r="A76" s="859" t="s">
        <v>3</v>
      </c>
      <c r="B76" s="4"/>
      <c r="C76" s="4"/>
      <c r="D76" s="4"/>
      <c r="E76" s="4"/>
      <c r="F76" s="26"/>
      <c r="G76" s="26"/>
      <c r="H76" s="26"/>
      <c r="I76" s="26"/>
      <c r="J76" s="26"/>
      <c r="K76" s="26"/>
      <c r="L76" s="26"/>
      <c r="M76" s="586"/>
      <c r="N76" s="588"/>
      <c r="O76" s="588"/>
      <c r="P76" s="586"/>
      <c r="Q76" s="588"/>
      <c r="R76" s="558"/>
      <c r="S76" s="558"/>
      <c r="T76" s="588"/>
      <c r="U76" s="593"/>
      <c r="V76" s="588"/>
      <c r="W76" s="588"/>
      <c r="X76" s="588"/>
      <c r="Y76" s="588"/>
      <c r="Z76" s="588"/>
      <c r="AA76" s="588"/>
    </row>
    <row r="77" spans="1:27">
      <c r="A77" s="17" t="s">
        <v>122</v>
      </c>
      <c r="B77" s="17"/>
      <c r="C77" s="17"/>
      <c r="D77" s="17"/>
      <c r="E77" s="17"/>
      <c r="F77" s="19"/>
      <c r="G77" s="19" t="s">
        <v>188</v>
      </c>
      <c r="H77" s="19"/>
      <c r="I77" s="19"/>
      <c r="J77" s="19"/>
      <c r="K77" s="19"/>
      <c r="L77" s="19"/>
      <c r="O77" s="20"/>
      <c r="Q77" s="20"/>
      <c r="S77" s="21"/>
      <c r="U77" s="582"/>
      <c r="W77" s="396"/>
      <c r="X77" s="20"/>
      <c r="Y77" s="20"/>
      <c r="AA77" s="20"/>
    </row>
    <row r="78" spans="1:27" s="16" customFormat="1" ht="15.75">
      <c r="A78" s="1"/>
      <c r="B78" s="1"/>
      <c r="C78" s="1" t="s">
        <v>119</v>
      </c>
      <c r="D78" s="1"/>
      <c r="E78" s="1"/>
      <c r="F78" s="2"/>
      <c r="G78" s="2"/>
      <c r="H78" s="2"/>
      <c r="I78" s="2" t="s">
        <v>120</v>
      </c>
      <c r="J78" s="2"/>
      <c r="K78" s="2"/>
      <c r="L78" s="2"/>
      <c r="M78" s="23"/>
      <c r="N78" s="23"/>
      <c r="O78" s="20"/>
      <c r="P78" s="23"/>
      <c r="Q78" s="20"/>
      <c r="R78" s="559"/>
      <c r="S78" s="21"/>
      <c r="T78" s="23"/>
      <c r="U78" s="582"/>
      <c r="V78" s="98"/>
      <c r="W78" s="396"/>
      <c r="X78" s="586"/>
      <c r="Y78" s="20"/>
      <c r="Z78" s="23"/>
      <c r="AA78" s="20"/>
    </row>
    <row r="79" spans="1:27" s="16" customFormat="1" ht="15.75">
      <c r="A79" s="1"/>
      <c r="B79" s="1"/>
      <c r="C79" s="1"/>
      <c r="D79" s="1" t="s">
        <v>117</v>
      </c>
      <c r="E79" s="1"/>
      <c r="F79" s="2"/>
      <c r="G79" s="2"/>
      <c r="H79" s="2"/>
      <c r="I79" s="2"/>
      <c r="J79" s="2" t="s">
        <v>189</v>
      </c>
      <c r="K79" s="2"/>
      <c r="L79" s="2"/>
      <c r="M79" s="98">
        <v>9000</v>
      </c>
      <c r="N79" s="290">
        <v>0</v>
      </c>
      <c r="O79" s="124">
        <f t="shared" ref="O79:O84" si="8">M79+N79</f>
        <v>9000</v>
      </c>
      <c r="P79" s="290">
        <v>3203</v>
      </c>
      <c r="Q79" s="124">
        <f t="shared" si="0"/>
        <v>35.588888888888889</v>
      </c>
      <c r="R79" s="556">
        <v>4688</v>
      </c>
      <c r="S79" s="21">
        <f>O79+R79</f>
        <v>13688</v>
      </c>
      <c r="T79" s="98">
        <v>10207</v>
      </c>
      <c r="U79" s="583">
        <f t="shared" si="2"/>
        <v>74.568965517241381</v>
      </c>
      <c r="V79" s="98">
        <v>3640</v>
      </c>
      <c r="W79" s="396">
        <f t="shared" ref="W79:W142" si="9">S79+V79</f>
        <v>17328</v>
      </c>
      <c r="X79" s="396">
        <v>15757</v>
      </c>
      <c r="Y79" s="20">
        <f>SUM(X79/W79)*100</f>
        <v>90.933748845798718</v>
      </c>
      <c r="Z79" s="98">
        <v>459</v>
      </c>
      <c r="AA79" s="20">
        <f t="shared" ref="AA79:AA141" si="10">W79+Z79</f>
        <v>17787</v>
      </c>
    </row>
    <row r="80" spans="1:27" s="16" customFormat="1" ht="15.75">
      <c r="A80" s="13"/>
      <c r="B80" s="13"/>
      <c r="C80" s="13" t="s">
        <v>119</v>
      </c>
      <c r="D80" s="13"/>
      <c r="E80" s="13"/>
      <c r="F80" s="14"/>
      <c r="G80" s="14"/>
      <c r="H80" s="14"/>
      <c r="I80" s="14" t="s">
        <v>487</v>
      </c>
      <c r="J80" s="14"/>
      <c r="K80" s="14"/>
      <c r="L80" s="14"/>
      <c r="M80" s="15">
        <f>SUM(M79)</f>
        <v>9000</v>
      </c>
      <c r="N80" s="289">
        <v>0</v>
      </c>
      <c r="O80" s="289">
        <f t="shared" si="8"/>
        <v>9000</v>
      </c>
      <c r="P80" s="289">
        <f>SUM(P79)</f>
        <v>3203</v>
      </c>
      <c r="Q80" s="451">
        <f t="shared" si="0"/>
        <v>35.588888888888889</v>
      </c>
      <c r="R80" s="463">
        <f>SUM(R79)</f>
        <v>4688</v>
      </c>
      <c r="S80" s="463">
        <f t="shared" si="1"/>
        <v>13688</v>
      </c>
      <c r="T80" s="286">
        <f>SUM(T79)</f>
        <v>10207</v>
      </c>
      <c r="U80" s="589">
        <f t="shared" si="2"/>
        <v>74.568965517241381</v>
      </c>
      <c r="V80" s="289">
        <f>SUM(V79)</f>
        <v>3640</v>
      </c>
      <c r="W80" s="289">
        <f t="shared" si="9"/>
        <v>17328</v>
      </c>
      <c r="X80" s="289">
        <f>SUM(X79)</f>
        <v>15757</v>
      </c>
      <c r="Y80" s="289">
        <f>SUM(X80/W80)*100</f>
        <v>90.933748845798718</v>
      </c>
      <c r="Z80" s="289">
        <f>SUM(Z79)</f>
        <v>459</v>
      </c>
      <c r="AA80" s="289">
        <f t="shared" si="10"/>
        <v>17787</v>
      </c>
    </row>
    <row r="81" spans="1:27" s="16" customFormat="1" ht="15.75">
      <c r="A81" s="29"/>
      <c r="B81" s="29"/>
      <c r="C81" s="17" t="s">
        <v>172</v>
      </c>
      <c r="D81" s="4"/>
      <c r="E81" s="26"/>
      <c r="F81" s="26"/>
      <c r="G81" s="26"/>
      <c r="H81" s="26"/>
      <c r="I81" s="19" t="s">
        <v>173</v>
      </c>
      <c r="J81" s="26"/>
      <c r="K81" s="26"/>
      <c r="L81" s="26"/>
      <c r="M81" s="23"/>
      <c r="N81" s="23"/>
      <c r="O81" s="20"/>
      <c r="P81" s="23"/>
      <c r="Q81" s="20"/>
      <c r="R81" s="559"/>
      <c r="S81" s="21"/>
      <c r="T81" s="23"/>
      <c r="U81" s="582"/>
      <c r="V81" s="98"/>
      <c r="W81" s="396"/>
      <c r="X81" s="586"/>
      <c r="Y81" s="20"/>
      <c r="Z81" s="23"/>
      <c r="AA81" s="20"/>
    </row>
    <row r="82" spans="1:27" s="16" customFormat="1" ht="15.75">
      <c r="A82" s="29"/>
      <c r="B82" s="29"/>
      <c r="C82" s="4"/>
      <c r="D82" s="17" t="s">
        <v>117</v>
      </c>
      <c r="E82" s="19"/>
      <c r="F82" s="19"/>
      <c r="G82" s="19"/>
      <c r="H82" s="19"/>
      <c r="I82" s="19"/>
      <c r="J82" s="19" t="s">
        <v>174</v>
      </c>
      <c r="K82" s="19"/>
      <c r="L82" s="19"/>
      <c r="M82" s="98">
        <v>1000</v>
      </c>
      <c r="N82" s="98">
        <v>0</v>
      </c>
      <c r="O82" s="20">
        <f t="shared" si="8"/>
        <v>1000</v>
      </c>
      <c r="P82" s="98">
        <v>365</v>
      </c>
      <c r="Q82" s="20">
        <f t="shared" si="0"/>
        <v>36.5</v>
      </c>
      <c r="R82" s="560">
        <v>0</v>
      </c>
      <c r="S82" s="21">
        <v>1000</v>
      </c>
      <c r="T82" s="396">
        <v>9194</v>
      </c>
      <c r="U82" s="582">
        <f t="shared" si="2"/>
        <v>919.40000000000009</v>
      </c>
      <c r="V82" s="98">
        <v>11764</v>
      </c>
      <c r="W82" s="396">
        <f t="shared" si="9"/>
        <v>12764</v>
      </c>
      <c r="X82" s="396">
        <v>12924</v>
      </c>
      <c r="Y82" s="20">
        <f>SUM(X82/W82)*100</f>
        <v>101.25352554058288</v>
      </c>
      <c r="Z82" s="98">
        <v>14919</v>
      </c>
      <c r="AA82" s="20">
        <f t="shared" si="10"/>
        <v>27683</v>
      </c>
    </row>
    <row r="83" spans="1:27" s="16" customFormat="1" ht="15.75">
      <c r="A83" s="29"/>
      <c r="B83" s="29"/>
      <c r="C83" s="4"/>
      <c r="D83" s="17" t="s">
        <v>122</v>
      </c>
      <c r="E83" s="19"/>
      <c r="F83" s="19"/>
      <c r="G83" s="19"/>
      <c r="H83" s="19"/>
      <c r="I83" s="19"/>
      <c r="J83" s="27" t="s">
        <v>175</v>
      </c>
      <c r="L83" s="19"/>
      <c r="M83" s="98">
        <v>0</v>
      </c>
      <c r="N83" s="290">
        <v>0</v>
      </c>
      <c r="O83" s="124">
        <f t="shared" si="8"/>
        <v>0</v>
      </c>
      <c r="P83" s="290">
        <v>0</v>
      </c>
      <c r="Q83" s="124">
        <v>0</v>
      </c>
      <c r="R83" s="560">
        <v>0</v>
      </c>
      <c r="S83" s="21">
        <f t="shared" si="1"/>
        <v>0</v>
      </c>
      <c r="T83" s="290">
        <v>0</v>
      </c>
      <c r="U83" s="583">
        <v>0</v>
      </c>
      <c r="V83" s="98">
        <v>0</v>
      </c>
      <c r="W83" s="396">
        <f t="shared" si="9"/>
        <v>0</v>
      </c>
      <c r="X83" s="396">
        <v>0</v>
      </c>
      <c r="Y83" s="20">
        <v>0</v>
      </c>
      <c r="Z83" s="98">
        <v>0</v>
      </c>
      <c r="AA83" s="20">
        <f t="shared" si="10"/>
        <v>0</v>
      </c>
    </row>
    <row r="84" spans="1:27" s="16" customFormat="1" ht="15.75">
      <c r="A84" s="30"/>
      <c r="B84" s="30"/>
      <c r="C84" s="13" t="s">
        <v>172</v>
      </c>
      <c r="D84" s="13"/>
      <c r="E84" s="14"/>
      <c r="F84" s="14"/>
      <c r="G84" s="14"/>
      <c r="H84" s="14"/>
      <c r="I84" s="14" t="s">
        <v>176</v>
      </c>
      <c r="J84" s="14"/>
      <c r="K84" s="14"/>
      <c r="L84" s="14"/>
      <c r="M84" s="31">
        <f>SUM(M82:M83)</f>
        <v>1000</v>
      </c>
      <c r="N84" s="289">
        <v>0</v>
      </c>
      <c r="O84" s="289">
        <f t="shared" si="8"/>
        <v>1000</v>
      </c>
      <c r="P84" s="286">
        <f>SUM(P82:P83)</f>
        <v>365</v>
      </c>
      <c r="Q84" s="451">
        <f t="shared" si="0"/>
        <v>36.5</v>
      </c>
      <c r="R84" s="463">
        <f>SUM(R82:R83)</f>
        <v>0</v>
      </c>
      <c r="S84" s="463">
        <f t="shared" si="1"/>
        <v>1000</v>
      </c>
      <c r="T84" s="286">
        <f>SUM(T82:T83)</f>
        <v>9194</v>
      </c>
      <c r="U84" s="589">
        <f t="shared" si="2"/>
        <v>919.40000000000009</v>
      </c>
      <c r="V84" s="289">
        <f>SUM(V82:V83)</f>
        <v>11764</v>
      </c>
      <c r="W84" s="289">
        <f t="shared" si="9"/>
        <v>12764</v>
      </c>
      <c r="X84" s="289">
        <f>SUM(X82:X83)</f>
        <v>12924</v>
      </c>
      <c r="Y84" s="289">
        <f>SUM(X84/W84)*100</f>
        <v>101.25352554058288</v>
      </c>
      <c r="Z84" s="289">
        <f>SUM(Z82:Z83)</f>
        <v>14919</v>
      </c>
      <c r="AA84" s="289">
        <f t="shared" si="10"/>
        <v>27683</v>
      </c>
    </row>
    <row r="85" spans="1:27" s="16" customFormat="1" ht="15.75">
      <c r="A85" s="1"/>
      <c r="B85" s="1"/>
      <c r="C85" s="1" t="s">
        <v>177</v>
      </c>
      <c r="D85" s="1"/>
      <c r="E85" s="1"/>
      <c r="F85" s="2"/>
      <c r="G85" s="2"/>
      <c r="H85" s="2"/>
      <c r="I85" s="2" t="s">
        <v>178</v>
      </c>
      <c r="J85" s="2"/>
      <c r="K85" s="2"/>
      <c r="L85" s="2"/>
      <c r="M85" s="23"/>
      <c r="N85" s="23"/>
      <c r="O85" s="20"/>
      <c r="P85" s="23"/>
      <c r="Q85" s="20"/>
      <c r="R85" s="559"/>
      <c r="S85" s="21"/>
      <c r="T85" s="23"/>
      <c r="U85" s="582"/>
      <c r="V85" s="98"/>
      <c r="W85" s="396"/>
      <c r="X85" s="586"/>
      <c r="Y85" s="20"/>
      <c r="Z85" s="23"/>
      <c r="AA85" s="20"/>
    </row>
    <row r="86" spans="1:27" s="16" customFormat="1" ht="15.75">
      <c r="A86" s="1"/>
      <c r="B86" s="1"/>
      <c r="C86" s="1"/>
      <c r="D86" s="1" t="s">
        <v>117</v>
      </c>
      <c r="E86" s="1"/>
      <c r="F86" s="2"/>
      <c r="G86" s="2"/>
      <c r="H86" s="2"/>
      <c r="I86" s="2"/>
      <c r="J86" s="2" t="s">
        <v>191</v>
      </c>
      <c r="K86" s="2"/>
      <c r="L86" s="2"/>
      <c r="M86" s="98">
        <v>0</v>
      </c>
      <c r="N86" s="98">
        <v>0</v>
      </c>
      <c r="O86" s="20">
        <f>M86+N86</f>
        <v>0</v>
      </c>
      <c r="P86" s="98">
        <v>247</v>
      </c>
      <c r="Q86" s="20">
        <v>0</v>
      </c>
      <c r="R86" s="560">
        <v>0</v>
      </c>
      <c r="S86" s="21">
        <f t="shared" ref="S86:S148" si="11">O86+R86</f>
        <v>0</v>
      </c>
      <c r="T86" s="396">
        <v>241</v>
      </c>
      <c r="U86" s="582">
        <v>0</v>
      </c>
      <c r="V86" s="98">
        <v>0</v>
      </c>
      <c r="W86" s="396">
        <f t="shared" si="9"/>
        <v>0</v>
      </c>
      <c r="X86" s="396">
        <v>51</v>
      </c>
      <c r="Y86" s="20">
        <v>0</v>
      </c>
      <c r="Z86" s="98">
        <v>0</v>
      </c>
      <c r="AA86" s="20">
        <f t="shared" si="10"/>
        <v>0</v>
      </c>
    </row>
    <row r="87" spans="1:27" s="16" customFormat="1" ht="15.75">
      <c r="A87" s="1"/>
      <c r="B87" s="1"/>
      <c r="C87" s="1"/>
      <c r="D87" s="1" t="s">
        <v>122</v>
      </c>
      <c r="E87" s="1"/>
      <c r="F87" s="2"/>
      <c r="G87" s="2"/>
      <c r="H87" s="2"/>
      <c r="I87" s="2"/>
      <c r="J87" s="2" t="s">
        <v>192</v>
      </c>
      <c r="K87" s="2"/>
      <c r="L87" s="2"/>
      <c r="M87" s="290">
        <v>0</v>
      </c>
      <c r="N87" s="290">
        <v>0</v>
      </c>
      <c r="O87" s="124">
        <f>M87+N87</f>
        <v>0</v>
      </c>
      <c r="P87" s="290">
        <v>0</v>
      </c>
      <c r="Q87" s="124">
        <v>0</v>
      </c>
      <c r="R87" s="560">
        <v>0</v>
      </c>
      <c r="S87" s="21">
        <f t="shared" si="11"/>
        <v>0</v>
      </c>
      <c r="T87" s="290">
        <v>0</v>
      </c>
      <c r="U87" s="583">
        <v>0</v>
      </c>
      <c r="V87" s="98">
        <v>0</v>
      </c>
      <c r="W87" s="396">
        <f t="shared" si="9"/>
        <v>0</v>
      </c>
      <c r="X87" s="396">
        <v>0</v>
      </c>
      <c r="Y87" s="20">
        <v>0</v>
      </c>
      <c r="Z87" s="98">
        <v>0</v>
      </c>
      <c r="AA87" s="20">
        <f t="shared" si="10"/>
        <v>0</v>
      </c>
    </row>
    <row r="88" spans="1:27" s="16" customFormat="1" ht="15.75">
      <c r="A88" s="13"/>
      <c r="B88" s="13"/>
      <c r="C88" s="13" t="s">
        <v>177</v>
      </c>
      <c r="D88" s="13"/>
      <c r="E88" s="13"/>
      <c r="F88" s="14"/>
      <c r="G88" s="14"/>
      <c r="H88" s="14"/>
      <c r="I88" s="14" t="s">
        <v>488</v>
      </c>
      <c r="J88" s="14"/>
      <c r="K88" s="14"/>
      <c r="L88" s="14"/>
      <c r="M88" s="15">
        <f>SUM(M86:M87)</f>
        <v>0</v>
      </c>
      <c r="N88" s="286">
        <v>0</v>
      </c>
      <c r="O88" s="289">
        <f>M88+N88</f>
        <v>0</v>
      </c>
      <c r="P88" s="289">
        <f>SUM(P86:P87)</f>
        <v>247</v>
      </c>
      <c r="Q88" s="451">
        <v>0</v>
      </c>
      <c r="R88" s="463">
        <v>0</v>
      </c>
      <c r="S88" s="463">
        <f t="shared" si="11"/>
        <v>0</v>
      </c>
      <c r="T88" s="606">
        <f>SUM(T86:T87)</f>
        <v>241</v>
      </c>
      <c r="U88" s="589">
        <v>0</v>
      </c>
      <c r="V88" s="289">
        <f>SUM(V86:V87)</f>
        <v>0</v>
      </c>
      <c r="W88" s="289">
        <f t="shared" si="9"/>
        <v>0</v>
      </c>
      <c r="X88" s="289">
        <f>SUM(X86:X87)</f>
        <v>51</v>
      </c>
      <c r="Y88" s="289">
        <v>0</v>
      </c>
      <c r="Z88" s="289">
        <f>SUM(Z86:Z87)</f>
        <v>0</v>
      </c>
      <c r="AA88" s="289">
        <f t="shared" si="10"/>
        <v>0</v>
      </c>
    </row>
    <row r="89" spans="1:27" s="16" customFormat="1" ht="15.75">
      <c r="A89" s="13" t="s">
        <v>122</v>
      </c>
      <c r="B89" s="13"/>
      <c r="C89" s="13"/>
      <c r="D89" s="13"/>
      <c r="E89" s="13"/>
      <c r="F89" s="14"/>
      <c r="G89" s="24"/>
      <c r="H89" s="14" t="s">
        <v>193</v>
      </c>
      <c r="I89" s="14"/>
      <c r="J89" s="14"/>
      <c r="K89" s="14"/>
      <c r="L89" s="14"/>
      <c r="M89" s="15">
        <f>SUM(M80+M84+M88)</f>
        <v>10000</v>
      </c>
      <c r="N89" s="289">
        <v>0</v>
      </c>
      <c r="O89" s="289">
        <f>M89+N89</f>
        <v>10000</v>
      </c>
      <c r="P89" s="286">
        <f>P80+P84+P88</f>
        <v>3815</v>
      </c>
      <c r="Q89" s="451">
        <f>SUM(P89/O89)*100</f>
        <v>38.15</v>
      </c>
      <c r="R89" s="463">
        <f>R80+R84</f>
        <v>4688</v>
      </c>
      <c r="S89" s="463">
        <f t="shared" si="11"/>
        <v>14688</v>
      </c>
      <c r="T89" s="289">
        <f>T80+T84+T88</f>
        <v>19642</v>
      </c>
      <c r="U89" s="589">
        <f>SUM(T89/S89)*100</f>
        <v>133.72821350762527</v>
      </c>
      <c r="V89" s="289">
        <f>V80+V84+V88</f>
        <v>15404</v>
      </c>
      <c r="W89" s="289">
        <f t="shared" si="9"/>
        <v>30092</v>
      </c>
      <c r="X89" s="289">
        <f>X80+X84+X88</f>
        <v>28732</v>
      </c>
      <c r="Y89" s="289">
        <f>SUM(X89/W89)*100</f>
        <v>95.480526385750366</v>
      </c>
      <c r="Z89" s="289">
        <f>Z80+Z84+Z88</f>
        <v>15378</v>
      </c>
      <c r="AA89" s="289">
        <f t="shared" si="10"/>
        <v>45470</v>
      </c>
    </row>
    <row r="90" spans="1:27">
      <c r="A90" s="1" t="s">
        <v>169</v>
      </c>
      <c r="G90" s="2" t="s">
        <v>883</v>
      </c>
      <c r="O90" s="20"/>
      <c r="Q90" s="20"/>
      <c r="S90" s="21"/>
      <c r="U90" s="582"/>
      <c r="W90" s="396"/>
      <c r="X90" s="20"/>
      <c r="Y90" s="20"/>
      <c r="AA90" s="20"/>
    </row>
    <row r="91" spans="1:27">
      <c r="C91" s="1" t="s">
        <v>119</v>
      </c>
      <c r="I91" s="2" t="s">
        <v>120</v>
      </c>
      <c r="O91" s="20"/>
      <c r="Q91" s="20"/>
      <c r="S91" s="21"/>
      <c r="U91" s="582"/>
      <c r="W91" s="396"/>
      <c r="X91" s="20"/>
      <c r="Y91" s="20"/>
      <c r="AA91" s="20"/>
    </row>
    <row r="92" spans="1:27">
      <c r="D92" s="1" t="s">
        <v>117</v>
      </c>
      <c r="J92" s="2" t="s">
        <v>189</v>
      </c>
      <c r="M92" s="3">
        <v>0</v>
      </c>
      <c r="N92" s="124">
        <v>0</v>
      </c>
      <c r="O92" s="124">
        <f>M92+N92</f>
        <v>0</v>
      </c>
      <c r="P92" s="124">
        <v>78</v>
      </c>
      <c r="Q92" s="124">
        <v>0</v>
      </c>
      <c r="R92" s="556">
        <v>730</v>
      </c>
      <c r="S92" s="21">
        <f t="shared" si="11"/>
        <v>730</v>
      </c>
      <c r="T92" s="3">
        <v>730</v>
      </c>
      <c r="U92" s="583">
        <f>SUM(T92/S92)*100</f>
        <v>100</v>
      </c>
      <c r="V92" s="98">
        <v>197</v>
      </c>
      <c r="W92" s="396">
        <f t="shared" si="9"/>
        <v>927</v>
      </c>
      <c r="X92" s="20">
        <v>1325</v>
      </c>
      <c r="Y92" s="20">
        <f>SUM(X92/W92)*100</f>
        <v>142.9341963322546</v>
      </c>
      <c r="Z92" s="3">
        <v>1412</v>
      </c>
      <c r="AA92" s="20">
        <f t="shared" si="10"/>
        <v>2339</v>
      </c>
    </row>
    <row r="93" spans="1:27" s="16" customFormat="1" ht="15.75">
      <c r="A93" s="13"/>
      <c r="B93" s="13"/>
      <c r="C93" s="13" t="s">
        <v>119</v>
      </c>
      <c r="D93" s="13"/>
      <c r="E93" s="13"/>
      <c r="F93" s="14"/>
      <c r="G93" s="14"/>
      <c r="H93" s="14"/>
      <c r="I93" s="14" t="s">
        <v>487</v>
      </c>
      <c r="J93" s="14"/>
      <c r="K93" s="14"/>
      <c r="L93" s="14"/>
      <c r="M93" s="15">
        <f>SUM(M92)</f>
        <v>0</v>
      </c>
      <c r="N93" s="289">
        <v>0</v>
      </c>
      <c r="O93" s="289">
        <f>M93+N93</f>
        <v>0</v>
      </c>
      <c r="P93" s="286">
        <f>SUM(P92)</f>
        <v>78</v>
      </c>
      <c r="Q93" s="451">
        <v>0</v>
      </c>
      <c r="R93" s="463">
        <f>SUM(R92)</f>
        <v>730</v>
      </c>
      <c r="S93" s="463">
        <f t="shared" si="11"/>
        <v>730</v>
      </c>
      <c r="T93" s="286">
        <f>SUM(T92)</f>
        <v>730</v>
      </c>
      <c r="U93" s="589">
        <f>SUM(T93/S93)*100</f>
        <v>100</v>
      </c>
      <c r="V93" s="289">
        <f>SUM(V92)</f>
        <v>197</v>
      </c>
      <c r="W93" s="289">
        <f t="shared" si="9"/>
        <v>927</v>
      </c>
      <c r="X93" s="289">
        <f>SUM(X92)</f>
        <v>1325</v>
      </c>
      <c r="Y93" s="289">
        <f>SUM(X93/W93)*100</f>
        <v>142.9341963322546</v>
      </c>
      <c r="Z93" s="289">
        <f>SUM(Z92)</f>
        <v>1412</v>
      </c>
      <c r="AA93" s="289">
        <f t="shared" si="10"/>
        <v>2339</v>
      </c>
    </row>
    <row r="94" spans="1:27" ht="15.75">
      <c r="A94" s="29"/>
      <c r="B94" s="29"/>
      <c r="C94" s="17" t="s">
        <v>172</v>
      </c>
      <c r="D94" s="4"/>
      <c r="E94" s="26"/>
      <c r="F94" s="26"/>
      <c r="G94" s="26"/>
      <c r="H94" s="26"/>
      <c r="I94" s="19" t="s">
        <v>173</v>
      </c>
      <c r="J94" s="26"/>
      <c r="K94" s="26"/>
      <c r="L94" s="26"/>
      <c r="O94" s="20"/>
      <c r="Q94" s="20"/>
      <c r="S94" s="21"/>
      <c r="U94" s="582"/>
      <c r="W94" s="396"/>
      <c r="X94" s="20"/>
      <c r="Y94" s="20"/>
      <c r="AA94" s="20"/>
    </row>
    <row r="95" spans="1:27" ht="15.75">
      <c r="A95" s="29"/>
      <c r="B95" s="29"/>
      <c r="C95" s="4"/>
      <c r="D95" s="17" t="s">
        <v>117</v>
      </c>
      <c r="E95" s="19"/>
      <c r="F95" s="19"/>
      <c r="G95" s="19"/>
      <c r="H95" s="19"/>
      <c r="I95" s="19"/>
      <c r="J95" s="19" t="s">
        <v>174</v>
      </c>
      <c r="K95" s="19"/>
      <c r="L95" s="19"/>
      <c r="M95" s="3">
        <v>0</v>
      </c>
      <c r="N95" s="3">
        <v>0</v>
      </c>
      <c r="O95" s="20">
        <f>M95+N95</f>
        <v>0</v>
      </c>
      <c r="P95" s="3">
        <v>0</v>
      </c>
      <c r="Q95" s="20">
        <v>0</v>
      </c>
      <c r="R95" s="556">
        <v>0</v>
      </c>
      <c r="S95" s="21">
        <f t="shared" si="11"/>
        <v>0</v>
      </c>
      <c r="T95" s="20">
        <v>4223</v>
      </c>
      <c r="U95" s="582">
        <v>0</v>
      </c>
      <c r="V95" s="98">
        <v>0</v>
      </c>
      <c r="W95" s="396">
        <f t="shared" si="9"/>
        <v>0</v>
      </c>
      <c r="X95" s="20">
        <v>4223</v>
      </c>
      <c r="Y95" s="20">
        <v>0</v>
      </c>
      <c r="Z95" s="3">
        <v>0</v>
      </c>
      <c r="AA95" s="20">
        <f t="shared" si="10"/>
        <v>0</v>
      </c>
    </row>
    <row r="96" spans="1:27" ht="15.75">
      <c r="A96" s="29"/>
      <c r="B96" s="29"/>
      <c r="C96" s="4"/>
      <c r="D96" s="17" t="s">
        <v>122</v>
      </c>
      <c r="E96" s="19"/>
      <c r="F96" s="19"/>
      <c r="G96" s="19"/>
      <c r="H96" s="19"/>
      <c r="I96" s="19"/>
      <c r="J96" s="27" t="s">
        <v>175</v>
      </c>
      <c r="K96" s="16"/>
      <c r="L96" s="19"/>
      <c r="M96" s="3">
        <v>0</v>
      </c>
      <c r="N96" s="124">
        <v>0</v>
      </c>
      <c r="O96" s="124">
        <f>M96+N96</f>
        <v>0</v>
      </c>
      <c r="P96" s="124">
        <v>0</v>
      </c>
      <c r="Q96" s="124">
        <v>0</v>
      </c>
      <c r="R96" s="556">
        <v>0</v>
      </c>
      <c r="S96" s="21">
        <f t="shared" si="11"/>
        <v>0</v>
      </c>
      <c r="T96" s="124">
        <v>0</v>
      </c>
      <c r="U96" s="583">
        <v>0</v>
      </c>
      <c r="V96" s="98">
        <v>0</v>
      </c>
      <c r="W96" s="396">
        <f t="shared" si="9"/>
        <v>0</v>
      </c>
      <c r="X96" s="20">
        <v>0</v>
      </c>
      <c r="Y96" s="20">
        <v>0</v>
      </c>
      <c r="Z96" s="3">
        <v>0</v>
      </c>
      <c r="AA96" s="20">
        <f t="shared" si="10"/>
        <v>0</v>
      </c>
    </row>
    <row r="97" spans="1:27" s="16" customFormat="1" ht="15.75">
      <c r="A97" s="30"/>
      <c r="B97" s="30"/>
      <c r="C97" s="13" t="s">
        <v>172</v>
      </c>
      <c r="D97" s="13"/>
      <c r="E97" s="14"/>
      <c r="F97" s="14"/>
      <c r="G97" s="14"/>
      <c r="H97" s="14"/>
      <c r="I97" s="14" t="s">
        <v>176</v>
      </c>
      <c r="J97" s="14"/>
      <c r="K97" s="14"/>
      <c r="L97" s="14"/>
      <c r="M97" s="31">
        <f>SUM(M95:M96)</f>
        <v>0</v>
      </c>
      <c r="N97" s="289">
        <v>0</v>
      </c>
      <c r="O97" s="289">
        <f>M97+N97</f>
        <v>0</v>
      </c>
      <c r="P97" s="286">
        <f>SUM(P95:P96)</f>
        <v>0</v>
      </c>
      <c r="Q97" s="451">
        <v>0</v>
      </c>
      <c r="R97" s="463">
        <f>SUM(R95:R96)</f>
        <v>0</v>
      </c>
      <c r="S97" s="463">
        <f t="shared" si="11"/>
        <v>0</v>
      </c>
      <c r="T97" s="286">
        <f>SUM(T95:T96)</f>
        <v>4223</v>
      </c>
      <c r="U97" s="589">
        <v>0</v>
      </c>
      <c r="V97" s="289">
        <f>SUM(V95:V96)</f>
        <v>0</v>
      </c>
      <c r="W97" s="289">
        <f t="shared" si="9"/>
        <v>0</v>
      </c>
      <c r="X97" s="289">
        <f>SUM(X95:X96)</f>
        <v>4223</v>
      </c>
      <c r="Y97" s="289">
        <v>0</v>
      </c>
      <c r="Z97" s="289">
        <f>SUM(Z95:Z96)</f>
        <v>0</v>
      </c>
      <c r="AA97" s="289">
        <f t="shared" si="10"/>
        <v>0</v>
      </c>
    </row>
    <row r="98" spans="1:27" ht="15.75" customHeight="1">
      <c r="C98" s="1" t="s">
        <v>177</v>
      </c>
      <c r="I98" s="2" t="s">
        <v>178</v>
      </c>
      <c r="O98" s="20"/>
      <c r="Q98" s="20"/>
      <c r="S98" s="21"/>
      <c r="U98" s="582"/>
      <c r="W98" s="396"/>
      <c r="X98" s="20"/>
      <c r="Y98" s="20"/>
      <c r="AA98" s="20"/>
    </row>
    <row r="99" spans="1:27">
      <c r="D99" s="1" t="s">
        <v>117</v>
      </c>
      <c r="J99" s="2" t="s">
        <v>191</v>
      </c>
      <c r="M99" s="3">
        <v>0</v>
      </c>
      <c r="N99" s="3">
        <v>0</v>
      </c>
      <c r="O99" s="20">
        <f>M99+N99</f>
        <v>0</v>
      </c>
      <c r="P99" s="3">
        <v>100</v>
      </c>
      <c r="Q99" s="20">
        <v>0</v>
      </c>
      <c r="R99" s="556">
        <v>100</v>
      </c>
      <c r="S99" s="21">
        <f t="shared" si="11"/>
        <v>100</v>
      </c>
      <c r="T99" s="20">
        <v>100</v>
      </c>
      <c r="U99" s="582">
        <f>SUM(T99/S99)*100</f>
        <v>100</v>
      </c>
      <c r="V99" s="98">
        <v>0</v>
      </c>
      <c r="W99" s="396">
        <f t="shared" si="9"/>
        <v>100</v>
      </c>
      <c r="X99" s="20">
        <v>100</v>
      </c>
      <c r="Y99" s="20">
        <f>SUM(X99/W99)*100</f>
        <v>100</v>
      </c>
      <c r="Z99" s="3">
        <v>0</v>
      </c>
      <c r="AA99" s="20">
        <f t="shared" si="10"/>
        <v>100</v>
      </c>
    </row>
    <row r="100" spans="1:27">
      <c r="D100" s="1" t="s">
        <v>122</v>
      </c>
      <c r="J100" s="2" t="s">
        <v>192</v>
      </c>
      <c r="M100" s="124">
        <v>0</v>
      </c>
      <c r="N100" s="124">
        <v>0</v>
      </c>
      <c r="O100" s="124">
        <f>M100+N100</f>
        <v>0</v>
      </c>
      <c r="P100" s="124">
        <v>0</v>
      </c>
      <c r="Q100" s="124">
        <v>0</v>
      </c>
      <c r="R100" s="556">
        <v>0</v>
      </c>
      <c r="S100" s="21">
        <f t="shared" si="11"/>
        <v>0</v>
      </c>
      <c r="T100" s="124">
        <v>0</v>
      </c>
      <c r="U100" s="583">
        <v>0</v>
      </c>
      <c r="V100" s="98">
        <v>0</v>
      </c>
      <c r="W100" s="396">
        <f t="shared" si="9"/>
        <v>0</v>
      </c>
      <c r="X100" s="20">
        <v>0</v>
      </c>
      <c r="Y100" s="20">
        <v>0</v>
      </c>
      <c r="Z100" s="3">
        <v>0</v>
      </c>
      <c r="AA100" s="20">
        <f t="shared" si="10"/>
        <v>0</v>
      </c>
    </row>
    <row r="101" spans="1:27" s="16" customFormat="1" ht="15.75">
      <c r="A101" s="13"/>
      <c r="B101" s="13"/>
      <c r="C101" s="13" t="s">
        <v>177</v>
      </c>
      <c r="D101" s="13"/>
      <c r="E101" s="13"/>
      <c r="F101" s="14"/>
      <c r="G101" s="14"/>
      <c r="H101" s="14"/>
      <c r="I101" s="14" t="s">
        <v>488</v>
      </c>
      <c r="J101" s="14"/>
      <c r="K101" s="14"/>
      <c r="L101" s="14"/>
      <c r="M101" s="15">
        <f>SUM(M99:M100)</f>
        <v>0</v>
      </c>
      <c r="N101" s="289">
        <v>0</v>
      </c>
      <c r="O101" s="289">
        <f>M101+N101</f>
        <v>0</v>
      </c>
      <c r="P101" s="286">
        <f>SUM(P99:P100)</f>
        <v>100</v>
      </c>
      <c r="Q101" s="451">
        <v>0</v>
      </c>
      <c r="R101" s="463">
        <f>SUM(R99:R100)</f>
        <v>100</v>
      </c>
      <c r="S101" s="463">
        <f t="shared" si="11"/>
        <v>100</v>
      </c>
      <c r="T101" s="23">
        <f>SUM(T99:T100)</f>
        <v>100</v>
      </c>
      <c r="U101" s="589">
        <f>SUM(T101/S101)*100</f>
        <v>100</v>
      </c>
      <c r="V101" s="289">
        <f>SUM(V99:V100)</f>
        <v>0</v>
      </c>
      <c r="W101" s="289">
        <f t="shared" si="9"/>
        <v>100</v>
      </c>
      <c r="X101" s="289">
        <f>SUM(X99:X100)</f>
        <v>100</v>
      </c>
      <c r="Y101" s="289">
        <f>SUM(X101/W101)*100</f>
        <v>100</v>
      </c>
      <c r="Z101" s="289">
        <f>SUM(Z99:Z100)</f>
        <v>0</v>
      </c>
      <c r="AA101" s="289">
        <f t="shared" si="10"/>
        <v>100</v>
      </c>
    </row>
    <row r="102" spans="1:27" ht="15.75">
      <c r="A102" s="13" t="s">
        <v>169</v>
      </c>
      <c r="B102" s="13"/>
      <c r="C102" s="13"/>
      <c r="D102" s="13"/>
      <c r="E102" s="13"/>
      <c r="F102" s="14"/>
      <c r="G102" s="24"/>
      <c r="H102" s="204" t="s">
        <v>886</v>
      </c>
      <c r="I102" s="14"/>
      <c r="J102" s="14"/>
      <c r="K102" s="14"/>
      <c r="L102" s="14"/>
      <c r="M102" s="15">
        <f>SUM(M93+M97+M101)</f>
        <v>0</v>
      </c>
      <c r="N102" s="289">
        <v>0</v>
      </c>
      <c r="O102" s="289">
        <f>M102+N102</f>
        <v>0</v>
      </c>
      <c r="P102" s="289">
        <f>P93+P97+P101</f>
        <v>178</v>
      </c>
      <c r="Q102" s="451">
        <v>0</v>
      </c>
      <c r="R102" s="463">
        <f>R93+R97+R101</f>
        <v>830</v>
      </c>
      <c r="S102" s="463">
        <f t="shared" si="11"/>
        <v>830</v>
      </c>
      <c r="T102" s="289">
        <f>T93+T97+T101</f>
        <v>5053</v>
      </c>
      <c r="U102" s="589">
        <f>SUM(T102/S102)*100</f>
        <v>608.79518072289159</v>
      </c>
      <c r="V102" s="289">
        <f>V93+V97+V101</f>
        <v>197</v>
      </c>
      <c r="W102" s="289">
        <f t="shared" si="9"/>
        <v>1027</v>
      </c>
      <c r="X102" s="289">
        <f>X93+X97+X101</f>
        <v>5648</v>
      </c>
      <c r="Y102" s="289">
        <f>SUM(X102/W102)*100</f>
        <v>549.9513145082766</v>
      </c>
      <c r="Z102" s="289">
        <f>Z93+Z97+Z101</f>
        <v>1412</v>
      </c>
      <c r="AA102" s="289">
        <f t="shared" si="10"/>
        <v>2439</v>
      </c>
    </row>
    <row r="103" spans="1:27">
      <c r="A103" s="1" t="s">
        <v>194</v>
      </c>
      <c r="G103" s="2" t="s">
        <v>473</v>
      </c>
      <c r="O103" s="20"/>
      <c r="Q103" s="20"/>
      <c r="S103" s="21"/>
      <c r="U103" s="582"/>
      <c r="W103" s="396"/>
      <c r="X103" s="20"/>
      <c r="Y103" s="20">
        <v>0</v>
      </c>
      <c r="AA103" s="20"/>
    </row>
    <row r="104" spans="1:27">
      <c r="C104" s="1" t="s">
        <v>119</v>
      </c>
      <c r="I104" s="2" t="s">
        <v>120</v>
      </c>
      <c r="O104" s="20"/>
      <c r="Q104" s="20"/>
      <c r="S104" s="21"/>
      <c r="U104" s="582"/>
      <c r="W104" s="396"/>
      <c r="X104" s="20"/>
      <c r="Y104" s="20">
        <v>0</v>
      </c>
      <c r="AA104" s="20"/>
    </row>
    <row r="105" spans="1:27">
      <c r="D105" s="1" t="s">
        <v>117</v>
      </c>
      <c r="J105" s="2" t="s">
        <v>189</v>
      </c>
      <c r="M105" s="3">
        <v>5500</v>
      </c>
      <c r="N105" s="124">
        <v>0</v>
      </c>
      <c r="O105" s="124">
        <f>M105+N105</f>
        <v>5500</v>
      </c>
      <c r="P105" s="124">
        <v>391</v>
      </c>
      <c r="Q105" s="124">
        <f>SUM(P105/O105)*100</f>
        <v>7.1090909090909093</v>
      </c>
      <c r="R105" s="556">
        <v>0</v>
      </c>
      <c r="S105" s="21">
        <f t="shared" si="11"/>
        <v>5500</v>
      </c>
      <c r="T105" s="3">
        <v>2233</v>
      </c>
      <c r="U105" s="583">
        <f>SUM(T105/S105)*100</f>
        <v>40.6</v>
      </c>
      <c r="V105" s="98">
        <v>0</v>
      </c>
      <c r="W105" s="396">
        <f t="shared" si="9"/>
        <v>5500</v>
      </c>
      <c r="X105" s="20">
        <v>3590</v>
      </c>
      <c r="Y105" s="20">
        <f>SUM(X105/W105)*100</f>
        <v>65.272727272727266</v>
      </c>
      <c r="Z105" s="3">
        <v>0</v>
      </c>
      <c r="AA105" s="20">
        <f t="shared" si="10"/>
        <v>5500</v>
      </c>
    </row>
    <row r="106" spans="1:27" s="16" customFormat="1" ht="15.75">
      <c r="A106" s="13"/>
      <c r="B106" s="13"/>
      <c r="C106" s="13" t="s">
        <v>119</v>
      </c>
      <c r="D106" s="13"/>
      <c r="E106" s="13"/>
      <c r="F106" s="14"/>
      <c r="G106" s="14"/>
      <c r="H106" s="14"/>
      <c r="I106" s="14" t="s">
        <v>487</v>
      </c>
      <c r="J106" s="14"/>
      <c r="K106" s="14"/>
      <c r="L106" s="14"/>
      <c r="M106" s="15">
        <f>SUM(M105)</f>
        <v>5500</v>
      </c>
      <c r="N106" s="289">
        <v>0</v>
      </c>
      <c r="O106" s="289">
        <f>M106+N106</f>
        <v>5500</v>
      </c>
      <c r="P106" s="286">
        <f>SUM(P105)</f>
        <v>391</v>
      </c>
      <c r="Q106" s="124">
        <f>SUM(P106/O106)*100</f>
        <v>7.1090909090909093</v>
      </c>
      <c r="R106" s="463">
        <v>0</v>
      </c>
      <c r="S106" s="463">
        <f t="shared" si="11"/>
        <v>5500</v>
      </c>
      <c r="T106" s="286">
        <f>SUM(T105)</f>
        <v>2233</v>
      </c>
      <c r="U106" s="589">
        <f>SUM(T106/S106)*100</f>
        <v>40.6</v>
      </c>
      <c r="V106" s="289">
        <f>SUM(V105)</f>
        <v>0</v>
      </c>
      <c r="W106" s="289">
        <f t="shared" si="9"/>
        <v>5500</v>
      </c>
      <c r="X106" s="289">
        <f>SUM(X105)</f>
        <v>3590</v>
      </c>
      <c r="Y106" s="289">
        <f>SUM(X106/W106)*100</f>
        <v>65.272727272727266</v>
      </c>
      <c r="Z106" s="289">
        <f>SUM(Z105)</f>
        <v>0</v>
      </c>
      <c r="AA106" s="289">
        <f t="shared" si="10"/>
        <v>5500</v>
      </c>
    </row>
    <row r="107" spans="1:27" ht="15.75">
      <c r="A107" s="17"/>
      <c r="B107" s="17"/>
      <c r="C107" s="17" t="s">
        <v>172</v>
      </c>
      <c r="D107" s="4"/>
      <c r="E107" s="26"/>
      <c r="F107" s="26"/>
      <c r="G107" s="26"/>
      <c r="H107" s="26"/>
      <c r="I107" s="19" t="s">
        <v>173</v>
      </c>
      <c r="J107" s="26"/>
      <c r="K107" s="26"/>
      <c r="L107" s="26"/>
      <c r="O107" s="20"/>
      <c r="Q107" s="20"/>
      <c r="S107" s="21"/>
      <c r="U107" s="582"/>
      <c r="W107" s="396"/>
      <c r="X107" s="20"/>
      <c r="Y107" s="20"/>
      <c r="AA107" s="20"/>
    </row>
    <row r="108" spans="1:27" ht="15.75">
      <c r="A108" s="17"/>
      <c r="B108" s="17"/>
      <c r="C108" s="4"/>
      <c r="D108" s="17" t="s">
        <v>117</v>
      </c>
      <c r="E108" s="19"/>
      <c r="F108" s="19"/>
      <c r="G108" s="19"/>
      <c r="H108" s="19"/>
      <c r="I108" s="19"/>
      <c r="J108" s="19" t="s">
        <v>174</v>
      </c>
      <c r="K108" s="19"/>
      <c r="L108" s="19"/>
      <c r="M108" s="3">
        <v>0</v>
      </c>
      <c r="N108" s="3">
        <v>0</v>
      </c>
      <c r="O108" s="20">
        <f>M108+N108</f>
        <v>0</v>
      </c>
      <c r="P108" s="98">
        <v>3469</v>
      </c>
      <c r="Q108" s="20">
        <v>0</v>
      </c>
      <c r="R108" s="556">
        <v>6548</v>
      </c>
      <c r="S108" s="21">
        <f t="shared" si="11"/>
        <v>6548</v>
      </c>
      <c r="T108" s="20">
        <v>8938</v>
      </c>
      <c r="U108" s="582">
        <f>SUM(T108/S108)*100</f>
        <v>136.4996945632254</v>
      </c>
      <c r="V108" s="98">
        <v>15888</v>
      </c>
      <c r="W108" s="396">
        <f t="shared" si="9"/>
        <v>22436</v>
      </c>
      <c r="X108" s="20">
        <v>19906</v>
      </c>
      <c r="Y108" s="20">
        <f>SUM(X108/W108)*100</f>
        <v>88.723480121233735</v>
      </c>
      <c r="Z108" s="3">
        <v>1350</v>
      </c>
      <c r="AA108" s="20">
        <f t="shared" si="10"/>
        <v>23786</v>
      </c>
    </row>
    <row r="109" spans="1:27" ht="15.75">
      <c r="A109" s="17"/>
      <c r="B109" s="17"/>
      <c r="C109" s="4"/>
      <c r="D109" s="17" t="s">
        <v>122</v>
      </c>
      <c r="E109" s="19"/>
      <c r="F109" s="19"/>
      <c r="G109" s="19"/>
      <c r="H109" s="19"/>
      <c r="I109" s="19"/>
      <c r="J109" s="27" t="s">
        <v>175</v>
      </c>
      <c r="K109" s="16"/>
      <c r="L109" s="19"/>
      <c r="M109" s="3">
        <v>0</v>
      </c>
      <c r="N109" s="124">
        <v>0</v>
      </c>
      <c r="O109" s="124">
        <f>M109+N109</f>
        <v>0</v>
      </c>
      <c r="P109" s="290">
        <v>0</v>
      </c>
      <c r="Q109" s="124">
        <v>0</v>
      </c>
      <c r="R109" s="556">
        <v>0</v>
      </c>
      <c r="S109" s="21">
        <f t="shared" si="11"/>
        <v>0</v>
      </c>
      <c r="T109" s="124">
        <v>0</v>
      </c>
      <c r="U109" s="583">
        <v>0</v>
      </c>
      <c r="V109" s="98">
        <v>0</v>
      </c>
      <c r="W109" s="396">
        <f t="shared" si="9"/>
        <v>0</v>
      </c>
      <c r="X109" s="20">
        <v>0</v>
      </c>
      <c r="Y109" s="20">
        <v>0</v>
      </c>
      <c r="Z109" s="3">
        <v>0</v>
      </c>
      <c r="AA109" s="20">
        <f t="shared" si="10"/>
        <v>0</v>
      </c>
    </row>
    <row r="110" spans="1:27" s="16" customFormat="1" ht="15.75">
      <c r="A110" s="13"/>
      <c r="B110" s="13"/>
      <c r="C110" s="13" t="s">
        <v>172</v>
      </c>
      <c r="D110" s="13"/>
      <c r="E110" s="14"/>
      <c r="F110" s="14"/>
      <c r="G110" s="14"/>
      <c r="H110" s="14"/>
      <c r="I110" s="14" t="s">
        <v>176</v>
      </c>
      <c r="J110" s="14"/>
      <c r="K110" s="14"/>
      <c r="L110" s="14"/>
      <c r="M110" s="15">
        <f>SUM(M108:M109)</f>
        <v>0</v>
      </c>
      <c r="N110" s="289">
        <v>0</v>
      </c>
      <c r="O110" s="289">
        <f>M110+N110</f>
        <v>0</v>
      </c>
      <c r="P110" s="289">
        <f>SUM(P108:P109)</f>
        <v>3469</v>
      </c>
      <c r="Q110" s="451">
        <v>0</v>
      </c>
      <c r="R110" s="463">
        <f>SUM(R108:R109)</f>
        <v>6548</v>
      </c>
      <c r="S110" s="463">
        <f t="shared" si="11"/>
        <v>6548</v>
      </c>
      <c r="T110" s="286">
        <f>SUM(T108:T109)</f>
        <v>8938</v>
      </c>
      <c r="U110" s="589">
        <f>SUM(T110/S110)*100</f>
        <v>136.4996945632254</v>
      </c>
      <c r="V110" s="289">
        <f>SUM(V108:V109)</f>
        <v>15888</v>
      </c>
      <c r="W110" s="289">
        <f t="shared" si="9"/>
        <v>22436</v>
      </c>
      <c r="X110" s="289">
        <f>SUM(X108:X109)</f>
        <v>19906</v>
      </c>
      <c r="Y110" s="289">
        <f>SUM(X110/W110)*100</f>
        <v>88.723480121233735</v>
      </c>
      <c r="Z110" s="289">
        <f>SUM(Z108:Z109)</f>
        <v>1350</v>
      </c>
      <c r="AA110" s="289">
        <f t="shared" si="10"/>
        <v>23786</v>
      </c>
    </row>
    <row r="111" spans="1:27">
      <c r="C111" s="1" t="s">
        <v>177</v>
      </c>
      <c r="I111" s="2" t="s">
        <v>178</v>
      </c>
      <c r="N111" s="3">
        <v>0</v>
      </c>
      <c r="O111" s="20"/>
      <c r="Q111" s="20"/>
      <c r="S111" s="21"/>
      <c r="U111" s="582"/>
      <c r="W111" s="396"/>
      <c r="X111" s="20"/>
      <c r="Y111" s="20"/>
      <c r="AA111" s="20"/>
    </row>
    <row r="112" spans="1:27">
      <c r="D112" s="1" t="s">
        <v>117</v>
      </c>
      <c r="J112" s="2" t="s">
        <v>191</v>
      </c>
      <c r="M112" s="3">
        <v>0</v>
      </c>
      <c r="N112" s="3">
        <v>0</v>
      </c>
      <c r="O112" s="20">
        <f>M112+N112</f>
        <v>0</v>
      </c>
      <c r="P112" s="3">
        <v>0</v>
      </c>
      <c r="Q112" s="20">
        <v>0</v>
      </c>
      <c r="R112" s="556">
        <v>0</v>
      </c>
      <c r="S112" s="21">
        <f t="shared" si="11"/>
        <v>0</v>
      </c>
      <c r="T112" s="20">
        <v>0</v>
      </c>
      <c r="U112" s="582">
        <v>0</v>
      </c>
      <c r="V112" s="98">
        <v>0</v>
      </c>
      <c r="W112" s="396">
        <f t="shared" si="9"/>
        <v>0</v>
      </c>
      <c r="X112" s="20">
        <v>0</v>
      </c>
      <c r="Y112" s="20">
        <v>0</v>
      </c>
      <c r="Z112" s="3">
        <v>0</v>
      </c>
      <c r="AA112" s="20">
        <f t="shared" si="10"/>
        <v>0</v>
      </c>
    </row>
    <row r="113" spans="1:27">
      <c r="D113" s="1" t="s">
        <v>122</v>
      </c>
      <c r="J113" s="2" t="s">
        <v>192</v>
      </c>
      <c r="M113" s="3">
        <v>0</v>
      </c>
      <c r="N113" s="124">
        <v>0</v>
      </c>
      <c r="O113" s="124">
        <f>M113+N113</f>
        <v>0</v>
      </c>
      <c r="P113" s="124">
        <v>0</v>
      </c>
      <c r="Q113" s="124">
        <v>0</v>
      </c>
      <c r="R113" s="556">
        <v>0</v>
      </c>
      <c r="S113" s="21">
        <f t="shared" si="11"/>
        <v>0</v>
      </c>
      <c r="T113" s="124">
        <v>0</v>
      </c>
      <c r="U113" s="583">
        <v>0</v>
      </c>
      <c r="V113" s="98">
        <v>0</v>
      </c>
      <c r="W113" s="396">
        <f t="shared" si="9"/>
        <v>0</v>
      </c>
      <c r="X113" s="20">
        <v>0</v>
      </c>
      <c r="Y113" s="20">
        <v>0</v>
      </c>
      <c r="Z113" s="3">
        <v>0</v>
      </c>
      <c r="AA113" s="20">
        <f t="shared" si="10"/>
        <v>0</v>
      </c>
    </row>
    <row r="114" spans="1:27" s="16" customFormat="1" ht="15.75">
      <c r="A114" s="13"/>
      <c r="B114" s="13"/>
      <c r="C114" s="13" t="s">
        <v>177</v>
      </c>
      <c r="D114" s="13"/>
      <c r="E114" s="13"/>
      <c r="F114" s="14"/>
      <c r="G114" s="14"/>
      <c r="H114" s="14"/>
      <c r="I114" s="14" t="s">
        <v>488</v>
      </c>
      <c r="J114" s="14"/>
      <c r="K114" s="14"/>
      <c r="L114" s="14"/>
      <c r="M114" s="15">
        <f>SUM(M112:M113)</f>
        <v>0</v>
      </c>
      <c r="N114" s="289">
        <v>0</v>
      </c>
      <c r="O114" s="289">
        <f>M114+N114</f>
        <v>0</v>
      </c>
      <c r="P114" s="286">
        <f>SUM(P112:P113)</f>
        <v>0</v>
      </c>
      <c r="Q114" s="451">
        <v>0</v>
      </c>
      <c r="R114" s="464">
        <v>0</v>
      </c>
      <c r="S114" s="463">
        <f t="shared" si="11"/>
        <v>0</v>
      </c>
      <c r="T114" s="606">
        <v>0</v>
      </c>
      <c r="U114" s="589">
        <v>0</v>
      </c>
      <c r="V114" s="289">
        <f>SUM(V112:V113)</f>
        <v>0</v>
      </c>
      <c r="W114" s="289">
        <f t="shared" si="9"/>
        <v>0</v>
      </c>
      <c r="X114" s="289">
        <f>SUM(X112:X113)</f>
        <v>0</v>
      </c>
      <c r="Y114" s="289">
        <v>0</v>
      </c>
      <c r="Z114" s="289">
        <f>SUM(Z112:Z113)</f>
        <v>0</v>
      </c>
      <c r="AA114" s="289">
        <f t="shared" si="10"/>
        <v>0</v>
      </c>
    </row>
    <row r="115" spans="1:27" s="16" customFormat="1" ht="15.75">
      <c r="A115" s="14" t="s">
        <v>194</v>
      </c>
      <c r="B115" s="13"/>
      <c r="C115" s="13"/>
      <c r="D115" s="13"/>
      <c r="E115" s="13"/>
      <c r="F115" s="14"/>
      <c r="G115" s="14"/>
      <c r="H115" s="14" t="s">
        <v>474</v>
      </c>
      <c r="I115" s="14"/>
      <c r="J115" s="14"/>
      <c r="K115" s="14"/>
      <c r="L115" s="14"/>
      <c r="M115" s="15">
        <f>SUM(M106+M110+M114)</f>
        <v>5500</v>
      </c>
      <c r="N115" s="289">
        <v>0</v>
      </c>
      <c r="O115" s="289">
        <f>M115+N115</f>
        <v>5500</v>
      </c>
      <c r="P115" s="286">
        <f>P106+P110+P114</f>
        <v>3860</v>
      </c>
      <c r="Q115" s="451">
        <f>SUM(P115/O115)*100</f>
        <v>70.181818181818173</v>
      </c>
      <c r="R115" s="463">
        <f>R106+R110+R114</f>
        <v>6548</v>
      </c>
      <c r="S115" s="463">
        <f t="shared" si="11"/>
        <v>12048</v>
      </c>
      <c r="T115" s="286">
        <f>T106+T110+T114</f>
        <v>11171</v>
      </c>
      <c r="U115" s="589">
        <f>SUM(T115/S115)*100</f>
        <v>92.720783532536515</v>
      </c>
      <c r="V115" s="289">
        <f>V106+V110+V114</f>
        <v>15888</v>
      </c>
      <c r="W115" s="289">
        <f t="shared" si="9"/>
        <v>27936</v>
      </c>
      <c r="X115" s="289">
        <f>X106+X110+X114</f>
        <v>23496</v>
      </c>
      <c r="Y115" s="289">
        <f>SUM(X115/W115)*100</f>
        <v>84.106529209621996</v>
      </c>
      <c r="Z115" s="289">
        <f>Z106+Z110+Z114</f>
        <v>1350</v>
      </c>
      <c r="AA115" s="289">
        <f t="shared" si="10"/>
        <v>29286</v>
      </c>
    </row>
    <row r="116" spans="1:27" s="16" customFormat="1" ht="15.75">
      <c r="A116" s="4"/>
      <c r="B116" s="4"/>
      <c r="C116" s="4"/>
      <c r="D116" s="5"/>
      <c r="E116" s="5"/>
      <c r="H116" s="26"/>
      <c r="J116" s="26"/>
      <c r="K116" s="4" t="s">
        <v>195</v>
      </c>
      <c r="M116" s="23"/>
      <c r="N116" s="23"/>
      <c r="O116" s="20"/>
      <c r="P116" s="23"/>
      <c r="Q116" s="20"/>
      <c r="R116" s="559"/>
      <c r="S116" s="21"/>
      <c r="T116" s="23"/>
      <c r="U116" s="582"/>
      <c r="V116" s="98"/>
      <c r="W116" s="396"/>
      <c r="X116" s="586"/>
      <c r="Y116" s="20"/>
      <c r="Z116" s="23"/>
      <c r="AA116" s="20"/>
    </row>
    <row r="117" spans="1:27" s="16" customFormat="1" ht="15.75">
      <c r="A117" s="1"/>
      <c r="B117" s="1"/>
      <c r="C117" s="1" t="s">
        <v>119</v>
      </c>
      <c r="D117" s="1"/>
      <c r="E117" s="1"/>
      <c r="F117" s="2"/>
      <c r="G117" s="2"/>
      <c r="H117" s="2"/>
      <c r="I117" s="2" t="s">
        <v>196</v>
      </c>
      <c r="J117" s="2"/>
      <c r="K117" s="2"/>
      <c r="L117" s="2"/>
      <c r="M117" s="23"/>
      <c r="N117" s="23"/>
      <c r="O117" s="20"/>
      <c r="P117" s="23"/>
      <c r="Q117" s="20"/>
      <c r="R117" s="559"/>
      <c r="S117" s="21"/>
      <c r="T117" s="586"/>
      <c r="U117" s="582"/>
      <c r="V117" s="98"/>
      <c r="W117" s="396"/>
      <c r="X117" s="586"/>
      <c r="Y117" s="20"/>
      <c r="Z117" s="23"/>
      <c r="AA117" s="20"/>
    </row>
    <row r="118" spans="1:27" s="16" customFormat="1" ht="15.75">
      <c r="A118" s="1"/>
      <c r="B118" s="1"/>
      <c r="C118" s="1"/>
      <c r="D118" s="1" t="s">
        <v>117</v>
      </c>
      <c r="E118" s="1"/>
      <c r="F118" s="2"/>
      <c r="G118" s="2"/>
      <c r="H118" s="2"/>
      <c r="I118" s="2"/>
      <c r="J118" s="2" t="s">
        <v>189</v>
      </c>
      <c r="K118" s="2"/>
      <c r="L118" s="2"/>
      <c r="M118" s="3">
        <f>SUM(M13+M80+M93+M106)</f>
        <v>156322</v>
      </c>
      <c r="N118" s="98">
        <v>0</v>
      </c>
      <c r="O118" s="20">
        <f>M118+N118</f>
        <v>156322</v>
      </c>
      <c r="P118" s="98">
        <f>P12+P79+P92+P105</f>
        <v>70443</v>
      </c>
      <c r="Q118" s="20">
        <f>SUM(P118/O118)*100</f>
        <v>45.062755082458004</v>
      </c>
      <c r="R118" s="560">
        <f>R13+R80+R93+R106</f>
        <v>73895</v>
      </c>
      <c r="S118" s="21">
        <f t="shared" si="11"/>
        <v>230217</v>
      </c>
      <c r="T118" s="396">
        <f>T12+T79+T92+T105</f>
        <v>217590</v>
      </c>
      <c r="U118" s="582">
        <f>SUM(T118/S118)*100</f>
        <v>94.515174813328301</v>
      </c>
      <c r="V118" s="98">
        <f>V13+V79+V92+V105</f>
        <v>174567</v>
      </c>
      <c r="W118" s="396">
        <f t="shared" si="9"/>
        <v>404784</v>
      </c>
      <c r="X118" s="396">
        <f>X13+X80+X93+X106</f>
        <v>488153</v>
      </c>
      <c r="Y118" s="20">
        <f>SUM(X118/W118)*100</f>
        <v>120.59592276374561</v>
      </c>
      <c r="Z118" s="98">
        <f>Z13+Z79+Z92+Z105</f>
        <v>385902</v>
      </c>
      <c r="AA118" s="20">
        <f t="shared" si="10"/>
        <v>790686</v>
      </c>
    </row>
    <row r="119" spans="1:27" s="16" customFormat="1" ht="15.75">
      <c r="A119" s="1"/>
      <c r="B119" s="1"/>
      <c r="C119" s="1"/>
      <c r="D119" s="1" t="s">
        <v>122</v>
      </c>
      <c r="E119" s="1"/>
      <c r="F119" s="2"/>
      <c r="G119" s="2"/>
      <c r="H119" s="2"/>
      <c r="I119" s="2"/>
      <c r="J119" s="2" t="s">
        <v>197</v>
      </c>
      <c r="K119" s="2"/>
      <c r="L119" s="2"/>
      <c r="M119" s="3">
        <f>SUM(M30)</f>
        <v>685000</v>
      </c>
      <c r="N119" s="290">
        <v>0</v>
      </c>
      <c r="O119" s="124">
        <f>M119+N119</f>
        <v>685000</v>
      </c>
      <c r="P119" s="290">
        <f>P30</f>
        <v>255790</v>
      </c>
      <c r="Q119" s="124">
        <f>SUM(P119/O119)*100</f>
        <v>37.341605839416061</v>
      </c>
      <c r="R119" s="560">
        <f>R30</f>
        <v>0</v>
      </c>
      <c r="S119" s="21">
        <f t="shared" si="11"/>
        <v>685000</v>
      </c>
      <c r="T119" s="290">
        <f>T30</f>
        <v>390099</v>
      </c>
      <c r="U119" s="583">
        <f>SUM(T119/S119)*100</f>
        <v>56.948759124087587</v>
      </c>
      <c r="V119" s="98">
        <f>V30</f>
        <v>190</v>
      </c>
      <c r="W119" s="396">
        <f t="shared" si="9"/>
        <v>685190</v>
      </c>
      <c r="X119" s="396">
        <f>X30</f>
        <v>676427</v>
      </c>
      <c r="Y119" s="20">
        <f>SUM(X119/W119)*100</f>
        <v>98.721084662648323</v>
      </c>
      <c r="Z119" s="98">
        <f>Z30</f>
        <v>5109</v>
      </c>
      <c r="AA119" s="20">
        <f t="shared" si="10"/>
        <v>690299</v>
      </c>
    </row>
    <row r="120" spans="1:27">
      <c r="A120" s="28"/>
      <c r="B120" s="28"/>
      <c r="C120" s="28" t="s">
        <v>119</v>
      </c>
      <c r="D120" s="28"/>
      <c r="E120" s="28"/>
      <c r="F120" s="24"/>
      <c r="G120" s="24"/>
      <c r="H120" s="24"/>
      <c r="I120" s="24" t="s">
        <v>148</v>
      </c>
      <c r="J120" s="24"/>
      <c r="K120" s="24"/>
      <c r="L120" s="24"/>
      <c r="M120" s="33">
        <f>SUM(M118:M119)</f>
        <v>841322</v>
      </c>
      <c r="N120" s="287">
        <v>0</v>
      </c>
      <c r="O120" s="287">
        <f>M120+N120</f>
        <v>841322</v>
      </c>
      <c r="P120" s="288">
        <f>SUM(P118:P119)</f>
        <v>326233</v>
      </c>
      <c r="Q120" s="124">
        <f>SUM(P120/O120)*100</f>
        <v>38.776235496040755</v>
      </c>
      <c r="R120" s="561">
        <f>SUM(R118:R119)</f>
        <v>73895</v>
      </c>
      <c r="S120" s="561">
        <f t="shared" si="11"/>
        <v>915217</v>
      </c>
      <c r="T120" s="3">
        <f>SUM(T118:T119)</f>
        <v>607689</v>
      </c>
      <c r="U120" s="583">
        <f>SUM(T120/S120)*100</f>
        <v>66.398351429223894</v>
      </c>
      <c r="V120" s="288">
        <f>SUM(V118:V119)</f>
        <v>174757</v>
      </c>
      <c r="W120" s="288">
        <f t="shared" si="9"/>
        <v>1089974</v>
      </c>
      <c r="X120" s="288">
        <f>SUM(X118:X119)</f>
        <v>1164580</v>
      </c>
      <c r="Y120" s="287">
        <f>SUM(X120/W120)*100</f>
        <v>106.84475042523951</v>
      </c>
      <c r="Z120" s="288">
        <f>SUM(Z118:Z119)</f>
        <v>391011</v>
      </c>
      <c r="AA120" s="287">
        <f t="shared" si="10"/>
        <v>1480985</v>
      </c>
    </row>
    <row r="121" spans="1:27" s="16" customFormat="1" ht="15.75">
      <c r="A121" s="1"/>
      <c r="B121" s="1"/>
      <c r="C121" s="1" t="s">
        <v>149</v>
      </c>
      <c r="D121" s="1"/>
      <c r="E121" s="1"/>
      <c r="F121" s="2" t="s">
        <v>155</v>
      </c>
      <c r="G121" s="2"/>
      <c r="H121" s="2"/>
      <c r="I121" s="2" t="s">
        <v>164</v>
      </c>
      <c r="J121" s="2"/>
      <c r="K121" s="2"/>
      <c r="L121" s="2"/>
      <c r="M121" s="3">
        <f>SUM(M57)</f>
        <v>315067</v>
      </c>
      <c r="N121" s="98">
        <v>105527</v>
      </c>
      <c r="O121" s="20">
        <f>M121+N121</f>
        <v>420594</v>
      </c>
      <c r="P121" s="98">
        <f>P57</f>
        <v>160935</v>
      </c>
      <c r="Q121" s="20">
        <f>SUM(P121/O121)*100</f>
        <v>38.263741280189443</v>
      </c>
      <c r="R121" s="560">
        <f>R57</f>
        <v>47930</v>
      </c>
      <c r="S121" s="21">
        <f t="shared" si="11"/>
        <v>468524</v>
      </c>
      <c r="T121" s="607">
        <f>T57</f>
        <v>373112</v>
      </c>
      <c r="U121" s="582">
        <f>SUM(T121/S121)*100</f>
        <v>79.635621654386966</v>
      </c>
      <c r="V121" s="98">
        <f>V57</f>
        <v>147976</v>
      </c>
      <c r="W121" s="396">
        <f t="shared" si="9"/>
        <v>616500</v>
      </c>
      <c r="X121" s="396">
        <f>X57</f>
        <v>533611</v>
      </c>
      <c r="Y121" s="20">
        <f>SUM(X121/W121)*100</f>
        <v>86.554906731549067</v>
      </c>
      <c r="Z121" s="98">
        <f>Z57</f>
        <v>24913</v>
      </c>
      <c r="AA121" s="20">
        <f t="shared" si="10"/>
        <v>641413</v>
      </c>
    </row>
    <row r="122" spans="1:27" s="16" customFormat="1" ht="15.75">
      <c r="A122" s="1"/>
      <c r="B122" s="1"/>
      <c r="C122" s="1" t="s">
        <v>165</v>
      </c>
      <c r="D122" s="1"/>
      <c r="E122" s="1"/>
      <c r="F122" s="2"/>
      <c r="G122" s="2"/>
      <c r="H122" s="2"/>
      <c r="I122" s="2" t="s">
        <v>171</v>
      </c>
      <c r="J122" s="2"/>
      <c r="K122" s="2"/>
      <c r="L122" s="2"/>
      <c r="M122" s="3">
        <f>SUM(M62)</f>
        <v>87530</v>
      </c>
      <c r="N122" s="98">
        <v>0</v>
      </c>
      <c r="O122" s="20">
        <f>M122+N122</f>
        <v>87530</v>
      </c>
      <c r="P122" s="98">
        <f>P62</f>
        <v>10225</v>
      </c>
      <c r="Q122" s="20">
        <f>SUM(P122/O122)*100</f>
        <v>11.681709128298868</v>
      </c>
      <c r="R122" s="560">
        <f>R62</f>
        <v>-30969</v>
      </c>
      <c r="S122" s="21">
        <f t="shared" si="11"/>
        <v>56561</v>
      </c>
      <c r="T122" s="396">
        <f>T62</f>
        <v>1800</v>
      </c>
      <c r="U122" s="582">
        <f>SUM(T122/S122)*100</f>
        <v>3.1824048372553522</v>
      </c>
      <c r="V122" s="98">
        <f>V62</f>
        <v>235</v>
      </c>
      <c r="W122" s="396">
        <f t="shared" si="9"/>
        <v>56796</v>
      </c>
      <c r="X122" s="396">
        <f>X62</f>
        <v>15345</v>
      </c>
      <c r="Y122" s="20">
        <f>SUM(X122/W122)*100</f>
        <v>27.017747728713289</v>
      </c>
      <c r="Z122" s="98">
        <f>Z62</f>
        <v>0</v>
      </c>
      <c r="AA122" s="20">
        <f t="shared" si="10"/>
        <v>56796</v>
      </c>
    </row>
    <row r="123" spans="1:27" s="16" customFormat="1" ht="15.75">
      <c r="A123" s="1"/>
      <c r="B123" s="1"/>
      <c r="C123" s="1" t="s">
        <v>172</v>
      </c>
      <c r="D123" s="1"/>
      <c r="E123" s="1"/>
      <c r="F123" s="2"/>
      <c r="G123" s="2"/>
      <c r="H123" s="2"/>
      <c r="I123" s="2" t="s">
        <v>198</v>
      </c>
      <c r="J123" s="2"/>
      <c r="K123" s="2"/>
      <c r="L123" s="2"/>
      <c r="M123" s="23"/>
      <c r="N123" s="98"/>
      <c r="O123" s="20"/>
      <c r="P123" s="98"/>
      <c r="Q123" s="20"/>
      <c r="R123" s="559"/>
      <c r="S123" s="21"/>
      <c r="T123" s="396"/>
      <c r="U123" s="582"/>
      <c r="V123" s="98"/>
      <c r="W123" s="396"/>
      <c r="X123" s="396"/>
      <c r="Y123" s="20"/>
      <c r="Z123" s="23"/>
      <c r="AA123" s="20"/>
    </row>
    <row r="124" spans="1:27" s="16" customFormat="1" ht="15.75">
      <c r="A124" s="1"/>
      <c r="B124" s="1"/>
      <c r="C124" s="1"/>
      <c r="D124" s="1" t="s">
        <v>117</v>
      </c>
      <c r="E124" s="1"/>
      <c r="F124" s="2"/>
      <c r="G124" s="2"/>
      <c r="H124" s="2"/>
      <c r="I124" s="2"/>
      <c r="J124" s="19" t="s">
        <v>174</v>
      </c>
      <c r="K124" s="2"/>
      <c r="L124" s="2"/>
      <c r="M124" s="3">
        <f>SUM(M64+M82+M95+M108)</f>
        <v>10618</v>
      </c>
      <c r="N124" s="98">
        <v>406</v>
      </c>
      <c r="O124" s="20">
        <f>M124+N124</f>
        <v>11024</v>
      </c>
      <c r="P124" s="98">
        <f>P64+P82+P95+P108</f>
        <v>128261</v>
      </c>
      <c r="Q124" s="20">
        <f>SUM(P124/O124)*100</f>
        <v>1163.4706095791</v>
      </c>
      <c r="R124" s="560">
        <f>R64+R82+R95+R108</f>
        <v>402589</v>
      </c>
      <c r="S124" s="21">
        <f t="shared" si="11"/>
        <v>413613</v>
      </c>
      <c r="T124" s="396">
        <f>T64+T82+T95+T108</f>
        <v>252562</v>
      </c>
      <c r="U124" s="582">
        <f>SUM(T124/S124)*100</f>
        <v>61.062394073687244</v>
      </c>
      <c r="V124" s="98">
        <f>V64+V82+V95+V108</f>
        <v>32499</v>
      </c>
      <c r="W124" s="396">
        <f t="shared" si="9"/>
        <v>446112</v>
      </c>
      <c r="X124" s="396">
        <f>X64+X82+X95+X108</f>
        <v>351613</v>
      </c>
      <c r="Y124" s="20">
        <f>SUM(X124/W124)*100</f>
        <v>78.817202854888464</v>
      </c>
      <c r="Z124" s="98">
        <f>Z64+Z82+Z95+Z108</f>
        <v>32304</v>
      </c>
      <c r="AA124" s="20">
        <f t="shared" si="10"/>
        <v>478416</v>
      </c>
    </row>
    <row r="125" spans="1:27" s="16" customFormat="1" ht="15.75">
      <c r="A125" s="1"/>
      <c r="B125" s="1"/>
      <c r="C125" s="1"/>
      <c r="D125" s="1" t="s">
        <v>122</v>
      </c>
      <c r="E125" s="1"/>
      <c r="F125" s="2"/>
      <c r="G125" s="2"/>
      <c r="H125" s="2"/>
      <c r="I125" s="2"/>
      <c r="J125" s="27" t="s">
        <v>175</v>
      </c>
      <c r="K125" s="2"/>
      <c r="L125" s="2"/>
      <c r="M125" s="3">
        <f>SUM(M65+M83+M96+M109)</f>
        <v>0</v>
      </c>
      <c r="N125" s="290">
        <v>264409</v>
      </c>
      <c r="O125" s="124">
        <f>M125+N125</f>
        <v>264409</v>
      </c>
      <c r="P125" s="290">
        <f>P65+P83+P96+P109</f>
        <v>196697</v>
      </c>
      <c r="Q125" s="124">
        <f>SUM(P125/O125)*100</f>
        <v>74.391189407319729</v>
      </c>
      <c r="R125" s="560">
        <f>R65+R83+R96+R109</f>
        <v>1960162</v>
      </c>
      <c r="S125" s="21">
        <f t="shared" si="11"/>
        <v>2224571</v>
      </c>
      <c r="T125" s="290">
        <f>T65+T83+T96+T109</f>
        <v>492303</v>
      </c>
      <c r="U125" s="583">
        <f>SUM(T125/S125)*100</f>
        <v>22.130244438141105</v>
      </c>
      <c r="V125" s="98">
        <f>V83+V65+V96+V109</f>
        <v>41255</v>
      </c>
      <c r="W125" s="396">
        <f t="shared" si="9"/>
        <v>2265826</v>
      </c>
      <c r="X125" s="396">
        <f>X65+X83+X96+X109</f>
        <v>803537</v>
      </c>
      <c r="Y125" s="20">
        <f>SUM(X125/W125)*100</f>
        <v>35.463314482224142</v>
      </c>
      <c r="Z125" s="98">
        <f>Z65+Z87+Z96+Z109</f>
        <v>348864</v>
      </c>
      <c r="AA125" s="20">
        <f t="shared" si="10"/>
        <v>2614690</v>
      </c>
    </row>
    <row r="126" spans="1:27" s="16" customFormat="1" ht="15.75">
      <c r="A126" s="28"/>
      <c r="B126" s="28"/>
      <c r="C126" s="28" t="s">
        <v>172</v>
      </c>
      <c r="D126" s="28"/>
      <c r="E126" s="28"/>
      <c r="F126" s="24"/>
      <c r="G126" s="24"/>
      <c r="H126" s="24"/>
      <c r="I126" s="24" t="s">
        <v>199</v>
      </c>
      <c r="J126" s="24"/>
      <c r="K126" s="24"/>
      <c r="L126" s="24"/>
      <c r="M126" s="33">
        <f>SUM(M124:M125)</f>
        <v>10618</v>
      </c>
      <c r="N126" s="288">
        <f>SUM(N124:N125)</f>
        <v>264815</v>
      </c>
      <c r="O126" s="287">
        <f>M126+N126</f>
        <v>275433</v>
      </c>
      <c r="P126" s="288">
        <f>SUM(P124:P125)</f>
        <v>324958</v>
      </c>
      <c r="Q126" s="124">
        <f>SUM(P126/O126)*100</f>
        <v>117.98077935468881</v>
      </c>
      <c r="R126" s="562">
        <f>SUM(R124:R125)</f>
        <v>2362751</v>
      </c>
      <c r="S126" s="561">
        <f t="shared" si="11"/>
        <v>2638184</v>
      </c>
      <c r="T126" s="288">
        <f>SUM(T124:T125)</f>
        <v>744865</v>
      </c>
      <c r="U126" s="583">
        <f>SUM(T126/S126)*100</f>
        <v>28.234004906405314</v>
      </c>
      <c r="V126" s="288">
        <f>SUM(V124:V125)</f>
        <v>73754</v>
      </c>
      <c r="W126" s="288">
        <f t="shared" si="9"/>
        <v>2711938</v>
      </c>
      <c r="X126" s="288">
        <f>SUM(X124:X125)</f>
        <v>1155150</v>
      </c>
      <c r="Y126" s="287">
        <f>SUM(X126/W126)*100</f>
        <v>42.595000328178592</v>
      </c>
      <c r="Z126" s="288">
        <f>SUM(Z124:Z125)</f>
        <v>381168</v>
      </c>
      <c r="AA126" s="287">
        <f t="shared" si="10"/>
        <v>3093106</v>
      </c>
    </row>
    <row r="127" spans="1:27" s="16" customFormat="1" ht="15.75">
      <c r="A127" s="17"/>
      <c r="B127" s="17"/>
      <c r="C127" s="17" t="s">
        <v>177</v>
      </c>
      <c r="D127" s="17"/>
      <c r="E127" s="17"/>
      <c r="F127" s="19"/>
      <c r="G127" s="19"/>
      <c r="H127" s="19"/>
      <c r="I127" s="19" t="s">
        <v>178</v>
      </c>
      <c r="J127" s="19"/>
      <c r="K127" s="19"/>
      <c r="L127" s="19"/>
      <c r="M127" s="23"/>
      <c r="N127" s="98"/>
      <c r="O127" s="20"/>
      <c r="P127" s="98"/>
      <c r="Q127" s="20"/>
      <c r="R127" s="560"/>
      <c r="S127" s="21"/>
      <c r="T127" s="98"/>
      <c r="U127" s="582"/>
      <c r="V127" s="98"/>
      <c r="W127" s="396"/>
      <c r="X127" s="396"/>
      <c r="Y127" s="20"/>
      <c r="Z127" s="98"/>
      <c r="AA127" s="20"/>
    </row>
    <row r="128" spans="1:27" s="16" customFormat="1" ht="15.75">
      <c r="A128" s="17"/>
      <c r="B128" s="17"/>
      <c r="C128" s="17"/>
      <c r="D128" s="17" t="s">
        <v>117</v>
      </c>
      <c r="E128" s="17"/>
      <c r="F128" s="19"/>
      <c r="G128" s="19"/>
      <c r="H128" s="19"/>
      <c r="I128" s="19"/>
      <c r="J128" s="27" t="s">
        <v>200</v>
      </c>
      <c r="K128" s="19"/>
      <c r="L128" s="19"/>
      <c r="M128" s="20">
        <f>SUM(M68+M86+M99+M112)</f>
        <v>0</v>
      </c>
      <c r="N128" s="98">
        <v>0</v>
      </c>
      <c r="O128" s="20">
        <f>M128+N128</f>
        <v>0</v>
      </c>
      <c r="P128" s="98">
        <f>P68+P86+P99+P112</f>
        <v>7796</v>
      </c>
      <c r="Q128" s="20">
        <v>0</v>
      </c>
      <c r="R128" s="560">
        <f>R68+R86+R99+R112</f>
        <v>8549</v>
      </c>
      <c r="S128" s="21">
        <f t="shared" si="11"/>
        <v>8549</v>
      </c>
      <c r="T128" s="396">
        <f>T68+T86+T99+T112</f>
        <v>7790</v>
      </c>
      <c r="U128" s="582">
        <f>SUM(T128/S128)*100</f>
        <v>91.121768627909688</v>
      </c>
      <c r="V128" s="98">
        <f>V68+V86+V99+V112</f>
        <v>0</v>
      </c>
      <c r="W128" s="396">
        <f t="shared" si="9"/>
        <v>8549</v>
      </c>
      <c r="X128" s="396">
        <f>X68+X86+X99+X112</f>
        <v>7600</v>
      </c>
      <c r="Y128" s="20">
        <f>SUM(X128/W128)*100</f>
        <v>88.899286466253358</v>
      </c>
      <c r="Z128" s="98">
        <f>Z68+Z86+Z99+Z112</f>
        <v>0</v>
      </c>
      <c r="AA128" s="20">
        <f t="shared" si="10"/>
        <v>8549</v>
      </c>
    </row>
    <row r="129" spans="1:27" s="16" customFormat="1" ht="15.75">
      <c r="A129" s="17"/>
      <c r="B129" s="17"/>
      <c r="C129" s="17"/>
      <c r="D129" s="17" t="s">
        <v>122</v>
      </c>
      <c r="E129" s="17"/>
      <c r="F129" s="19"/>
      <c r="G129" s="19"/>
      <c r="H129" s="19"/>
      <c r="I129" s="19"/>
      <c r="J129" s="27" t="s">
        <v>180</v>
      </c>
      <c r="K129" s="19"/>
      <c r="L129" s="19"/>
      <c r="M129" s="20">
        <f>SUM(M69+M87+M100+M113)</f>
        <v>500</v>
      </c>
      <c r="N129" s="290">
        <v>0</v>
      </c>
      <c r="O129" s="124">
        <f>M129+N129</f>
        <v>500</v>
      </c>
      <c r="P129" s="290">
        <f>P69+P83+P96+P109+P113</f>
        <v>148</v>
      </c>
      <c r="Q129" s="124">
        <f>SUM(P129/O129)*100</f>
        <v>29.599999999999998</v>
      </c>
      <c r="R129" s="560">
        <f>R69+R87+R100+R113</f>
        <v>0</v>
      </c>
      <c r="S129" s="21">
        <f t="shared" si="11"/>
        <v>500</v>
      </c>
      <c r="T129" s="290">
        <f>T69+T87+T100+T113</f>
        <v>3266</v>
      </c>
      <c r="U129" s="583">
        <f>SUM(T129/S129)*100</f>
        <v>653.20000000000005</v>
      </c>
      <c r="V129" s="98">
        <f>V69+V87+V100+V113</f>
        <v>0</v>
      </c>
      <c r="W129" s="396">
        <f t="shared" si="9"/>
        <v>500</v>
      </c>
      <c r="X129" s="396">
        <f>X69+X87+X100+X113</f>
        <v>358</v>
      </c>
      <c r="Y129" s="20">
        <f>SUM(X129/W129)*100</f>
        <v>71.599999999999994</v>
      </c>
      <c r="Z129" s="98">
        <f>Z69+Z87+Z100+Z113</f>
        <v>0</v>
      </c>
      <c r="AA129" s="20">
        <f t="shared" si="10"/>
        <v>500</v>
      </c>
    </row>
    <row r="130" spans="1:27" s="16" customFormat="1" ht="15.75">
      <c r="A130" s="28"/>
      <c r="B130" s="28"/>
      <c r="C130" s="28" t="s">
        <v>177</v>
      </c>
      <c r="D130" s="28"/>
      <c r="E130" s="28"/>
      <c r="F130" s="24"/>
      <c r="G130" s="24"/>
      <c r="H130" s="24"/>
      <c r="I130" s="24" t="s">
        <v>201</v>
      </c>
      <c r="J130" s="34"/>
      <c r="K130" s="24"/>
      <c r="L130" s="24"/>
      <c r="M130" s="33">
        <f>SUM(M128:M129)</f>
        <v>500</v>
      </c>
      <c r="N130" s="288">
        <v>0</v>
      </c>
      <c r="O130" s="287">
        <f>M130+N130</f>
        <v>500</v>
      </c>
      <c r="P130" s="288">
        <f>SUM(P128:P129)</f>
        <v>7944</v>
      </c>
      <c r="Q130" s="124">
        <f>SUM(P130/O130)*100</f>
        <v>1588.8</v>
      </c>
      <c r="R130" s="562">
        <f>SUM(R128:R129)</f>
        <v>8549</v>
      </c>
      <c r="S130" s="561">
        <f t="shared" si="11"/>
        <v>9049</v>
      </c>
      <c r="T130" s="288">
        <f>SUM(T128:T129)</f>
        <v>11056</v>
      </c>
      <c r="U130" s="583">
        <f>SUM(T130/S130)*100</f>
        <v>122.17924632556083</v>
      </c>
      <c r="V130" s="288">
        <f>SUM(V128:V129)</f>
        <v>0</v>
      </c>
      <c r="W130" s="288">
        <f t="shared" si="9"/>
        <v>9049</v>
      </c>
      <c r="X130" s="288">
        <f>SUM(X128:X129)</f>
        <v>7958</v>
      </c>
      <c r="Y130" s="287">
        <f>SUM(X130/W130)*100</f>
        <v>87.943419162338373</v>
      </c>
      <c r="Z130" s="288">
        <f>SUM(Z128:Z129)</f>
        <v>0</v>
      </c>
      <c r="AA130" s="287">
        <f t="shared" si="10"/>
        <v>9049</v>
      </c>
    </row>
    <row r="131" spans="1:27">
      <c r="C131" s="1" t="s">
        <v>182</v>
      </c>
      <c r="I131" s="2" t="s">
        <v>183</v>
      </c>
      <c r="N131" s="98"/>
      <c r="O131" s="20"/>
      <c r="P131" s="98"/>
      <c r="Q131" s="20"/>
      <c r="R131" s="560"/>
      <c r="S131" s="21"/>
      <c r="T131" s="98"/>
      <c r="U131" s="582"/>
      <c r="W131" s="396"/>
      <c r="X131" s="396"/>
      <c r="Y131" s="20"/>
      <c r="Z131" s="98"/>
      <c r="AA131" s="20"/>
    </row>
    <row r="132" spans="1:27">
      <c r="D132" s="1" t="s">
        <v>117</v>
      </c>
      <c r="J132" s="2" t="s">
        <v>184</v>
      </c>
      <c r="M132" s="3">
        <f>SUM(M72)</f>
        <v>3100</v>
      </c>
      <c r="N132" s="98">
        <v>0</v>
      </c>
      <c r="O132" s="20">
        <f>M132+N132</f>
        <v>3100</v>
      </c>
      <c r="P132" s="98">
        <f>P72</f>
        <v>2934</v>
      </c>
      <c r="Q132" s="20">
        <f>SUM(P132/O132)*100</f>
        <v>94.645161290322577</v>
      </c>
      <c r="R132" s="560">
        <v>0</v>
      </c>
      <c r="S132" s="21">
        <f t="shared" si="11"/>
        <v>3100</v>
      </c>
      <c r="T132" s="396">
        <f>T72</f>
        <v>3735</v>
      </c>
      <c r="U132" s="582">
        <f>SUM(T132/S132)*100</f>
        <v>120.48387096774194</v>
      </c>
      <c r="V132" s="98">
        <f>V72</f>
        <v>1946</v>
      </c>
      <c r="W132" s="396">
        <f t="shared" si="9"/>
        <v>5046</v>
      </c>
      <c r="X132" s="396">
        <f>X72</f>
        <v>4629</v>
      </c>
      <c r="Y132" s="20">
        <f>SUM(X132/W132)*100</f>
        <v>91.736028537455411</v>
      </c>
      <c r="Z132" s="98">
        <f>Z72</f>
        <v>0</v>
      </c>
      <c r="AA132" s="20">
        <f t="shared" si="10"/>
        <v>5046</v>
      </c>
    </row>
    <row r="133" spans="1:27">
      <c r="D133" s="1" t="s">
        <v>122</v>
      </c>
      <c r="J133" s="2" t="s">
        <v>185</v>
      </c>
      <c r="M133" s="3">
        <v>0</v>
      </c>
      <c r="N133" s="290">
        <v>0</v>
      </c>
      <c r="O133" s="124">
        <f>M133+N133</f>
        <v>0</v>
      </c>
      <c r="P133" s="290">
        <f>P73</f>
        <v>0</v>
      </c>
      <c r="Q133" s="124">
        <v>0</v>
      </c>
      <c r="R133" s="560">
        <v>0</v>
      </c>
      <c r="S133" s="21">
        <f t="shared" si="11"/>
        <v>0</v>
      </c>
      <c r="T133" s="290">
        <f>T73</f>
        <v>0</v>
      </c>
      <c r="U133" s="583"/>
      <c r="V133" s="98">
        <f>V73</f>
        <v>0</v>
      </c>
      <c r="W133" s="396">
        <f t="shared" si="9"/>
        <v>0</v>
      </c>
      <c r="X133" s="396">
        <f>X73</f>
        <v>0</v>
      </c>
      <c r="Y133" s="20">
        <v>0</v>
      </c>
      <c r="Z133" s="98">
        <f>Z73</f>
        <v>0</v>
      </c>
      <c r="AA133" s="20">
        <f t="shared" si="10"/>
        <v>0</v>
      </c>
    </row>
    <row r="134" spans="1:27">
      <c r="A134" s="28"/>
      <c r="B134" s="28"/>
      <c r="C134" s="28" t="s">
        <v>182</v>
      </c>
      <c r="D134" s="28"/>
      <c r="E134" s="24"/>
      <c r="F134" s="24"/>
      <c r="G134" s="24"/>
      <c r="H134" s="24"/>
      <c r="I134" s="24" t="s">
        <v>186</v>
      </c>
      <c r="J134" s="24"/>
      <c r="K134" s="24"/>
      <c r="L134" s="24"/>
      <c r="M134" s="33">
        <f>SUM(M132:M133)</f>
        <v>3100</v>
      </c>
      <c r="N134" s="288">
        <v>0</v>
      </c>
      <c r="O134" s="287">
        <f>M134+N134</f>
        <v>3100</v>
      </c>
      <c r="P134" s="288">
        <f>SUM(P132:P133)</f>
        <v>2934</v>
      </c>
      <c r="Q134" s="124">
        <f>SUM(P134/O134)*100</f>
        <v>94.645161290322577</v>
      </c>
      <c r="R134" s="562">
        <f>SUM(R132:R133)</f>
        <v>0</v>
      </c>
      <c r="S134" s="561">
        <f t="shared" si="11"/>
        <v>3100</v>
      </c>
      <c r="T134" s="98">
        <f>SUM(T132:T133)</f>
        <v>3735</v>
      </c>
      <c r="U134" s="583">
        <f>SUM(T134/S134)*100</f>
        <v>120.48387096774194</v>
      </c>
      <c r="V134" s="288">
        <f>SUM(V132:V133)</f>
        <v>1946</v>
      </c>
      <c r="W134" s="288">
        <f t="shared" si="9"/>
        <v>5046</v>
      </c>
      <c r="X134" s="288">
        <f>SUM(X132:X133)</f>
        <v>4629</v>
      </c>
      <c r="Y134" s="287">
        <f>SUM(X134/W134)*100</f>
        <v>91.736028537455411</v>
      </c>
      <c r="Z134" s="288">
        <f>SUM(Z132:Z133)</f>
        <v>0</v>
      </c>
      <c r="AA134" s="287">
        <f t="shared" si="10"/>
        <v>5046</v>
      </c>
    </row>
    <row r="135" spans="1:27" ht="15.75">
      <c r="A135" s="639"/>
      <c r="B135" s="639"/>
      <c r="C135" s="639"/>
      <c r="D135" s="640"/>
      <c r="E135" s="639"/>
      <c r="F135" s="126"/>
      <c r="G135" s="126"/>
      <c r="H135" s="126"/>
      <c r="I135" s="640" t="s">
        <v>202</v>
      </c>
      <c r="J135" s="126"/>
      <c r="K135" s="126"/>
      <c r="L135" s="126"/>
      <c r="M135" s="125">
        <f>SUM(M120+M121+M122+M126+M130+M134)</f>
        <v>1258137</v>
      </c>
      <c r="N135" s="289">
        <f>N120+N121+N122+N126+N130+N134</f>
        <v>370342</v>
      </c>
      <c r="O135" s="289">
        <f>M135+N135</f>
        <v>1628479</v>
      </c>
      <c r="P135" s="289">
        <f>P120+P121+P122+P126+P130+P134</f>
        <v>833229</v>
      </c>
      <c r="Q135" s="451">
        <f>SUM(P135/O135)*100</f>
        <v>51.166088110439247</v>
      </c>
      <c r="R135" s="465">
        <f>R120+R121+R122+R126+R130+R134</f>
        <v>2462156</v>
      </c>
      <c r="S135" s="465">
        <f t="shared" si="11"/>
        <v>4090635</v>
      </c>
      <c r="T135" s="289">
        <f>T120+T121+T122+T126+T130+T134</f>
        <v>1742257</v>
      </c>
      <c r="U135" s="589">
        <f>SUM(T135/S135)*100</f>
        <v>42.591358065434832</v>
      </c>
      <c r="V135" s="289">
        <f>V120+V121+V122+V126+V130+V134</f>
        <v>398668</v>
      </c>
      <c r="W135" s="289">
        <f t="shared" si="9"/>
        <v>4489303</v>
      </c>
      <c r="X135" s="289">
        <f>X120+X121+X122+X126+X130+X134</f>
        <v>2881273</v>
      </c>
      <c r="Y135" s="289">
        <f>SUM(X135/W135)*100</f>
        <v>64.180853909838561</v>
      </c>
      <c r="Z135" s="289">
        <f>Z120+Z121+Z122+Z126+Z130+Z134</f>
        <v>797092</v>
      </c>
      <c r="AA135" s="289">
        <f t="shared" si="10"/>
        <v>5286395</v>
      </c>
    </row>
    <row r="136" spans="1:27" ht="15.75">
      <c r="A136" s="17"/>
      <c r="B136" s="17"/>
      <c r="C136" s="17"/>
      <c r="D136" s="4"/>
      <c r="E136" s="17"/>
      <c r="F136" s="19"/>
      <c r="G136" s="19"/>
      <c r="H136" s="19"/>
      <c r="I136" s="4"/>
      <c r="J136" s="19"/>
      <c r="K136" s="19"/>
      <c r="L136" s="19"/>
      <c r="M136" s="586"/>
      <c r="N136" s="588"/>
      <c r="O136" s="588"/>
      <c r="P136" s="588"/>
      <c r="Q136" s="588"/>
      <c r="R136" s="558"/>
      <c r="S136" s="558"/>
      <c r="T136" s="588"/>
      <c r="U136" s="593"/>
      <c r="W136" s="396"/>
      <c r="X136" s="20"/>
      <c r="Y136" s="20"/>
      <c r="AA136" s="20"/>
    </row>
    <row r="137" spans="1:27" ht="15.75">
      <c r="A137" s="17"/>
      <c r="B137" s="17"/>
      <c r="C137" s="17"/>
      <c r="D137" s="4"/>
      <c r="E137" s="17"/>
      <c r="F137" s="19"/>
      <c r="G137" s="19"/>
      <c r="H137" s="19"/>
      <c r="I137" s="4"/>
      <c r="J137" s="19"/>
      <c r="K137" s="19"/>
      <c r="L137" s="19"/>
      <c r="M137" s="20"/>
      <c r="N137" s="20"/>
      <c r="O137" s="20"/>
      <c r="P137" s="20"/>
      <c r="Q137" s="20"/>
      <c r="R137" s="21"/>
      <c r="S137" s="21"/>
      <c r="T137" s="20"/>
      <c r="U137" s="582"/>
      <c r="W137" s="396"/>
      <c r="X137" s="20"/>
      <c r="Y137" s="20"/>
      <c r="AA137" s="20"/>
    </row>
    <row r="138" spans="1:27" ht="15.75">
      <c r="A138" s="300"/>
      <c r="B138" s="641" t="s">
        <v>203</v>
      </c>
      <c r="C138" s="300"/>
      <c r="D138" s="642"/>
      <c r="E138" s="300"/>
      <c r="F138" s="298"/>
      <c r="G138" s="298"/>
      <c r="H138" s="298"/>
      <c r="I138" s="642"/>
      <c r="J138" s="298"/>
      <c r="K138" s="298"/>
      <c r="L138" s="298"/>
      <c r="M138" s="287"/>
      <c r="N138" s="287"/>
      <c r="O138" s="287"/>
      <c r="P138" s="287"/>
      <c r="Q138" s="287"/>
      <c r="R138" s="561"/>
      <c r="S138" s="561"/>
      <c r="T138" s="287"/>
      <c r="U138" s="585"/>
      <c r="V138" s="288"/>
      <c r="W138" s="288"/>
      <c r="X138" s="287"/>
      <c r="Y138" s="287"/>
      <c r="Z138" s="287"/>
      <c r="AA138" s="287"/>
    </row>
    <row r="139" spans="1:27">
      <c r="A139" s="17" t="s">
        <v>117</v>
      </c>
      <c r="B139" s="17"/>
      <c r="C139" s="17"/>
      <c r="D139" s="17"/>
      <c r="E139" s="17"/>
      <c r="F139" s="19"/>
      <c r="G139" s="19" t="s">
        <v>204</v>
      </c>
      <c r="H139" s="19"/>
      <c r="I139" s="19"/>
      <c r="J139" s="19"/>
      <c r="K139" s="19"/>
      <c r="L139" s="19"/>
      <c r="O139" s="20"/>
      <c r="Q139" s="20"/>
      <c r="S139" s="21"/>
      <c r="U139" s="582"/>
      <c r="W139" s="396"/>
      <c r="X139" s="20"/>
      <c r="Y139" s="20"/>
      <c r="AA139" s="20"/>
    </row>
    <row r="140" spans="1:27">
      <c r="C140" s="1" t="s">
        <v>205</v>
      </c>
      <c r="I140" s="2" t="s">
        <v>206</v>
      </c>
      <c r="O140" s="20"/>
      <c r="Q140" s="20"/>
      <c r="S140" s="21"/>
      <c r="T140" s="20"/>
      <c r="U140" s="582"/>
      <c r="W140" s="396"/>
      <c r="X140" s="20"/>
      <c r="Y140" s="20"/>
      <c r="AA140" s="20"/>
    </row>
    <row r="141" spans="1:27">
      <c r="D141" s="1" t="s">
        <v>117</v>
      </c>
      <c r="J141" s="2" t="s">
        <v>207</v>
      </c>
      <c r="M141" s="3">
        <v>0</v>
      </c>
      <c r="N141" s="3">
        <v>0</v>
      </c>
      <c r="O141" s="20">
        <f>M141+N141</f>
        <v>0</v>
      </c>
      <c r="P141" s="3">
        <v>0</v>
      </c>
      <c r="Q141" s="20">
        <v>0</v>
      </c>
      <c r="R141" s="556">
        <v>0</v>
      </c>
      <c r="S141" s="21">
        <f t="shared" si="11"/>
        <v>0</v>
      </c>
      <c r="T141" s="20">
        <v>0</v>
      </c>
      <c r="U141" s="582">
        <v>0</v>
      </c>
      <c r="V141" s="98">
        <v>0</v>
      </c>
      <c r="W141" s="396">
        <f t="shared" si="9"/>
        <v>0</v>
      </c>
      <c r="X141" s="20">
        <v>0</v>
      </c>
      <c r="Y141" s="20">
        <v>0</v>
      </c>
      <c r="Z141" s="3">
        <v>0</v>
      </c>
      <c r="AA141" s="20">
        <f t="shared" si="10"/>
        <v>0</v>
      </c>
    </row>
    <row r="142" spans="1:27">
      <c r="D142" s="1" t="s">
        <v>122</v>
      </c>
      <c r="J142" s="2" t="s">
        <v>208</v>
      </c>
      <c r="M142" s="3">
        <v>0</v>
      </c>
      <c r="N142" s="3">
        <v>16055</v>
      </c>
      <c r="O142" s="20">
        <f>M142+N142</f>
        <v>16055</v>
      </c>
      <c r="P142" s="3">
        <v>0</v>
      </c>
      <c r="Q142" s="20">
        <f>SUM(P142/O142)*100</f>
        <v>0</v>
      </c>
      <c r="R142" s="556">
        <v>39668</v>
      </c>
      <c r="S142" s="21">
        <f t="shared" si="11"/>
        <v>55723</v>
      </c>
      <c r="T142" s="20">
        <v>0</v>
      </c>
      <c r="U142" s="582">
        <f>SUM(T142/S142)*100</f>
        <v>0</v>
      </c>
      <c r="V142" s="98">
        <v>98001</v>
      </c>
      <c r="W142" s="396">
        <f t="shared" si="9"/>
        <v>153724</v>
      </c>
      <c r="X142" s="20">
        <v>0</v>
      </c>
      <c r="Y142" s="20">
        <f t="shared" ref="Y142:Y163" si="12">SUM(X142/W142)*100</f>
        <v>0</v>
      </c>
      <c r="Z142" s="3">
        <v>0</v>
      </c>
      <c r="AA142" s="20">
        <f t="shared" ref="AA142:AA163" si="13">W142+Z142</f>
        <v>153724</v>
      </c>
    </row>
    <row r="143" spans="1:27">
      <c r="D143" s="1" t="s">
        <v>169</v>
      </c>
      <c r="J143" s="2" t="s">
        <v>209</v>
      </c>
      <c r="M143" s="3">
        <v>0</v>
      </c>
      <c r="N143" s="124">
        <v>0</v>
      </c>
      <c r="O143" s="124">
        <f>M143+N143</f>
        <v>0</v>
      </c>
      <c r="P143" s="124">
        <v>0</v>
      </c>
      <c r="Q143" s="124">
        <v>0</v>
      </c>
      <c r="R143" s="556">
        <v>0</v>
      </c>
      <c r="S143" s="21">
        <f t="shared" si="11"/>
        <v>0</v>
      </c>
      <c r="T143" s="3">
        <v>0</v>
      </c>
      <c r="U143" s="583">
        <v>0</v>
      </c>
      <c r="V143" s="98">
        <v>0</v>
      </c>
      <c r="W143" s="396">
        <f t="shared" ref="W143:W163" si="14">S143+V143</f>
        <v>0</v>
      </c>
      <c r="X143" s="20">
        <v>0</v>
      </c>
      <c r="Y143" s="20">
        <v>0</v>
      </c>
      <c r="Z143" s="3">
        <v>0</v>
      </c>
      <c r="AA143" s="20">
        <f t="shared" si="13"/>
        <v>0</v>
      </c>
    </row>
    <row r="144" spans="1:27" ht="15.75">
      <c r="A144" s="13"/>
      <c r="B144" s="13"/>
      <c r="C144" s="13" t="s">
        <v>205</v>
      </c>
      <c r="D144" s="13"/>
      <c r="E144" s="13"/>
      <c r="F144" s="14"/>
      <c r="G144" s="14"/>
      <c r="H144" s="14"/>
      <c r="I144" s="14" t="s">
        <v>210</v>
      </c>
      <c r="J144" s="14"/>
      <c r="K144" s="14"/>
      <c r="L144" s="14"/>
      <c r="M144" s="15">
        <f>SUM(M141:M143)</f>
        <v>0</v>
      </c>
      <c r="N144" s="289">
        <f>SUM(N141:N143)</f>
        <v>16055</v>
      </c>
      <c r="O144" s="289">
        <f>M144+N144</f>
        <v>16055</v>
      </c>
      <c r="P144" s="289">
        <f>SUM(P141:P143)</f>
        <v>0</v>
      </c>
      <c r="Q144" s="451">
        <f>SUM(P144/O144)*100</f>
        <v>0</v>
      </c>
      <c r="R144" s="463">
        <f>SUM(R141:R143)</f>
        <v>39668</v>
      </c>
      <c r="S144" s="463">
        <f t="shared" si="11"/>
        <v>55723</v>
      </c>
      <c r="T144" s="289">
        <f>SUM(T141:T143)</f>
        <v>0</v>
      </c>
      <c r="U144" s="589">
        <f>SUM(T144/S144)*100</f>
        <v>0</v>
      </c>
      <c r="V144" s="289">
        <f>SUM(V141:V143)</f>
        <v>98001</v>
      </c>
      <c r="W144" s="289">
        <f t="shared" si="14"/>
        <v>153724</v>
      </c>
      <c r="X144" s="289">
        <f>SUM(X141:X143)</f>
        <v>0</v>
      </c>
      <c r="Y144" s="289">
        <f t="shared" si="12"/>
        <v>0</v>
      </c>
      <c r="Z144" s="289">
        <f>SUM(Z141:Z143)</f>
        <v>0</v>
      </c>
      <c r="AA144" s="289">
        <f t="shared" si="13"/>
        <v>153724</v>
      </c>
    </row>
    <row r="145" spans="1:27">
      <c r="C145" s="1" t="s">
        <v>211</v>
      </c>
      <c r="I145" s="2" t="s">
        <v>212</v>
      </c>
      <c r="O145" s="20"/>
      <c r="Q145" s="20"/>
      <c r="S145" s="21"/>
      <c r="U145" s="582"/>
      <c r="W145" s="396"/>
      <c r="X145" s="20"/>
      <c r="Y145" s="20"/>
      <c r="AA145" s="20"/>
    </row>
    <row r="146" spans="1:27">
      <c r="D146" s="1" t="s">
        <v>117</v>
      </c>
      <c r="J146" s="2" t="s">
        <v>213</v>
      </c>
      <c r="M146" s="3">
        <v>144430</v>
      </c>
      <c r="N146" s="124">
        <v>28116</v>
      </c>
      <c r="O146" s="124">
        <f>M146+N146</f>
        <v>172546</v>
      </c>
      <c r="P146" s="124">
        <v>0</v>
      </c>
      <c r="Q146" s="124">
        <f>SUM(P146/O146)*100</f>
        <v>0</v>
      </c>
      <c r="R146" s="556">
        <v>1687841</v>
      </c>
      <c r="S146" s="21">
        <f t="shared" si="11"/>
        <v>1860387</v>
      </c>
      <c r="T146" s="3">
        <v>393833</v>
      </c>
      <c r="U146" s="583">
        <f>SUM(T146/S146)*100</f>
        <v>21.169412600711574</v>
      </c>
      <c r="V146" s="98">
        <v>0</v>
      </c>
      <c r="W146" s="396">
        <f t="shared" si="14"/>
        <v>1860387</v>
      </c>
      <c r="X146" s="20">
        <v>706889</v>
      </c>
      <c r="Y146" s="20">
        <f t="shared" si="12"/>
        <v>37.996879143963056</v>
      </c>
      <c r="Z146" s="3">
        <v>0</v>
      </c>
      <c r="AA146" s="20">
        <f t="shared" si="13"/>
        <v>1860387</v>
      </c>
    </row>
    <row r="147" spans="1:27" ht="15.75">
      <c r="A147" s="28"/>
      <c r="B147" s="28"/>
      <c r="C147" s="13" t="s">
        <v>211</v>
      </c>
      <c r="D147" s="13"/>
      <c r="E147" s="13"/>
      <c r="F147" s="14"/>
      <c r="G147" s="14"/>
      <c r="H147" s="14"/>
      <c r="I147" s="14" t="s">
        <v>215</v>
      </c>
      <c r="J147" s="14"/>
      <c r="K147" s="14"/>
      <c r="L147" s="14"/>
      <c r="M147" s="15">
        <f>SUM(M146)</f>
        <v>144430</v>
      </c>
      <c r="N147" s="289">
        <f>SUM(N146)</f>
        <v>28116</v>
      </c>
      <c r="O147" s="289">
        <f>M147+N147</f>
        <v>172546</v>
      </c>
      <c r="P147" s="289">
        <f>SUM(P146)</f>
        <v>0</v>
      </c>
      <c r="Q147" s="451">
        <f>SUM(P147/O147)*100</f>
        <v>0</v>
      </c>
      <c r="R147" s="463">
        <f>SUM(R146)</f>
        <v>1687841</v>
      </c>
      <c r="S147" s="463">
        <f t="shared" si="11"/>
        <v>1860387</v>
      </c>
      <c r="T147" s="289">
        <f>SUM(T146)</f>
        <v>393833</v>
      </c>
      <c r="U147" s="589">
        <f>SUM(T147/S147)*100</f>
        <v>21.169412600711574</v>
      </c>
      <c r="V147" s="289">
        <f>SUM(V146)</f>
        <v>0</v>
      </c>
      <c r="W147" s="289">
        <f t="shared" si="14"/>
        <v>1860387</v>
      </c>
      <c r="X147" s="289">
        <f>SUM(X146)</f>
        <v>706889</v>
      </c>
      <c r="Y147" s="289">
        <f t="shared" si="12"/>
        <v>37.996879143963056</v>
      </c>
      <c r="Z147" s="289">
        <f>SUM(Z146)</f>
        <v>0</v>
      </c>
      <c r="AA147" s="289">
        <f t="shared" si="13"/>
        <v>1860387</v>
      </c>
    </row>
    <row r="148" spans="1:27" ht="15.75">
      <c r="A148" s="16" t="s">
        <v>117</v>
      </c>
      <c r="B148" s="4"/>
      <c r="C148" s="36"/>
      <c r="D148" s="36"/>
      <c r="E148" s="36"/>
      <c r="F148" s="37"/>
      <c r="H148" s="37" t="s">
        <v>187</v>
      </c>
      <c r="I148" s="37"/>
      <c r="J148" s="37"/>
      <c r="K148" s="37"/>
      <c r="L148" s="37"/>
      <c r="M148" s="125">
        <f>SUM(M144+M147)</f>
        <v>144430</v>
      </c>
      <c r="N148" s="289">
        <f>N144+N147</f>
        <v>44171</v>
      </c>
      <c r="O148" s="289">
        <f>M148+N148</f>
        <v>188601</v>
      </c>
      <c r="P148" s="289">
        <f>P144+P147</f>
        <v>0</v>
      </c>
      <c r="Q148" s="451">
        <f>SUM(P148/O148)*100</f>
        <v>0</v>
      </c>
      <c r="R148" s="463">
        <f>R144+R147</f>
        <v>1727509</v>
      </c>
      <c r="S148" s="463">
        <f t="shared" si="11"/>
        <v>1916110</v>
      </c>
      <c r="T148" s="289">
        <f>T144+T147</f>
        <v>393833</v>
      </c>
      <c r="U148" s="589">
        <f>SUM(T148/S148)*100</f>
        <v>20.553778227763541</v>
      </c>
      <c r="V148" s="289">
        <f>V144+V147</f>
        <v>98001</v>
      </c>
      <c r="W148" s="289">
        <f t="shared" si="14"/>
        <v>2014111</v>
      </c>
      <c r="X148" s="289">
        <f>X144+X147</f>
        <v>706889</v>
      </c>
      <c r="Y148" s="289">
        <f t="shared" si="12"/>
        <v>35.096824355757953</v>
      </c>
      <c r="Z148" s="289">
        <f>Z144+Z147</f>
        <v>0</v>
      </c>
      <c r="AA148" s="289">
        <f t="shared" si="13"/>
        <v>2014111</v>
      </c>
    </row>
    <row r="149" spans="1:27">
      <c r="A149" s="8" t="s">
        <v>122</v>
      </c>
      <c r="B149" s="8"/>
      <c r="C149" s="8"/>
      <c r="D149" s="8"/>
      <c r="E149" s="8"/>
      <c r="F149" s="9"/>
      <c r="G149" s="9" t="s">
        <v>214</v>
      </c>
      <c r="H149" s="9"/>
      <c r="I149" s="9"/>
      <c r="J149" s="9"/>
      <c r="K149" s="9"/>
      <c r="L149" s="9"/>
      <c r="O149" s="20"/>
      <c r="Q149" s="20"/>
      <c r="S149" s="21"/>
      <c r="U149" s="582"/>
      <c r="W149" s="396"/>
      <c r="X149" s="20"/>
      <c r="Y149" s="20"/>
      <c r="AA149" s="20"/>
    </row>
    <row r="150" spans="1:27">
      <c r="C150" s="1" t="s">
        <v>211</v>
      </c>
      <c r="I150" s="2" t="s">
        <v>212</v>
      </c>
      <c r="O150" s="20"/>
      <c r="Q150" s="20"/>
      <c r="S150" s="21"/>
      <c r="U150" s="582"/>
      <c r="W150" s="396"/>
      <c r="X150" s="20"/>
      <c r="Y150" s="20"/>
      <c r="AA150" s="20"/>
    </row>
    <row r="151" spans="1:27">
      <c r="D151" s="1" t="s">
        <v>117</v>
      </c>
      <c r="J151" s="2" t="s">
        <v>213</v>
      </c>
      <c r="M151" s="3">
        <v>0</v>
      </c>
      <c r="N151" s="124">
        <v>0</v>
      </c>
      <c r="O151" s="124">
        <f>M151+N151</f>
        <v>0</v>
      </c>
      <c r="P151" s="124">
        <v>0</v>
      </c>
      <c r="Q151" s="124">
        <v>0</v>
      </c>
      <c r="R151" s="556">
        <v>34246</v>
      </c>
      <c r="S151" s="21">
        <f t="shared" ref="S151:S163" si="15">O151+R151</f>
        <v>34246</v>
      </c>
      <c r="T151" s="3">
        <v>33768</v>
      </c>
      <c r="U151" s="583">
        <f t="shared" ref="U151:U163" si="16">SUM(T151/S151)*100</f>
        <v>98.604216550838046</v>
      </c>
      <c r="V151" s="98">
        <v>0</v>
      </c>
      <c r="W151" s="396">
        <f t="shared" si="14"/>
        <v>34246</v>
      </c>
      <c r="X151" s="20">
        <v>34222</v>
      </c>
      <c r="Y151" s="20">
        <f t="shared" si="12"/>
        <v>99.929918822636225</v>
      </c>
      <c r="Z151" s="3">
        <v>0</v>
      </c>
      <c r="AA151" s="20">
        <f t="shared" si="13"/>
        <v>34246</v>
      </c>
    </row>
    <row r="152" spans="1:27" s="16" customFormat="1" ht="15.75">
      <c r="A152" s="13" t="s">
        <v>122</v>
      </c>
      <c r="B152" s="13"/>
      <c r="C152" s="13"/>
      <c r="D152" s="13"/>
      <c r="E152" s="13"/>
      <c r="F152" s="14"/>
      <c r="G152" s="14"/>
      <c r="H152" s="14" t="s">
        <v>193</v>
      </c>
      <c r="I152" s="14"/>
      <c r="J152" s="14"/>
      <c r="K152" s="14"/>
      <c r="L152" s="14"/>
      <c r="M152" s="15">
        <f>SUM(M151)</f>
        <v>0</v>
      </c>
      <c r="N152" s="289">
        <v>0</v>
      </c>
      <c r="O152" s="289">
        <f>M152+N152</f>
        <v>0</v>
      </c>
      <c r="P152" s="286">
        <f>SUM(P151)</f>
        <v>0</v>
      </c>
      <c r="Q152" s="451">
        <v>0</v>
      </c>
      <c r="R152" s="463">
        <f>SUM(R151)</f>
        <v>34246</v>
      </c>
      <c r="S152" s="463">
        <f t="shared" si="15"/>
        <v>34246</v>
      </c>
      <c r="T152" s="286">
        <f>SUM(T151)</f>
        <v>33768</v>
      </c>
      <c r="U152" s="589">
        <f t="shared" si="16"/>
        <v>98.604216550838046</v>
      </c>
      <c r="V152" s="288">
        <f>SUM(V151)</f>
        <v>0</v>
      </c>
      <c r="W152" s="289">
        <f t="shared" si="14"/>
        <v>34246</v>
      </c>
      <c r="X152" s="289">
        <f>SUM(X151)</f>
        <v>34222</v>
      </c>
      <c r="Y152" s="289">
        <f t="shared" si="12"/>
        <v>99.929918822636225</v>
      </c>
      <c r="Z152" s="289">
        <f>SUM(Z151)</f>
        <v>0</v>
      </c>
      <c r="AA152" s="289">
        <f t="shared" si="13"/>
        <v>34246</v>
      </c>
    </row>
    <row r="153" spans="1:27">
      <c r="A153" s="1" t="s">
        <v>169</v>
      </c>
      <c r="G153" s="2" t="s">
        <v>883</v>
      </c>
      <c r="O153" s="20"/>
      <c r="Q153" s="20"/>
      <c r="S153" s="21"/>
      <c r="U153" s="582"/>
      <c r="W153" s="396"/>
      <c r="X153" s="20"/>
      <c r="Y153" s="20"/>
      <c r="AA153" s="20"/>
    </row>
    <row r="154" spans="1:27">
      <c r="C154" s="1" t="s">
        <v>211</v>
      </c>
      <c r="I154" s="2" t="s">
        <v>212</v>
      </c>
      <c r="O154" s="20"/>
      <c r="Q154" s="20"/>
      <c r="S154" s="21"/>
      <c r="U154" s="582"/>
      <c r="W154" s="396"/>
      <c r="X154" s="20"/>
      <c r="Y154" s="20"/>
      <c r="AA154" s="20"/>
    </row>
    <row r="155" spans="1:27">
      <c r="D155" s="1" t="s">
        <v>117</v>
      </c>
      <c r="J155" s="2" t="s">
        <v>213</v>
      </c>
      <c r="M155" s="3">
        <v>0</v>
      </c>
      <c r="N155" s="124">
        <v>0</v>
      </c>
      <c r="O155" s="124">
        <f>M155+N155</f>
        <v>0</v>
      </c>
      <c r="P155" s="124">
        <v>0</v>
      </c>
      <c r="Q155" s="124">
        <v>0</v>
      </c>
      <c r="R155" s="556">
        <v>9723</v>
      </c>
      <c r="S155" s="21">
        <f t="shared" si="15"/>
        <v>9723</v>
      </c>
      <c r="T155" s="3">
        <v>9723</v>
      </c>
      <c r="U155" s="583">
        <f t="shared" si="16"/>
        <v>100</v>
      </c>
      <c r="V155" s="98">
        <v>0</v>
      </c>
      <c r="W155" s="396">
        <f t="shared" si="14"/>
        <v>9723</v>
      </c>
      <c r="X155" s="20">
        <v>9723</v>
      </c>
      <c r="Y155" s="20">
        <f t="shared" si="12"/>
        <v>100</v>
      </c>
      <c r="Z155" s="3">
        <v>0</v>
      </c>
      <c r="AA155" s="20">
        <f t="shared" si="13"/>
        <v>9723</v>
      </c>
    </row>
    <row r="156" spans="1:27" s="16" customFormat="1" ht="15.75">
      <c r="A156" s="13" t="s">
        <v>169</v>
      </c>
      <c r="B156" s="13"/>
      <c r="C156" s="13"/>
      <c r="D156" s="13"/>
      <c r="E156" s="13"/>
      <c r="F156" s="14"/>
      <c r="G156" s="14"/>
      <c r="H156" s="227" t="s">
        <v>886</v>
      </c>
      <c r="I156" s="14"/>
      <c r="J156" s="14"/>
      <c r="K156" s="14"/>
      <c r="L156" s="14"/>
      <c r="M156" s="15">
        <f>SUM(M155)</f>
        <v>0</v>
      </c>
      <c r="N156" s="289">
        <v>0</v>
      </c>
      <c r="O156" s="289">
        <f>M156+N156</f>
        <v>0</v>
      </c>
      <c r="P156" s="286">
        <f>SUM(P155)</f>
        <v>0</v>
      </c>
      <c r="Q156" s="451">
        <v>0</v>
      </c>
      <c r="R156" s="463">
        <f>SUM(R155)</f>
        <v>9723</v>
      </c>
      <c r="S156" s="463">
        <f t="shared" si="15"/>
        <v>9723</v>
      </c>
      <c r="T156" s="286">
        <f>SUM(T155)</f>
        <v>9723</v>
      </c>
      <c r="U156" s="589">
        <f t="shared" si="16"/>
        <v>100</v>
      </c>
      <c r="V156" s="289">
        <f>SUM(V155)</f>
        <v>0</v>
      </c>
      <c r="W156" s="289">
        <f t="shared" si="14"/>
        <v>9723</v>
      </c>
      <c r="X156" s="289">
        <f>SUM(X155)</f>
        <v>9723</v>
      </c>
      <c r="Y156" s="289">
        <f t="shared" si="12"/>
        <v>100</v>
      </c>
      <c r="Z156" s="289">
        <f>SUM(Z155)</f>
        <v>0</v>
      </c>
      <c r="AA156" s="289">
        <f t="shared" si="13"/>
        <v>9723</v>
      </c>
    </row>
    <row r="157" spans="1:27" s="16" customFormat="1" ht="15.75">
      <c r="A157" s="1" t="s">
        <v>194</v>
      </c>
      <c r="B157" s="1"/>
      <c r="C157" s="1"/>
      <c r="D157" s="1"/>
      <c r="E157" s="1"/>
      <c r="F157" s="2"/>
      <c r="G157" s="2" t="s">
        <v>473</v>
      </c>
      <c r="I157" s="2"/>
      <c r="J157" s="2"/>
      <c r="K157" s="2"/>
      <c r="L157" s="2"/>
      <c r="M157" s="23"/>
      <c r="N157" s="23"/>
      <c r="O157" s="20"/>
      <c r="P157" s="23"/>
      <c r="Q157" s="20"/>
      <c r="R157" s="559"/>
      <c r="S157" s="21"/>
      <c r="T157" s="23"/>
      <c r="U157" s="582"/>
      <c r="V157" s="98"/>
      <c r="W157" s="396"/>
      <c r="X157" s="586"/>
      <c r="Y157" s="20"/>
      <c r="Z157" s="23"/>
      <c r="AA157" s="20"/>
    </row>
    <row r="158" spans="1:27" s="16" customFormat="1" ht="15.75">
      <c r="A158" s="1"/>
      <c r="B158" s="1"/>
      <c r="C158" s="1" t="s">
        <v>211</v>
      </c>
      <c r="D158" s="1"/>
      <c r="E158" s="1"/>
      <c r="F158" s="2"/>
      <c r="G158" s="2"/>
      <c r="H158" s="2"/>
      <c r="I158" s="2" t="s">
        <v>212</v>
      </c>
      <c r="J158" s="2"/>
      <c r="K158" s="2"/>
      <c r="L158" s="2"/>
      <c r="M158" s="23"/>
      <c r="N158" s="23"/>
      <c r="O158" s="20"/>
      <c r="P158" s="23"/>
      <c r="Q158" s="20"/>
      <c r="R158" s="559"/>
      <c r="S158" s="21"/>
      <c r="T158" s="23"/>
      <c r="U158" s="582"/>
      <c r="V158" s="98"/>
      <c r="W158" s="396"/>
      <c r="X158" s="586"/>
      <c r="Y158" s="20"/>
      <c r="Z158" s="23"/>
      <c r="AA158" s="20"/>
    </row>
    <row r="159" spans="1:27" s="16" customFormat="1" ht="15.75">
      <c r="A159" s="1"/>
      <c r="B159" s="1"/>
      <c r="C159" s="1"/>
      <c r="D159" s="1" t="s">
        <v>117</v>
      </c>
      <c r="E159" s="1"/>
      <c r="F159" s="2"/>
      <c r="G159" s="2"/>
      <c r="H159" s="2"/>
      <c r="I159" s="2"/>
      <c r="J159" s="2" t="s">
        <v>213</v>
      </c>
      <c r="K159" s="2"/>
      <c r="L159" s="2"/>
      <c r="M159" s="98">
        <v>0</v>
      </c>
      <c r="N159" s="99">
        <v>0</v>
      </c>
      <c r="O159" s="124">
        <f>M159+N159</f>
        <v>0</v>
      </c>
      <c r="P159" s="290">
        <v>0</v>
      </c>
      <c r="Q159" s="124">
        <v>0</v>
      </c>
      <c r="R159" s="560">
        <v>1198</v>
      </c>
      <c r="S159" s="21">
        <f t="shared" si="15"/>
        <v>1198</v>
      </c>
      <c r="T159" s="98">
        <v>265</v>
      </c>
      <c r="U159" s="583">
        <f t="shared" si="16"/>
        <v>22.120200333889816</v>
      </c>
      <c r="V159" s="98">
        <v>0</v>
      </c>
      <c r="W159" s="396">
        <f t="shared" si="14"/>
        <v>1198</v>
      </c>
      <c r="X159" s="396">
        <v>265</v>
      </c>
      <c r="Y159" s="20">
        <f t="shared" si="12"/>
        <v>22.120200333889816</v>
      </c>
      <c r="Z159" s="98">
        <v>0</v>
      </c>
      <c r="AA159" s="20">
        <f t="shared" si="13"/>
        <v>1198</v>
      </c>
    </row>
    <row r="160" spans="1:27" s="16" customFormat="1" ht="15.75">
      <c r="A160" s="13" t="s">
        <v>194</v>
      </c>
      <c r="B160" s="13"/>
      <c r="C160" s="13"/>
      <c r="D160" s="13"/>
      <c r="E160" s="13"/>
      <c r="F160" s="14"/>
      <c r="G160" s="14"/>
      <c r="H160" s="14" t="s">
        <v>475</v>
      </c>
      <c r="I160" s="14"/>
      <c r="J160" s="14"/>
      <c r="K160" s="14"/>
      <c r="L160" s="14"/>
      <c r="M160" s="15">
        <f>SUM(M159)</f>
        <v>0</v>
      </c>
      <c r="N160" s="286">
        <v>0</v>
      </c>
      <c r="O160" s="289">
        <f>M160+N160</f>
        <v>0</v>
      </c>
      <c r="P160" s="289">
        <f>SUM(P159)</f>
        <v>0</v>
      </c>
      <c r="Q160" s="451">
        <v>0</v>
      </c>
      <c r="R160" s="463">
        <f>SUM(R159)</f>
        <v>1198</v>
      </c>
      <c r="S160" s="463">
        <f t="shared" si="15"/>
        <v>1198</v>
      </c>
      <c r="T160" s="289">
        <f>SUM(T159)</f>
        <v>265</v>
      </c>
      <c r="U160" s="589">
        <f t="shared" si="16"/>
        <v>22.120200333889816</v>
      </c>
      <c r="V160" s="289">
        <f>SUM(V159)</f>
        <v>0</v>
      </c>
      <c r="W160" s="289">
        <f t="shared" si="14"/>
        <v>1198</v>
      </c>
      <c r="X160" s="289">
        <f>SUM(X159)</f>
        <v>265</v>
      </c>
      <c r="Y160" s="289">
        <f t="shared" si="12"/>
        <v>22.120200333889816</v>
      </c>
      <c r="Z160" s="289">
        <f>SUM(Z159)</f>
        <v>0</v>
      </c>
      <c r="AA160" s="289">
        <f t="shared" si="13"/>
        <v>1198</v>
      </c>
    </row>
    <row r="161" spans="1:27" s="16" customFormat="1" ht="15.75">
      <c r="A161" s="13"/>
      <c r="B161" s="13"/>
      <c r="C161" s="13" t="s">
        <v>211</v>
      </c>
      <c r="D161" s="13"/>
      <c r="E161" s="13"/>
      <c r="F161" s="14"/>
      <c r="G161" s="14"/>
      <c r="H161" s="14"/>
      <c r="I161" s="14" t="s">
        <v>215</v>
      </c>
      <c r="J161" s="14"/>
      <c r="K161" s="14"/>
      <c r="L161" s="14"/>
      <c r="M161" s="15">
        <f>SUM(M147+M152+M156+M160)</f>
        <v>144430</v>
      </c>
      <c r="N161" s="289">
        <f>N147+N152+N156+N160</f>
        <v>28116</v>
      </c>
      <c r="O161" s="289">
        <f>M161+N161</f>
        <v>172546</v>
      </c>
      <c r="P161" s="289">
        <v>0</v>
      </c>
      <c r="Q161" s="451">
        <f>SUM(P161/O161)*100</f>
        <v>0</v>
      </c>
      <c r="R161" s="557">
        <f>R147+R151+R155+R159</f>
        <v>1733008</v>
      </c>
      <c r="S161" s="558">
        <f t="shared" si="15"/>
        <v>1905554</v>
      </c>
      <c r="T161" s="606">
        <f>T147+T152+T156+T160</f>
        <v>437589</v>
      </c>
      <c r="U161" s="589">
        <f t="shared" si="16"/>
        <v>22.963872973424003</v>
      </c>
      <c r="V161" s="606">
        <f>V147+V151+V155+V159</f>
        <v>0</v>
      </c>
      <c r="W161" s="588">
        <f t="shared" si="14"/>
        <v>1905554</v>
      </c>
      <c r="X161" s="289">
        <f>X146+X151+X155+X159</f>
        <v>751099</v>
      </c>
      <c r="Y161" s="289">
        <f t="shared" si="12"/>
        <v>39.416306229054648</v>
      </c>
      <c r="Z161" s="606">
        <f>Z147+Z152+Z156+Z160</f>
        <v>0</v>
      </c>
      <c r="AA161" s="588">
        <f t="shared" si="13"/>
        <v>1905554</v>
      </c>
    </row>
    <row r="162" spans="1:27" ht="15.75">
      <c r="A162" s="13"/>
      <c r="B162" s="35" t="s">
        <v>216</v>
      </c>
      <c r="C162" s="13"/>
      <c r="D162" s="13"/>
      <c r="E162" s="13"/>
      <c r="F162" s="14"/>
      <c r="G162" s="14"/>
      <c r="H162" s="14"/>
      <c r="I162" s="14"/>
      <c r="J162" s="14"/>
      <c r="K162" s="14"/>
      <c r="L162" s="14"/>
      <c r="M162" s="15">
        <f>SUM(M144+M161)</f>
        <v>144430</v>
      </c>
      <c r="N162" s="289">
        <f>N144+N161</f>
        <v>44171</v>
      </c>
      <c r="O162" s="289">
        <f>M162+N162</f>
        <v>188601</v>
      </c>
      <c r="P162" s="289">
        <v>0</v>
      </c>
      <c r="Q162" s="451">
        <f>SUM(P162/O162)*100</f>
        <v>0</v>
      </c>
      <c r="R162" s="463">
        <f>R144+R161</f>
        <v>1772676</v>
      </c>
      <c r="S162" s="463">
        <f>O162+R162</f>
        <v>1961277</v>
      </c>
      <c r="T162" s="289">
        <f>T144+T161</f>
        <v>437589</v>
      </c>
      <c r="U162" s="589">
        <f t="shared" si="16"/>
        <v>22.311432806278766</v>
      </c>
      <c r="V162" s="289">
        <f>V148+V152+V156+V160</f>
        <v>98001</v>
      </c>
      <c r="W162" s="289">
        <f t="shared" si="14"/>
        <v>2059278</v>
      </c>
      <c r="X162" s="289">
        <f>X148+X152+X156+X160</f>
        <v>751099</v>
      </c>
      <c r="Y162" s="289">
        <f t="shared" si="12"/>
        <v>36.473900075657582</v>
      </c>
      <c r="Z162" s="289">
        <f>Z148+Z152+Z156+Z160</f>
        <v>0</v>
      </c>
      <c r="AA162" s="289">
        <f t="shared" si="13"/>
        <v>2059278</v>
      </c>
    </row>
    <row r="163" spans="1:27" ht="15.75">
      <c r="A163" s="13"/>
      <c r="B163" s="35" t="s">
        <v>217</v>
      </c>
      <c r="C163" s="13"/>
      <c r="D163" s="13"/>
      <c r="E163" s="13"/>
      <c r="F163" s="14"/>
      <c r="G163" s="14"/>
      <c r="H163" s="14"/>
      <c r="I163" s="14"/>
      <c r="J163" s="14"/>
      <c r="K163" s="14"/>
      <c r="L163" s="14"/>
      <c r="M163" s="15">
        <f>SUM(M135+M162)</f>
        <v>1402567</v>
      </c>
      <c r="N163" s="289">
        <f>N135+N162</f>
        <v>414513</v>
      </c>
      <c r="O163" s="289">
        <f>M163+N163</f>
        <v>1817080</v>
      </c>
      <c r="P163" s="289">
        <f>P135+P162</f>
        <v>833229</v>
      </c>
      <c r="Q163" s="451">
        <f>SUM(P163/O163)*100</f>
        <v>45.855383362317568</v>
      </c>
      <c r="R163" s="463">
        <f>R135+R162</f>
        <v>4234832</v>
      </c>
      <c r="S163" s="463">
        <f t="shared" si="15"/>
        <v>6051912</v>
      </c>
      <c r="T163" s="289">
        <f>T135+T162</f>
        <v>2179846</v>
      </c>
      <c r="U163" s="610">
        <f t="shared" si="16"/>
        <v>36.019129161164273</v>
      </c>
      <c r="V163" s="289">
        <f>V135+V162</f>
        <v>496669</v>
      </c>
      <c r="W163" s="289">
        <f t="shared" si="14"/>
        <v>6548581</v>
      </c>
      <c r="X163" s="289">
        <f>X135+X162</f>
        <v>3632372</v>
      </c>
      <c r="Y163" s="289">
        <f t="shared" si="12"/>
        <v>55.468077740811324</v>
      </c>
      <c r="Z163" s="289">
        <f>Z135+Z162</f>
        <v>797092</v>
      </c>
      <c r="AA163" s="289">
        <f t="shared" si="13"/>
        <v>7345673</v>
      </c>
    </row>
    <row r="164" spans="1:27">
      <c r="U164" s="582"/>
    </row>
    <row r="165" spans="1:27">
      <c r="L165" s="19"/>
      <c r="M165" s="20"/>
    </row>
  </sheetData>
  <sheetProtection selectLockedCells="1" selectUnlockedCells="1"/>
  <mergeCells count="3">
    <mergeCell ref="L2:AA2"/>
    <mergeCell ref="A5:AA5"/>
    <mergeCell ref="L8:AA8"/>
  </mergeCells>
  <phoneticPr fontId="11" type="noConversion"/>
  <printOptions horizontalCentered="1"/>
  <pageMargins left="0.33" right="0.28000000000000003" top="0.4" bottom="0.48" header="0.28999999999999998" footer="0.51180555555555551"/>
  <pageSetup paperSize="9" scale="59" firstPageNumber="0" orientation="portrait" horizontalDpi="300" verticalDpi="300" r:id="rId1"/>
  <headerFooter alignWithMargins="0">
    <oddFooter>&amp;C&amp;P. oldal</oddFooter>
  </headerFooter>
  <rowBreaks count="2" manualBreakCount="2">
    <brk id="76" max="26" man="1"/>
    <brk id="136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4"/>
  <dimension ref="A1:AH66"/>
  <sheetViews>
    <sheetView view="pageBreakPreview" zoomScale="60" zoomScaleNormal="100" workbookViewId="0">
      <selection activeCell="I1" sqref="I1:AH1"/>
    </sheetView>
  </sheetViews>
  <sheetFormatPr defaultRowHeight="12.75"/>
  <cols>
    <col min="1" max="1" width="4.7109375" style="148" customWidth="1"/>
    <col min="2" max="2" width="5.5703125" style="149" customWidth="1"/>
    <col min="3" max="3" width="18.42578125" style="150" customWidth="1"/>
    <col min="4" max="4" width="9.140625" style="150"/>
    <col min="5" max="5" width="17.7109375" style="150" customWidth="1"/>
    <col min="6" max="6" width="17" style="151" hidden="1" customWidth="1"/>
    <col min="7" max="7" width="12.5703125" style="150" hidden="1" customWidth="1"/>
    <col min="8" max="8" width="13.140625" style="151" hidden="1" customWidth="1"/>
    <col min="9" max="9" width="11.85546875" style="156" hidden="1" customWidth="1"/>
    <col min="10" max="10" width="15.85546875" style="151" hidden="1" customWidth="1"/>
    <col min="11" max="11" width="9.140625" style="151" hidden="1" customWidth="1"/>
    <col min="12" max="12" width="12.28515625" style="151" hidden="1" customWidth="1"/>
    <col min="13" max="13" width="10.140625" style="648" hidden="1" customWidth="1"/>
    <col min="14" max="14" width="16.140625" style="151" hidden="1" customWidth="1"/>
    <col min="15" max="15" width="9.28515625" style="151" hidden="1" customWidth="1"/>
    <col min="16" max="16" width="13.140625" style="151" hidden="1" customWidth="1"/>
    <col min="17" max="17" width="11.140625" style="648" hidden="1" customWidth="1"/>
    <col min="18" max="18" width="15.7109375" style="151" customWidth="1"/>
    <col min="19" max="19" width="11" style="151" customWidth="1"/>
    <col min="20" max="20" width="14" style="151" customWidth="1"/>
    <col min="21" max="21" width="11.7109375" style="648" customWidth="1"/>
    <col min="22" max="22" width="17.140625" style="151" hidden="1" customWidth="1"/>
    <col min="23" max="23" width="11.7109375" style="151" hidden="1" customWidth="1"/>
    <col min="24" max="24" width="16.28515625" style="151" hidden="1" customWidth="1"/>
    <col min="25" max="25" width="11.85546875" style="151" hidden="1" customWidth="1"/>
    <col min="26" max="26" width="15.28515625" style="150" customWidth="1"/>
    <col min="27" max="27" width="10.5703125" style="150" customWidth="1"/>
    <col min="28" max="28" width="13.42578125" style="150" customWidth="1"/>
    <col min="29" max="29" width="13.28515625" style="150" customWidth="1"/>
    <col min="30" max="30" width="16.5703125" style="150" customWidth="1"/>
    <col min="31" max="31" width="11.42578125" style="150" customWidth="1"/>
    <col min="32" max="32" width="13.5703125" style="150" customWidth="1"/>
    <col min="33" max="33" width="12.7109375" style="150" customWidth="1"/>
    <col min="34" max="16384" width="9.140625" style="150"/>
  </cols>
  <sheetData>
    <row r="1" spans="1:34" ht="14.25">
      <c r="B1" s="149" t="s">
        <v>155</v>
      </c>
      <c r="I1" s="980" t="s">
        <v>896</v>
      </c>
      <c r="J1" s="981"/>
      <c r="K1" s="981"/>
      <c r="L1" s="981"/>
      <c r="M1" s="981"/>
      <c r="N1" s="981"/>
      <c r="O1" s="981"/>
      <c r="P1" s="981"/>
      <c r="Q1" s="981"/>
      <c r="R1" s="981"/>
      <c r="S1" s="981"/>
      <c r="T1" s="981"/>
      <c r="U1" s="981"/>
      <c r="V1" s="981"/>
      <c r="W1" s="981"/>
      <c r="X1" s="981"/>
      <c r="Y1" s="981"/>
      <c r="Z1" s="981"/>
      <c r="AA1" s="981"/>
      <c r="AB1" s="981"/>
      <c r="AC1" s="981"/>
      <c r="AD1" s="981"/>
      <c r="AE1" s="981"/>
      <c r="AF1" s="981"/>
      <c r="AG1" s="981"/>
      <c r="AH1" s="981"/>
    </row>
    <row r="3" spans="1:34" ht="26.25" customHeight="1">
      <c r="A3" s="982" t="s">
        <v>527</v>
      </c>
      <c r="B3" s="982"/>
      <c r="C3" s="982"/>
      <c r="D3" s="982"/>
      <c r="E3" s="982"/>
      <c r="F3" s="982"/>
      <c r="G3" s="982"/>
      <c r="H3" s="982"/>
      <c r="I3" s="982"/>
      <c r="J3" s="913"/>
      <c r="K3" s="913"/>
      <c r="L3" s="913"/>
      <c r="M3" s="913"/>
      <c r="N3" s="913"/>
      <c r="O3" s="913"/>
      <c r="P3" s="913"/>
      <c r="Q3" s="913"/>
      <c r="R3" s="913"/>
      <c r="S3" s="913"/>
      <c r="T3" s="913"/>
      <c r="U3" s="913"/>
      <c r="V3" s="913"/>
      <c r="W3" s="913"/>
      <c r="X3" s="913"/>
      <c r="Y3" s="913"/>
      <c r="Z3" s="913"/>
      <c r="AA3" s="913"/>
      <c r="AB3" s="913"/>
      <c r="AC3" s="913"/>
      <c r="AD3" s="913"/>
      <c r="AE3" s="913"/>
      <c r="AF3" s="913"/>
      <c r="AG3" s="913"/>
      <c r="AH3" s="913"/>
    </row>
    <row r="4" spans="1:34">
      <c r="A4" s="982" t="s">
        <v>526</v>
      </c>
      <c r="B4" s="982"/>
      <c r="C4" s="982"/>
      <c r="D4" s="982"/>
      <c r="E4" s="982"/>
      <c r="F4" s="982"/>
      <c r="G4" s="982"/>
      <c r="H4" s="982"/>
      <c r="I4" s="982"/>
      <c r="J4" s="913"/>
      <c r="K4" s="913"/>
      <c r="L4" s="913"/>
      <c r="M4" s="913"/>
      <c r="N4" s="913"/>
      <c r="O4" s="913"/>
      <c r="P4" s="913"/>
      <c r="Q4" s="913"/>
      <c r="R4" s="913"/>
      <c r="S4" s="913"/>
      <c r="T4" s="913"/>
      <c r="U4" s="913"/>
      <c r="V4" s="913"/>
      <c r="W4" s="913"/>
      <c r="X4" s="913"/>
      <c r="Y4" s="913"/>
      <c r="Z4" s="913"/>
      <c r="AA4" s="913"/>
      <c r="AB4" s="913"/>
      <c r="AC4" s="913"/>
      <c r="AD4" s="913"/>
      <c r="AE4" s="913"/>
      <c r="AF4" s="913"/>
      <c r="AG4" s="913"/>
      <c r="AH4" s="913"/>
    </row>
    <row r="6" spans="1:34">
      <c r="C6" s="152"/>
      <c r="G6" s="983" t="s">
        <v>103</v>
      </c>
      <c r="H6" s="983"/>
      <c r="I6" s="913"/>
      <c r="J6" s="913"/>
      <c r="K6" s="913"/>
      <c r="L6" s="913"/>
      <c r="M6" s="913"/>
      <c r="N6" s="913"/>
      <c r="O6" s="913"/>
      <c r="P6" s="913"/>
      <c r="Q6" s="913"/>
      <c r="R6" s="913"/>
      <c r="S6" s="913"/>
      <c r="T6" s="913"/>
      <c r="U6" s="913"/>
      <c r="V6" s="913"/>
      <c r="W6" s="913"/>
      <c r="X6" s="913"/>
      <c r="Y6" s="913"/>
      <c r="Z6" s="913"/>
      <c r="AA6" s="913"/>
      <c r="AB6" s="913"/>
      <c r="AC6" s="913"/>
      <c r="AD6" s="913"/>
      <c r="AE6" s="913"/>
      <c r="AF6" s="913"/>
      <c r="AG6" s="913"/>
    </row>
    <row r="7" spans="1:34">
      <c r="A7" s="977"/>
      <c r="B7" s="977"/>
      <c r="C7" s="977"/>
      <c r="D7" s="977"/>
      <c r="E7" s="977"/>
      <c r="F7" s="643"/>
      <c r="G7" s="644"/>
      <c r="H7" s="645"/>
      <c r="I7" s="646"/>
    </row>
    <row r="8" spans="1:34" s="156" customFormat="1" ht="12.75" customHeight="1">
      <c r="A8" s="248"/>
      <c r="B8" s="160"/>
      <c r="C8" s="160"/>
      <c r="D8" s="160"/>
      <c r="E8" s="261"/>
      <c r="F8" s="974" t="s">
        <v>592</v>
      </c>
      <c r="G8" s="975"/>
      <c r="H8" s="975"/>
      <c r="I8" s="976"/>
      <c r="J8" s="974" t="s">
        <v>708</v>
      </c>
      <c r="K8" s="975"/>
      <c r="L8" s="975"/>
      <c r="M8" s="976"/>
      <c r="N8" s="969" t="s">
        <v>432</v>
      </c>
      <c r="O8" s="970"/>
      <c r="P8" s="970"/>
      <c r="Q8" s="971"/>
      <c r="R8" s="969" t="s">
        <v>732</v>
      </c>
      <c r="S8" s="970"/>
      <c r="T8" s="970"/>
      <c r="U8" s="971"/>
      <c r="V8" s="969" t="s">
        <v>815</v>
      </c>
      <c r="W8" s="970"/>
      <c r="X8" s="970"/>
      <c r="Y8" s="971"/>
      <c r="Z8" s="969" t="s">
        <v>432</v>
      </c>
      <c r="AA8" s="970"/>
      <c r="AB8" s="970"/>
      <c r="AC8" s="971"/>
      <c r="AD8" s="969" t="s">
        <v>832</v>
      </c>
      <c r="AE8" s="970"/>
      <c r="AF8" s="970"/>
      <c r="AG8" s="971"/>
    </row>
    <row r="9" spans="1:34" s="156" customFormat="1" ht="30" customHeight="1">
      <c r="A9" s="252"/>
      <c r="B9" s="154"/>
      <c r="C9" s="155"/>
      <c r="D9" s="169"/>
      <c r="E9" s="253"/>
      <c r="F9" s="973" t="s">
        <v>520</v>
      </c>
      <c r="G9" s="972" t="s">
        <v>519</v>
      </c>
      <c r="H9" s="972"/>
      <c r="I9" s="978" t="s">
        <v>190</v>
      </c>
      <c r="J9" s="966" t="s">
        <v>520</v>
      </c>
      <c r="K9" s="966" t="s">
        <v>519</v>
      </c>
      <c r="L9" s="966"/>
      <c r="M9" s="967" t="s">
        <v>190</v>
      </c>
      <c r="N9" s="966" t="s">
        <v>520</v>
      </c>
      <c r="O9" s="966" t="s">
        <v>519</v>
      </c>
      <c r="P9" s="966"/>
      <c r="Q9" s="967" t="s">
        <v>190</v>
      </c>
      <c r="R9" s="966" t="s">
        <v>520</v>
      </c>
      <c r="S9" s="966" t="s">
        <v>519</v>
      </c>
      <c r="T9" s="966"/>
      <c r="U9" s="967" t="s">
        <v>190</v>
      </c>
      <c r="V9" s="966" t="s">
        <v>520</v>
      </c>
      <c r="W9" s="966" t="s">
        <v>519</v>
      </c>
      <c r="X9" s="966"/>
      <c r="Y9" s="967" t="s">
        <v>190</v>
      </c>
      <c r="Z9" s="966" t="s">
        <v>520</v>
      </c>
      <c r="AA9" s="966" t="s">
        <v>519</v>
      </c>
      <c r="AB9" s="966"/>
      <c r="AC9" s="967" t="s">
        <v>190</v>
      </c>
      <c r="AD9" s="966" t="s">
        <v>520</v>
      </c>
      <c r="AE9" s="966" t="s">
        <v>519</v>
      </c>
      <c r="AF9" s="966"/>
      <c r="AG9" s="967" t="s">
        <v>190</v>
      </c>
    </row>
    <row r="10" spans="1:34" s="156" customFormat="1" ht="20.25" customHeight="1">
      <c r="A10" s="254"/>
      <c r="B10" s="265"/>
      <c r="C10" s="255"/>
      <c r="D10" s="163"/>
      <c r="E10" s="256"/>
      <c r="F10" s="966"/>
      <c r="G10" s="236" t="s">
        <v>518</v>
      </c>
      <c r="H10" s="275" t="s">
        <v>517</v>
      </c>
      <c r="I10" s="979"/>
      <c r="J10" s="966"/>
      <c r="K10" s="647" t="s">
        <v>518</v>
      </c>
      <c r="L10" s="275" t="s">
        <v>517</v>
      </c>
      <c r="M10" s="968"/>
      <c r="N10" s="966"/>
      <c r="O10" s="647" t="s">
        <v>518</v>
      </c>
      <c r="P10" s="275" t="s">
        <v>517</v>
      </c>
      <c r="Q10" s="968"/>
      <c r="R10" s="966"/>
      <c r="S10" s="647" t="s">
        <v>518</v>
      </c>
      <c r="T10" s="275" t="s">
        <v>517</v>
      </c>
      <c r="U10" s="968"/>
      <c r="V10" s="966"/>
      <c r="W10" s="647" t="s">
        <v>518</v>
      </c>
      <c r="X10" s="275" t="s">
        <v>517</v>
      </c>
      <c r="Y10" s="968"/>
      <c r="Z10" s="966"/>
      <c r="AA10" s="647" t="s">
        <v>518</v>
      </c>
      <c r="AB10" s="275" t="s">
        <v>517</v>
      </c>
      <c r="AC10" s="968"/>
      <c r="AD10" s="966"/>
      <c r="AE10" s="647" t="s">
        <v>518</v>
      </c>
      <c r="AF10" s="275" t="s">
        <v>517</v>
      </c>
      <c r="AG10" s="968"/>
    </row>
    <row r="11" spans="1:34" s="156" customFormat="1" ht="20.25" customHeight="1">
      <c r="A11" s="252"/>
      <c r="B11" s="257" t="s">
        <v>415</v>
      </c>
      <c r="C11" s="155"/>
      <c r="D11" s="169"/>
      <c r="E11" s="253"/>
      <c r="F11" s="237"/>
      <c r="G11" s="244"/>
      <c r="H11" s="276"/>
      <c r="I11" s="249"/>
      <c r="J11" s="648"/>
      <c r="K11" s="281"/>
      <c r="L11" s="648"/>
      <c r="M11" s="281"/>
      <c r="N11" s="281"/>
      <c r="O11" s="281"/>
      <c r="P11" s="281"/>
      <c r="Q11" s="281"/>
      <c r="R11" s="281"/>
      <c r="S11" s="281"/>
      <c r="T11" s="281"/>
      <c r="U11" s="246"/>
      <c r="V11" s="281"/>
      <c r="W11" s="281"/>
      <c r="X11" s="281"/>
      <c r="Y11" s="281"/>
      <c r="Z11" s="281"/>
      <c r="AA11" s="281"/>
      <c r="AB11" s="281"/>
      <c r="AC11" s="246"/>
      <c r="AD11" s="281"/>
      <c r="AE11" s="281"/>
      <c r="AF11" s="281"/>
      <c r="AG11" s="281"/>
    </row>
    <row r="12" spans="1:34" s="156" customFormat="1" ht="26.45" customHeight="1">
      <c r="A12" s="252" t="s">
        <v>416</v>
      </c>
      <c r="B12" s="154" t="s">
        <v>417</v>
      </c>
      <c r="C12" s="155"/>
      <c r="D12" s="169"/>
      <c r="E12" s="253"/>
      <c r="F12" s="238"/>
      <c r="G12" s="245"/>
      <c r="H12" s="277"/>
      <c r="I12" s="250"/>
      <c r="J12" s="648"/>
      <c r="K12" s="251"/>
      <c r="L12" s="648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</row>
    <row r="13" spans="1:34" ht="13.15" customHeight="1">
      <c r="A13" s="258"/>
      <c r="B13" s="167" t="s">
        <v>247</v>
      </c>
      <c r="C13" s="157" t="s">
        <v>189</v>
      </c>
      <c r="D13" s="174"/>
      <c r="E13" s="259"/>
      <c r="F13" s="239">
        <v>1000</v>
      </c>
      <c r="G13" s="239">
        <f>51322+36388</f>
        <v>87710</v>
      </c>
      <c r="H13" s="239">
        <f>104000+37507</f>
        <v>141507</v>
      </c>
      <c r="I13" s="242">
        <f>SUM(F13:H13)</f>
        <v>230217</v>
      </c>
      <c r="J13" s="279">
        <v>0</v>
      </c>
      <c r="K13" s="166">
        <v>61502</v>
      </c>
      <c r="L13" s="279">
        <v>156088</v>
      </c>
      <c r="M13" s="251">
        <f>SUM(J13:L13)</f>
        <v>217590</v>
      </c>
      <c r="N13" s="279">
        <v>0</v>
      </c>
      <c r="O13" s="279">
        <v>56464</v>
      </c>
      <c r="P13" s="279">
        <v>118103</v>
      </c>
      <c r="Q13" s="251">
        <f>N13+O13+P13</f>
        <v>174567</v>
      </c>
      <c r="R13" s="279">
        <f>F13+N13</f>
        <v>1000</v>
      </c>
      <c r="S13" s="279">
        <f>G13+O13</f>
        <v>144174</v>
      </c>
      <c r="T13" s="279">
        <f>H13+P13</f>
        <v>259610</v>
      </c>
      <c r="U13" s="251">
        <f>I13+Q13</f>
        <v>404784</v>
      </c>
      <c r="V13" s="279">
        <v>0</v>
      </c>
      <c r="W13" s="279">
        <v>287831</v>
      </c>
      <c r="X13" s="279">
        <v>200322</v>
      </c>
      <c r="Y13" s="242">
        <v>488153</v>
      </c>
      <c r="Z13" s="790">
        <v>0</v>
      </c>
      <c r="AA13" s="279">
        <v>380000</v>
      </c>
      <c r="AB13" s="279">
        <v>5902</v>
      </c>
      <c r="AC13" s="251">
        <f>Z13+AA13+AB13</f>
        <v>385902</v>
      </c>
      <c r="AD13" s="279">
        <f>R13+Z13</f>
        <v>1000</v>
      </c>
      <c r="AE13" s="279">
        <f>S13+AA13</f>
        <v>524174</v>
      </c>
      <c r="AF13" s="279">
        <f>T13+AB13</f>
        <v>265512</v>
      </c>
      <c r="AG13" s="251">
        <f>SUM(AD13:AF13)</f>
        <v>790686</v>
      </c>
    </row>
    <row r="14" spans="1:34">
      <c r="A14" s="258"/>
      <c r="B14" s="167" t="s">
        <v>244</v>
      </c>
      <c r="C14" s="157" t="s">
        <v>418</v>
      </c>
      <c r="D14" s="174"/>
      <c r="E14" s="259"/>
      <c r="F14" s="239">
        <v>0</v>
      </c>
      <c r="G14" s="239">
        <v>81000</v>
      </c>
      <c r="H14" s="239">
        <v>604000</v>
      </c>
      <c r="I14" s="242">
        <f t="shared" ref="I14:I26" si="0">SUM(F14:H14)</f>
        <v>685000</v>
      </c>
      <c r="J14" s="279">
        <v>0</v>
      </c>
      <c r="K14" s="166">
        <v>39422</v>
      </c>
      <c r="L14" s="279">
        <v>350677</v>
      </c>
      <c r="M14" s="251">
        <f>SUM(J14:L14)</f>
        <v>390099</v>
      </c>
      <c r="N14" s="683">
        <v>0</v>
      </c>
      <c r="O14" s="683">
        <v>0</v>
      </c>
      <c r="P14" s="683">
        <v>190</v>
      </c>
      <c r="Q14" s="280">
        <f t="shared" ref="Q14:Q65" si="1">N14+O14+P14</f>
        <v>190</v>
      </c>
      <c r="R14" s="279">
        <f t="shared" ref="R14:R65" si="2">F14+N14</f>
        <v>0</v>
      </c>
      <c r="S14" s="279">
        <f t="shared" ref="S14:S65" si="3">G14+O14</f>
        <v>81000</v>
      </c>
      <c r="T14" s="279">
        <f t="shared" ref="T14:T65" si="4">H14+P14</f>
        <v>604190</v>
      </c>
      <c r="U14" s="251">
        <f t="shared" ref="U14:U65" si="5">I14+Q14</f>
        <v>685190</v>
      </c>
      <c r="V14" s="279">
        <v>0</v>
      </c>
      <c r="W14" s="279">
        <v>61789</v>
      </c>
      <c r="X14" s="279">
        <f t="shared" ref="X14:X65" si="6">Y14-W14-V14</f>
        <v>614638</v>
      </c>
      <c r="Y14" s="242">
        <v>676427</v>
      </c>
      <c r="Z14" s="790">
        <v>0</v>
      </c>
      <c r="AA14" s="279">
        <v>5109</v>
      </c>
      <c r="AB14" s="279">
        <v>0</v>
      </c>
      <c r="AC14" s="251">
        <f t="shared" ref="AC14:AC65" si="7">Z14+AA14+AB14</f>
        <v>5109</v>
      </c>
      <c r="AD14" s="279">
        <f t="shared" ref="AD14:AD65" si="8">R14+Z14</f>
        <v>0</v>
      </c>
      <c r="AE14" s="279">
        <f t="shared" ref="AE14:AE65" si="9">S14+AA14</f>
        <v>86109</v>
      </c>
      <c r="AF14" s="279">
        <f t="shared" ref="AF14:AF65" si="10">T14+AB14</f>
        <v>604190</v>
      </c>
      <c r="AG14" s="251">
        <f t="shared" ref="AG14:AG65" si="11">SUM(AD14:AF14)</f>
        <v>690299</v>
      </c>
    </row>
    <row r="15" spans="1:34" s="156" customFormat="1">
      <c r="A15" s="260" t="s">
        <v>119</v>
      </c>
      <c r="B15" s="158" t="s">
        <v>494</v>
      </c>
      <c r="C15" s="159"/>
      <c r="D15" s="160"/>
      <c r="E15" s="261"/>
      <c r="F15" s="240">
        <f t="shared" ref="F15:L15" si="12">SUM(F13:F14)</f>
        <v>1000</v>
      </c>
      <c r="G15" s="240">
        <f t="shared" si="12"/>
        <v>168710</v>
      </c>
      <c r="H15" s="240">
        <f t="shared" si="12"/>
        <v>745507</v>
      </c>
      <c r="I15" s="240">
        <f t="shared" si="12"/>
        <v>915217</v>
      </c>
      <c r="J15" s="184">
        <f t="shared" si="12"/>
        <v>0</v>
      </c>
      <c r="K15" s="184">
        <f t="shared" si="12"/>
        <v>100924</v>
      </c>
      <c r="L15" s="184">
        <f t="shared" si="12"/>
        <v>506765</v>
      </c>
      <c r="M15" s="184">
        <f>SUM(J15:L15)</f>
        <v>607689</v>
      </c>
      <c r="N15" s="251">
        <v>0</v>
      </c>
      <c r="O15" s="251">
        <f>SUM(O13:O14)</f>
        <v>56464</v>
      </c>
      <c r="P15" s="251">
        <f>SUM(P13:P14)</f>
        <v>118293</v>
      </c>
      <c r="Q15" s="251">
        <f t="shared" si="1"/>
        <v>174757</v>
      </c>
      <c r="R15" s="184">
        <f t="shared" si="2"/>
        <v>1000</v>
      </c>
      <c r="S15" s="184">
        <f t="shared" si="3"/>
        <v>225174</v>
      </c>
      <c r="T15" s="184">
        <f t="shared" si="4"/>
        <v>863800</v>
      </c>
      <c r="U15" s="184">
        <f t="shared" si="5"/>
        <v>1089974</v>
      </c>
      <c r="V15" s="184">
        <f>SUM(V13:V14)</f>
        <v>0</v>
      </c>
      <c r="W15" s="184">
        <f>SUM(W13:W14)</f>
        <v>349620</v>
      </c>
      <c r="X15" s="184">
        <f t="shared" si="6"/>
        <v>814960</v>
      </c>
      <c r="Y15" s="240">
        <f>SUM(Y13:Y14)</f>
        <v>1164580</v>
      </c>
      <c r="Z15" s="856">
        <f>SUM(Z13:Z14)</f>
        <v>0</v>
      </c>
      <c r="AA15" s="184">
        <f>SUM(AA13:AA14)</f>
        <v>385109</v>
      </c>
      <c r="AB15" s="184">
        <f>SUM(AB13:AB14)</f>
        <v>5902</v>
      </c>
      <c r="AC15" s="184">
        <f t="shared" si="7"/>
        <v>391011</v>
      </c>
      <c r="AD15" s="682">
        <f t="shared" si="8"/>
        <v>1000</v>
      </c>
      <c r="AE15" s="682">
        <f t="shared" si="9"/>
        <v>610283</v>
      </c>
      <c r="AF15" s="682">
        <f t="shared" si="10"/>
        <v>869702</v>
      </c>
      <c r="AG15" s="184">
        <f t="shared" si="11"/>
        <v>1480985</v>
      </c>
    </row>
    <row r="16" spans="1:34" s="156" customFormat="1">
      <c r="A16" s="260" t="s">
        <v>149</v>
      </c>
      <c r="B16" s="158" t="s">
        <v>150</v>
      </c>
      <c r="C16" s="159"/>
      <c r="D16" s="160"/>
      <c r="E16" s="261"/>
      <c r="F16" s="240">
        <f>18602+215</f>
        <v>18817</v>
      </c>
      <c r="G16" s="240">
        <f>401992+4156+43559</f>
        <v>449707</v>
      </c>
      <c r="H16" s="240">
        <f>SUM('[1]címrendes bevétel'!V113)</f>
        <v>0</v>
      </c>
      <c r="I16" s="240">
        <f t="shared" si="0"/>
        <v>468524</v>
      </c>
      <c r="J16" s="184">
        <v>0</v>
      </c>
      <c r="K16" s="184">
        <v>291150</v>
      </c>
      <c r="L16" s="184">
        <v>81962</v>
      </c>
      <c r="M16" s="184">
        <f>SUM(J16:L16)</f>
        <v>373112</v>
      </c>
      <c r="N16" s="184">
        <v>107</v>
      </c>
      <c r="O16" s="184">
        <v>142939</v>
      </c>
      <c r="P16" s="184">
        <v>4930</v>
      </c>
      <c r="Q16" s="184">
        <f t="shared" si="1"/>
        <v>147976</v>
      </c>
      <c r="R16" s="251">
        <f t="shared" si="2"/>
        <v>18924</v>
      </c>
      <c r="S16" s="251">
        <f t="shared" si="3"/>
        <v>592646</v>
      </c>
      <c r="T16" s="251">
        <f t="shared" si="4"/>
        <v>4930</v>
      </c>
      <c r="U16" s="251">
        <f t="shared" si="5"/>
        <v>616500</v>
      </c>
      <c r="V16" s="251">
        <v>18817</v>
      </c>
      <c r="W16" s="251">
        <v>432832</v>
      </c>
      <c r="X16" s="251">
        <f t="shared" si="6"/>
        <v>81962</v>
      </c>
      <c r="Y16" s="242">
        <v>533611</v>
      </c>
      <c r="Z16" s="789">
        <v>17</v>
      </c>
      <c r="AA16" s="251">
        <v>24099</v>
      </c>
      <c r="AB16" s="251">
        <v>797</v>
      </c>
      <c r="AC16" s="251">
        <f t="shared" si="7"/>
        <v>24913</v>
      </c>
      <c r="AD16" s="279">
        <f t="shared" si="8"/>
        <v>18941</v>
      </c>
      <c r="AE16" s="279">
        <f t="shared" si="9"/>
        <v>616745</v>
      </c>
      <c r="AF16" s="279">
        <f t="shared" si="10"/>
        <v>5727</v>
      </c>
      <c r="AG16" s="251">
        <f t="shared" si="11"/>
        <v>641413</v>
      </c>
    </row>
    <row r="17" spans="1:33" s="156" customFormat="1">
      <c r="A17" s="254" t="s">
        <v>419</v>
      </c>
      <c r="B17" s="161" t="s">
        <v>166</v>
      </c>
      <c r="C17" s="162"/>
      <c r="D17" s="163"/>
      <c r="E17" s="256"/>
      <c r="F17" s="241">
        <v>0</v>
      </c>
      <c r="G17" s="240">
        <f>70530-30969</f>
        <v>39561</v>
      </c>
      <c r="H17" s="240">
        <v>17000</v>
      </c>
      <c r="I17" s="240">
        <f t="shared" si="0"/>
        <v>56561</v>
      </c>
      <c r="J17" s="184">
        <v>0</v>
      </c>
      <c r="K17" s="184">
        <v>1800</v>
      </c>
      <c r="L17" s="184">
        <v>0</v>
      </c>
      <c r="M17" s="184">
        <f>SUM(J17:L17)</f>
        <v>1800</v>
      </c>
      <c r="N17" s="184">
        <v>0</v>
      </c>
      <c r="O17" s="184">
        <v>0</v>
      </c>
      <c r="P17" s="184">
        <v>235</v>
      </c>
      <c r="Q17" s="184">
        <f t="shared" si="1"/>
        <v>235</v>
      </c>
      <c r="R17" s="184">
        <f t="shared" si="2"/>
        <v>0</v>
      </c>
      <c r="S17" s="184">
        <f t="shared" si="3"/>
        <v>39561</v>
      </c>
      <c r="T17" s="184">
        <f t="shared" si="4"/>
        <v>17235</v>
      </c>
      <c r="U17" s="184">
        <f t="shared" si="5"/>
        <v>56796</v>
      </c>
      <c r="V17" s="184">
        <v>0</v>
      </c>
      <c r="W17" s="184">
        <v>2943</v>
      </c>
      <c r="X17" s="184">
        <f t="shared" si="6"/>
        <v>12402</v>
      </c>
      <c r="Y17" s="240">
        <v>15345</v>
      </c>
      <c r="Z17" s="856">
        <v>0</v>
      </c>
      <c r="AA17" s="184">
        <v>0</v>
      </c>
      <c r="AB17" s="184">
        <v>0</v>
      </c>
      <c r="AC17" s="184">
        <f t="shared" si="7"/>
        <v>0</v>
      </c>
      <c r="AD17" s="682">
        <f t="shared" si="8"/>
        <v>0</v>
      </c>
      <c r="AE17" s="682">
        <f t="shared" si="9"/>
        <v>39561</v>
      </c>
      <c r="AF17" s="682">
        <f t="shared" si="10"/>
        <v>17235</v>
      </c>
      <c r="AG17" s="184">
        <f t="shared" si="11"/>
        <v>56796</v>
      </c>
    </row>
    <row r="18" spans="1:33" s="156" customFormat="1">
      <c r="A18" s="252" t="s">
        <v>172</v>
      </c>
      <c r="B18" s="164" t="s">
        <v>198</v>
      </c>
      <c r="C18" s="165"/>
      <c r="D18" s="169"/>
      <c r="E18" s="253"/>
      <c r="F18" s="242"/>
      <c r="G18" s="246"/>
      <c r="H18" s="242"/>
      <c r="I18" s="242"/>
      <c r="J18" s="251"/>
      <c r="K18" s="649"/>
      <c r="L18" s="251"/>
      <c r="M18" s="251"/>
      <c r="N18" s="251"/>
      <c r="O18" s="251"/>
      <c r="P18" s="251"/>
      <c r="Q18" s="251"/>
      <c r="R18" s="279"/>
      <c r="S18" s="279"/>
      <c r="T18" s="279"/>
      <c r="U18" s="251"/>
      <c r="V18" s="251"/>
      <c r="W18" s="251"/>
      <c r="X18" s="279"/>
      <c r="Y18" s="242"/>
      <c r="Z18" s="790"/>
      <c r="AA18" s="279"/>
      <c r="AB18" s="279"/>
      <c r="AC18" s="251"/>
      <c r="AD18" s="279"/>
      <c r="AE18" s="279"/>
      <c r="AF18" s="279"/>
      <c r="AG18" s="251"/>
    </row>
    <row r="19" spans="1:33">
      <c r="A19" s="258"/>
      <c r="B19" s="167" t="s">
        <v>117</v>
      </c>
      <c r="C19" s="145" t="s">
        <v>174</v>
      </c>
      <c r="D19" s="174"/>
      <c r="E19" s="259"/>
      <c r="F19" s="239">
        <v>0</v>
      </c>
      <c r="G19" s="239">
        <f>11024+395329</f>
        <v>406353</v>
      </c>
      <c r="H19" s="239">
        <v>7260</v>
      </c>
      <c r="I19" s="242">
        <f t="shared" si="0"/>
        <v>413613</v>
      </c>
      <c r="J19" s="279">
        <v>0</v>
      </c>
      <c r="K19" s="166">
        <v>249631</v>
      </c>
      <c r="L19" s="279">
        <v>2931</v>
      </c>
      <c r="M19" s="251">
        <f>SUM(J19:L19)</f>
        <v>252562</v>
      </c>
      <c r="N19" s="279">
        <v>0</v>
      </c>
      <c r="O19" s="279">
        <v>12026</v>
      </c>
      <c r="P19" s="279">
        <v>20473</v>
      </c>
      <c r="Q19" s="251">
        <f t="shared" si="1"/>
        <v>32499</v>
      </c>
      <c r="R19" s="279">
        <f t="shared" si="2"/>
        <v>0</v>
      </c>
      <c r="S19" s="279">
        <f t="shared" si="3"/>
        <v>418379</v>
      </c>
      <c r="T19" s="279">
        <f t="shared" si="4"/>
        <v>27733</v>
      </c>
      <c r="U19" s="251">
        <f t="shared" si="5"/>
        <v>446112</v>
      </c>
      <c r="V19" s="279">
        <v>0</v>
      </c>
      <c r="W19" s="279">
        <v>343531</v>
      </c>
      <c r="X19" s="279">
        <f t="shared" si="6"/>
        <v>8082</v>
      </c>
      <c r="Y19" s="242">
        <v>351613</v>
      </c>
      <c r="Z19" s="790">
        <v>0</v>
      </c>
      <c r="AA19" s="279">
        <v>23086</v>
      </c>
      <c r="AB19" s="279">
        <v>9218</v>
      </c>
      <c r="AC19" s="251">
        <f t="shared" si="7"/>
        <v>32304</v>
      </c>
      <c r="AD19" s="279">
        <f t="shared" si="8"/>
        <v>0</v>
      </c>
      <c r="AE19" s="279">
        <f t="shared" si="9"/>
        <v>441465</v>
      </c>
      <c r="AF19" s="279">
        <f t="shared" si="10"/>
        <v>36951</v>
      </c>
      <c r="AG19" s="251">
        <f t="shared" si="11"/>
        <v>478416</v>
      </c>
    </row>
    <row r="20" spans="1:33">
      <c r="A20" s="258"/>
      <c r="B20" s="167" t="s">
        <v>122</v>
      </c>
      <c r="C20" s="146" t="s">
        <v>175</v>
      </c>
      <c r="D20" s="174"/>
      <c r="E20" s="259"/>
      <c r="F20" s="239">
        <v>0</v>
      </c>
      <c r="G20" s="239">
        <v>1960162</v>
      </c>
      <c r="H20" s="239">
        <v>264409</v>
      </c>
      <c r="I20" s="242">
        <f t="shared" si="0"/>
        <v>2224571</v>
      </c>
      <c r="J20" s="279">
        <v>0</v>
      </c>
      <c r="K20" s="166">
        <v>492</v>
      </c>
      <c r="L20" s="279">
        <v>491811</v>
      </c>
      <c r="M20" s="251">
        <f>SUM(J20:L20)</f>
        <v>492303</v>
      </c>
      <c r="N20" s="279">
        <v>0</v>
      </c>
      <c r="O20" s="279">
        <v>11451</v>
      </c>
      <c r="P20" s="279">
        <v>29804</v>
      </c>
      <c r="Q20" s="251">
        <f t="shared" si="1"/>
        <v>41255</v>
      </c>
      <c r="R20" s="279">
        <f t="shared" si="2"/>
        <v>0</v>
      </c>
      <c r="S20" s="279">
        <f t="shared" si="3"/>
        <v>1971613</v>
      </c>
      <c r="T20" s="279">
        <f t="shared" si="4"/>
        <v>294213</v>
      </c>
      <c r="U20" s="251">
        <f t="shared" si="5"/>
        <v>2265826</v>
      </c>
      <c r="V20" s="279">
        <v>0</v>
      </c>
      <c r="W20" s="279">
        <v>210221</v>
      </c>
      <c r="X20" s="279">
        <f t="shared" si="6"/>
        <v>593316</v>
      </c>
      <c r="Y20" s="242">
        <v>803537</v>
      </c>
      <c r="Z20" s="790">
        <v>0</v>
      </c>
      <c r="AA20" s="279">
        <v>0</v>
      </c>
      <c r="AB20" s="279">
        <v>348864</v>
      </c>
      <c r="AC20" s="251">
        <f t="shared" si="7"/>
        <v>348864</v>
      </c>
      <c r="AD20" s="279">
        <f t="shared" si="8"/>
        <v>0</v>
      </c>
      <c r="AE20" s="279">
        <f t="shared" si="9"/>
        <v>1971613</v>
      </c>
      <c r="AF20" s="279">
        <f t="shared" si="10"/>
        <v>643077</v>
      </c>
      <c r="AG20" s="251">
        <f t="shared" si="11"/>
        <v>2614690</v>
      </c>
    </row>
    <row r="21" spans="1:33" s="156" customFormat="1">
      <c r="A21" s="260" t="s">
        <v>172</v>
      </c>
      <c r="B21" s="158" t="s">
        <v>495</v>
      </c>
      <c r="C21" s="159"/>
      <c r="D21" s="160"/>
      <c r="E21" s="261"/>
      <c r="F21" s="240">
        <f>SUM(F19:F20)</f>
        <v>0</v>
      </c>
      <c r="G21" s="240">
        <f>SUM(G19:G20)</f>
        <v>2366515</v>
      </c>
      <c r="H21" s="240">
        <f>SUM(H19:H20)</f>
        <v>271669</v>
      </c>
      <c r="I21" s="240">
        <f t="shared" si="0"/>
        <v>2638184</v>
      </c>
      <c r="J21" s="184">
        <f>SUM(J19:J20)</f>
        <v>0</v>
      </c>
      <c r="K21" s="184">
        <f>SUM(K19:K20)</f>
        <v>250123</v>
      </c>
      <c r="L21" s="184">
        <f>SUM(L19:L20)</f>
        <v>494742</v>
      </c>
      <c r="M21" s="184">
        <f>SUM(J21:L21)</f>
        <v>744865</v>
      </c>
      <c r="N21" s="184">
        <v>0</v>
      </c>
      <c r="O21" s="184">
        <f>SUM(O19:O20)</f>
        <v>23477</v>
      </c>
      <c r="P21" s="184">
        <f>SUM(P19:P20)</f>
        <v>50277</v>
      </c>
      <c r="Q21" s="184">
        <f t="shared" si="1"/>
        <v>73754</v>
      </c>
      <c r="R21" s="184">
        <f t="shared" si="2"/>
        <v>0</v>
      </c>
      <c r="S21" s="184">
        <f t="shared" si="3"/>
        <v>2389992</v>
      </c>
      <c r="T21" s="184">
        <f t="shared" si="4"/>
        <v>321946</v>
      </c>
      <c r="U21" s="184">
        <f t="shared" si="5"/>
        <v>2711938</v>
      </c>
      <c r="V21" s="184">
        <f>SUM(V19:V20)</f>
        <v>0</v>
      </c>
      <c r="W21" s="184">
        <f>SUM(W19:W20)</f>
        <v>553752</v>
      </c>
      <c r="X21" s="184">
        <f t="shared" si="6"/>
        <v>601398</v>
      </c>
      <c r="Y21" s="240">
        <f>SUM(Y19:Y20)</f>
        <v>1155150</v>
      </c>
      <c r="Z21" s="856">
        <f>SUM(Z19:Z20)</f>
        <v>0</v>
      </c>
      <c r="AA21" s="184">
        <f>SUM(AA19:AA20)</f>
        <v>23086</v>
      </c>
      <c r="AB21" s="184">
        <f>SUM(AB19:AB20)</f>
        <v>358082</v>
      </c>
      <c r="AC21" s="184">
        <f t="shared" si="7"/>
        <v>381168</v>
      </c>
      <c r="AD21" s="682">
        <f t="shared" si="8"/>
        <v>0</v>
      </c>
      <c r="AE21" s="682">
        <f t="shared" si="9"/>
        <v>2413078</v>
      </c>
      <c r="AF21" s="682">
        <f t="shared" si="10"/>
        <v>680028</v>
      </c>
      <c r="AG21" s="184">
        <f t="shared" si="11"/>
        <v>3093106</v>
      </c>
    </row>
    <row r="22" spans="1:33">
      <c r="A22" s="252" t="s">
        <v>177</v>
      </c>
      <c r="B22" s="164" t="s">
        <v>178</v>
      </c>
      <c r="C22" s="165"/>
      <c r="D22" s="169"/>
      <c r="E22" s="253"/>
      <c r="F22" s="242"/>
      <c r="G22" s="246"/>
      <c r="H22" s="239"/>
      <c r="I22" s="242"/>
      <c r="J22" s="279"/>
      <c r="K22" s="166"/>
      <c r="L22" s="279"/>
      <c r="M22" s="251"/>
      <c r="N22" s="279"/>
      <c r="O22" s="279"/>
      <c r="P22" s="279"/>
      <c r="Q22" s="251"/>
      <c r="R22" s="279"/>
      <c r="S22" s="279"/>
      <c r="T22" s="279"/>
      <c r="U22" s="251"/>
      <c r="V22" s="279"/>
      <c r="W22" s="279"/>
      <c r="X22" s="279"/>
      <c r="Y22" s="242"/>
      <c r="Z22" s="790"/>
      <c r="AA22" s="279"/>
      <c r="AB22" s="279"/>
      <c r="AC22" s="251"/>
      <c r="AD22" s="279"/>
      <c r="AE22" s="279"/>
      <c r="AF22" s="279"/>
      <c r="AG22" s="251"/>
    </row>
    <row r="23" spans="1:33">
      <c r="A23" s="258"/>
      <c r="B23" s="167" t="s">
        <v>117</v>
      </c>
      <c r="C23" s="157" t="s">
        <v>200</v>
      </c>
      <c r="D23" s="174"/>
      <c r="E23" s="259"/>
      <c r="F23" s="239">
        <v>0</v>
      </c>
      <c r="G23" s="239">
        <f>SUM('címrendes bevétel'!M128)</f>
        <v>0</v>
      </c>
      <c r="H23" s="239">
        <v>8549</v>
      </c>
      <c r="I23" s="242">
        <f t="shared" si="0"/>
        <v>8549</v>
      </c>
      <c r="J23" s="279">
        <v>0</v>
      </c>
      <c r="K23" s="166">
        <v>7468</v>
      </c>
      <c r="L23" s="279">
        <v>322</v>
      </c>
      <c r="M23" s="251">
        <f>SUM(J23:L23)</f>
        <v>7790</v>
      </c>
      <c r="N23" s="279">
        <v>0</v>
      </c>
      <c r="O23" s="279">
        <v>0</v>
      </c>
      <c r="P23" s="279">
        <v>0</v>
      </c>
      <c r="Q23" s="251">
        <f t="shared" si="1"/>
        <v>0</v>
      </c>
      <c r="R23" s="279">
        <f t="shared" si="2"/>
        <v>0</v>
      </c>
      <c r="S23" s="279">
        <f t="shared" si="3"/>
        <v>0</v>
      </c>
      <c r="T23" s="279">
        <f t="shared" si="4"/>
        <v>8549</v>
      </c>
      <c r="U23" s="251">
        <f t="shared" si="5"/>
        <v>8549</v>
      </c>
      <c r="V23" s="279">
        <v>0</v>
      </c>
      <c r="W23" s="279">
        <v>7278</v>
      </c>
      <c r="X23" s="279">
        <f t="shared" si="6"/>
        <v>322</v>
      </c>
      <c r="Y23" s="242">
        <v>7600</v>
      </c>
      <c r="Z23" s="790">
        <v>0</v>
      </c>
      <c r="AA23" s="279">
        <v>0</v>
      </c>
      <c r="AB23" s="279">
        <v>0</v>
      </c>
      <c r="AC23" s="251">
        <f t="shared" si="7"/>
        <v>0</v>
      </c>
      <c r="AD23" s="279">
        <f t="shared" si="8"/>
        <v>0</v>
      </c>
      <c r="AE23" s="279">
        <f t="shared" si="9"/>
        <v>0</v>
      </c>
      <c r="AF23" s="279">
        <f t="shared" si="10"/>
        <v>8549</v>
      </c>
      <c r="AG23" s="251">
        <f t="shared" si="11"/>
        <v>8549</v>
      </c>
    </row>
    <row r="24" spans="1:33">
      <c r="A24" s="252"/>
      <c r="B24" s="167" t="s">
        <v>122</v>
      </c>
      <c r="C24" s="168" t="s">
        <v>180</v>
      </c>
      <c r="D24" s="174"/>
      <c r="E24" s="253"/>
      <c r="F24" s="242">
        <v>0</v>
      </c>
      <c r="G24" s="239">
        <v>500</v>
      </c>
      <c r="H24" s="239">
        <v>0</v>
      </c>
      <c r="I24" s="242">
        <f t="shared" si="0"/>
        <v>500</v>
      </c>
      <c r="J24" s="279">
        <v>0</v>
      </c>
      <c r="K24" s="166">
        <v>3266</v>
      </c>
      <c r="L24" s="279">
        <v>0</v>
      </c>
      <c r="M24" s="251">
        <f>SUM(J24:L24)</f>
        <v>3266</v>
      </c>
      <c r="N24" s="279">
        <v>0</v>
      </c>
      <c r="O24" s="279">
        <v>0</v>
      </c>
      <c r="P24" s="279">
        <v>0</v>
      </c>
      <c r="Q24" s="251">
        <f t="shared" si="1"/>
        <v>0</v>
      </c>
      <c r="R24" s="279">
        <f t="shared" si="2"/>
        <v>0</v>
      </c>
      <c r="S24" s="279">
        <f t="shared" si="3"/>
        <v>500</v>
      </c>
      <c r="T24" s="279">
        <f t="shared" si="4"/>
        <v>0</v>
      </c>
      <c r="U24" s="251">
        <f t="shared" si="5"/>
        <v>500</v>
      </c>
      <c r="V24" s="279">
        <v>0</v>
      </c>
      <c r="W24" s="279">
        <v>358</v>
      </c>
      <c r="X24" s="279">
        <f t="shared" si="6"/>
        <v>0</v>
      </c>
      <c r="Y24" s="242">
        <v>358</v>
      </c>
      <c r="Z24" s="790">
        <v>0</v>
      </c>
      <c r="AA24" s="279">
        <v>0</v>
      </c>
      <c r="AB24" s="279">
        <v>0</v>
      </c>
      <c r="AC24" s="251">
        <f t="shared" si="7"/>
        <v>0</v>
      </c>
      <c r="AD24" s="279">
        <f t="shared" si="8"/>
        <v>0</v>
      </c>
      <c r="AE24" s="279">
        <f t="shared" si="9"/>
        <v>500</v>
      </c>
      <c r="AF24" s="279">
        <f t="shared" si="10"/>
        <v>0</v>
      </c>
      <c r="AG24" s="251">
        <f t="shared" si="11"/>
        <v>500</v>
      </c>
    </row>
    <row r="25" spans="1:33" s="156" customFormat="1">
      <c r="A25" s="260" t="s">
        <v>177</v>
      </c>
      <c r="B25" s="158" t="s">
        <v>181</v>
      </c>
      <c r="C25" s="159"/>
      <c r="D25" s="160"/>
      <c r="E25" s="261"/>
      <c r="F25" s="240">
        <f>SUM(F23:F24)</f>
        <v>0</v>
      </c>
      <c r="G25" s="240">
        <f>SUM(G23:G24)</f>
        <v>500</v>
      </c>
      <c r="H25" s="240">
        <f>SUM(H23:H24)</f>
        <v>8549</v>
      </c>
      <c r="I25" s="240">
        <f t="shared" si="0"/>
        <v>9049</v>
      </c>
      <c r="J25" s="184">
        <f>SUM(J23:J24)</f>
        <v>0</v>
      </c>
      <c r="K25" s="184">
        <f>SUM(K23:K24)</f>
        <v>10734</v>
      </c>
      <c r="L25" s="184">
        <f>SUM(L23:L24)</f>
        <v>322</v>
      </c>
      <c r="M25" s="184">
        <f>SUM(J25:L25)</f>
        <v>11056</v>
      </c>
      <c r="N25" s="184">
        <f>SUM(N23:N24)</f>
        <v>0</v>
      </c>
      <c r="O25" s="184">
        <f>SUM(O23:O24)</f>
        <v>0</v>
      </c>
      <c r="P25" s="184">
        <f>SUM(P23:P24)</f>
        <v>0</v>
      </c>
      <c r="Q25" s="184">
        <f t="shared" si="1"/>
        <v>0</v>
      </c>
      <c r="R25" s="184">
        <f t="shared" si="2"/>
        <v>0</v>
      </c>
      <c r="S25" s="184">
        <f t="shared" si="3"/>
        <v>500</v>
      </c>
      <c r="T25" s="184">
        <f t="shared" si="4"/>
        <v>8549</v>
      </c>
      <c r="U25" s="184">
        <f t="shared" si="5"/>
        <v>9049</v>
      </c>
      <c r="V25" s="184">
        <f>SUM(V23:V24)</f>
        <v>0</v>
      </c>
      <c r="W25" s="184">
        <f>SUM(W23:W24)</f>
        <v>7636</v>
      </c>
      <c r="X25" s="184">
        <f t="shared" si="6"/>
        <v>322</v>
      </c>
      <c r="Y25" s="240">
        <f>SUM(Y23:Y24)</f>
        <v>7958</v>
      </c>
      <c r="Z25" s="856">
        <f>SUM(Z23:Z24)</f>
        <v>0</v>
      </c>
      <c r="AA25" s="184">
        <f>SUM(AA23:AA24)</f>
        <v>0</v>
      </c>
      <c r="AB25" s="184">
        <f>SUM(AB23:AB24)</f>
        <v>0</v>
      </c>
      <c r="AC25" s="184">
        <f t="shared" si="7"/>
        <v>0</v>
      </c>
      <c r="AD25" s="682">
        <f t="shared" si="8"/>
        <v>0</v>
      </c>
      <c r="AE25" s="682">
        <f t="shared" si="9"/>
        <v>500</v>
      </c>
      <c r="AF25" s="682">
        <f t="shared" si="10"/>
        <v>8549</v>
      </c>
      <c r="AG25" s="184">
        <f t="shared" si="11"/>
        <v>9049</v>
      </c>
    </row>
    <row r="26" spans="1:33" s="156" customFormat="1">
      <c r="A26" s="260" t="s">
        <v>182</v>
      </c>
      <c r="B26" s="158" t="s">
        <v>502</v>
      </c>
      <c r="C26" s="159"/>
      <c r="D26" s="160"/>
      <c r="E26" s="261"/>
      <c r="F26" s="240">
        <v>0</v>
      </c>
      <c r="G26" s="240">
        <v>3100</v>
      </c>
      <c r="H26" s="240">
        <v>0</v>
      </c>
      <c r="I26" s="242">
        <f t="shared" si="0"/>
        <v>3100</v>
      </c>
      <c r="J26" s="184">
        <v>0</v>
      </c>
      <c r="K26" s="184">
        <v>3735</v>
      </c>
      <c r="L26" s="184">
        <v>0</v>
      </c>
      <c r="M26" s="184">
        <f>SUM(J26:L26)</f>
        <v>3735</v>
      </c>
      <c r="N26" s="251">
        <v>0</v>
      </c>
      <c r="O26" s="251">
        <v>0</v>
      </c>
      <c r="P26" s="251">
        <v>1946</v>
      </c>
      <c r="Q26" s="251">
        <f t="shared" si="1"/>
        <v>1946</v>
      </c>
      <c r="R26" s="251">
        <f t="shared" si="2"/>
        <v>0</v>
      </c>
      <c r="S26" s="251">
        <f t="shared" si="3"/>
        <v>3100</v>
      </c>
      <c r="T26" s="251">
        <f t="shared" si="4"/>
        <v>1946</v>
      </c>
      <c r="U26" s="251">
        <f t="shared" si="5"/>
        <v>5046</v>
      </c>
      <c r="V26" s="251">
        <v>0</v>
      </c>
      <c r="W26" s="251">
        <v>0</v>
      </c>
      <c r="X26" s="251">
        <f t="shared" si="6"/>
        <v>4629</v>
      </c>
      <c r="Y26" s="242">
        <v>4629</v>
      </c>
      <c r="Z26" s="789">
        <v>0</v>
      </c>
      <c r="AA26" s="251">
        <v>0</v>
      </c>
      <c r="AB26" s="251">
        <v>0</v>
      </c>
      <c r="AC26" s="251">
        <f t="shared" si="7"/>
        <v>0</v>
      </c>
      <c r="AD26" s="279">
        <f t="shared" si="8"/>
        <v>0</v>
      </c>
      <c r="AE26" s="279">
        <f t="shared" si="9"/>
        <v>3100</v>
      </c>
      <c r="AF26" s="279">
        <f t="shared" si="10"/>
        <v>1946</v>
      </c>
      <c r="AG26" s="251">
        <f t="shared" si="11"/>
        <v>5046</v>
      </c>
    </row>
    <row r="27" spans="1:33" s="156" customFormat="1">
      <c r="A27" s="260" t="s">
        <v>155</v>
      </c>
      <c r="B27" s="158" t="s">
        <v>421</v>
      </c>
      <c r="C27" s="159"/>
      <c r="D27" s="160"/>
      <c r="E27" s="261"/>
      <c r="F27" s="240">
        <f>SUM(F15+F16+F17+F21+F25+F26)</f>
        <v>19817</v>
      </c>
      <c r="G27" s="240">
        <f>SUM(G15+G16+G17+G21+G25+G26)</f>
        <v>3028093</v>
      </c>
      <c r="H27" s="240">
        <f>H15+H16+H17+H21+H25+H26</f>
        <v>1042725</v>
      </c>
      <c r="I27" s="240">
        <f>I15+I16+I17+I21+I25+I26</f>
        <v>4090635</v>
      </c>
      <c r="J27" s="184">
        <v>0</v>
      </c>
      <c r="K27" s="184">
        <f t="shared" ref="K27:P27" si="13">K15+K16+K17+K21+K25+K26</f>
        <v>658466</v>
      </c>
      <c r="L27" s="184">
        <f t="shared" si="13"/>
        <v>1083791</v>
      </c>
      <c r="M27" s="184">
        <f t="shared" si="13"/>
        <v>1742257</v>
      </c>
      <c r="N27" s="184">
        <f t="shared" si="13"/>
        <v>107</v>
      </c>
      <c r="O27" s="184">
        <f t="shared" si="13"/>
        <v>222880</v>
      </c>
      <c r="P27" s="184">
        <f t="shared" si="13"/>
        <v>175681</v>
      </c>
      <c r="Q27" s="184">
        <f t="shared" si="1"/>
        <v>398668</v>
      </c>
      <c r="R27" s="184">
        <f t="shared" si="2"/>
        <v>19924</v>
      </c>
      <c r="S27" s="184">
        <f t="shared" si="3"/>
        <v>3250973</v>
      </c>
      <c r="T27" s="184">
        <f t="shared" si="4"/>
        <v>1218406</v>
      </c>
      <c r="U27" s="184">
        <f t="shared" si="5"/>
        <v>4489303</v>
      </c>
      <c r="V27" s="184">
        <f>V15+V16+V17+V21+V25+V26</f>
        <v>18817</v>
      </c>
      <c r="W27" s="184">
        <f>W15+W16+W17+W21+W25+W26</f>
        <v>1346783</v>
      </c>
      <c r="X27" s="184">
        <f t="shared" si="6"/>
        <v>1515673</v>
      </c>
      <c r="Y27" s="240">
        <f>Y15+Y16+Y17+Y21+Y25+Y26</f>
        <v>2881273</v>
      </c>
      <c r="Z27" s="856">
        <f>Z15+Z16+Z17+Z21+Z25+Z26</f>
        <v>17</v>
      </c>
      <c r="AA27" s="856">
        <f>AA15+AA16+AA17+AA21+AA25+AA26</f>
        <v>432294</v>
      </c>
      <c r="AB27" s="856">
        <f>AB15+AB16+AB17+AB21+AB25+AB26</f>
        <v>364781</v>
      </c>
      <c r="AC27" s="184">
        <f t="shared" si="7"/>
        <v>797092</v>
      </c>
      <c r="AD27" s="682">
        <f t="shared" si="8"/>
        <v>19941</v>
      </c>
      <c r="AE27" s="682">
        <f t="shared" si="9"/>
        <v>3683267</v>
      </c>
      <c r="AF27" s="682">
        <f t="shared" si="10"/>
        <v>1583187</v>
      </c>
      <c r="AG27" s="184">
        <f t="shared" si="11"/>
        <v>5286395</v>
      </c>
    </row>
    <row r="28" spans="1:33">
      <c r="A28" s="258"/>
      <c r="B28" s="164"/>
      <c r="C28" s="165"/>
      <c r="D28" s="174"/>
      <c r="E28" s="259"/>
      <c r="F28" s="239"/>
      <c r="G28" s="239"/>
      <c r="H28" s="239"/>
      <c r="I28" s="242"/>
      <c r="J28" s="279"/>
      <c r="K28" s="166"/>
      <c r="L28" s="279"/>
      <c r="M28" s="251"/>
      <c r="N28" s="279"/>
      <c r="O28" s="279"/>
      <c r="P28" s="279"/>
      <c r="Q28" s="251"/>
      <c r="R28" s="279"/>
      <c r="S28" s="279"/>
      <c r="T28" s="279"/>
      <c r="U28" s="251"/>
      <c r="V28" s="279"/>
      <c r="W28" s="279"/>
      <c r="X28" s="279"/>
      <c r="Y28" s="242"/>
      <c r="Z28" s="790"/>
      <c r="AA28" s="279"/>
      <c r="AB28" s="279"/>
      <c r="AC28" s="251"/>
      <c r="AD28" s="279"/>
      <c r="AE28" s="279"/>
      <c r="AF28" s="279"/>
      <c r="AG28" s="251"/>
    </row>
    <row r="29" spans="1:33">
      <c r="A29" s="258"/>
      <c r="B29" s="170" t="s">
        <v>422</v>
      </c>
      <c r="C29" s="165"/>
      <c r="D29" s="174"/>
      <c r="E29" s="259"/>
      <c r="F29" s="239"/>
      <c r="G29" s="239"/>
      <c r="H29" s="239"/>
      <c r="I29" s="242"/>
      <c r="J29" s="279"/>
      <c r="K29" s="166"/>
      <c r="L29" s="279"/>
      <c r="M29" s="251"/>
      <c r="N29" s="279"/>
      <c r="O29" s="279"/>
      <c r="P29" s="279"/>
      <c r="Q29" s="251"/>
      <c r="R29" s="279"/>
      <c r="S29" s="279"/>
      <c r="T29" s="279"/>
      <c r="U29" s="251"/>
      <c r="V29" s="279"/>
      <c r="W29" s="279"/>
      <c r="X29" s="279"/>
      <c r="Y29" s="242"/>
      <c r="Z29" s="790"/>
      <c r="AA29" s="279"/>
      <c r="AB29" s="279"/>
      <c r="AC29" s="251"/>
      <c r="AD29" s="279"/>
      <c r="AE29" s="279"/>
      <c r="AF29" s="279"/>
      <c r="AG29" s="251"/>
    </row>
    <row r="30" spans="1:33" s="156" customFormat="1">
      <c r="A30" s="252" t="s">
        <v>117</v>
      </c>
      <c r="B30" s="164" t="s">
        <v>218</v>
      </c>
      <c r="C30" s="165"/>
      <c r="D30" s="169"/>
      <c r="E30" s="253"/>
      <c r="F30" s="242"/>
      <c r="G30" s="242"/>
      <c r="H30" s="242"/>
      <c r="I30" s="242"/>
      <c r="J30" s="251"/>
      <c r="K30" s="649"/>
      <c r="L30" s="251"/>
      <c r="M30" s="251"/>
      <c r="N30" s="251"/>
      <c r="O30" s="251"/>
      <c r="P30" s="251"/>
      <c r="Q30" s="251"/>
      <c r="R30" s="279"/>
      <c r="S30" s="279"/>
      <c r="T30" s="279"/>
      <c r="U30" s="251"/>
      <c r="V30" s="251"/>
      <c r="W30" s="251"/>
      <c r="X30" s="279"/>
      <c r="Y30" s="242"/>
      <c r="Z30" s="790"/>
      <c r="AA30" s="279"/>
      <c r="AB30" s="279"/>
      <c r="AC30" s="251"/>
      <c r="AD30" s="279"/>
      <c r="AE30" s="279"/>
      <c r="AF30" s="279"/>
      <c r="AG30" s="251"/>
    </row>
    <row r="31" spans="1:33">
      <c r="A31" s="258"/>
      <c r="B31" s="157" t="s">
        <v>152</v>
      </c>
      <c r="C31" s="168" t="s">
        <v>317</v>
      </c>
      <c r="D31" s="174"/>
      <c r="E31" s="259"/>
      <c r="F31" s="239">
        <f>45876+169+51</f>
        <v>46096</v>
      </c>
      <c r="G31" s="239">
        <f>271324+291777</f>
        <v>563101</v>
      </c>
      <c r="H31" s="239">
        <f>27973+220+58+1306</f>
        <v>29557</v>
      </c>
      <c r="I31" s="242">
        <f>SUM(F31:H31)</f>
        <v>638754</v>
      </c>
      <c r="J31" s="279">
        <v>29147</v>
      </c>
      <c r="K31" s="166">
        <v>236896</v>
      </c>
      <c r="L31" s="279">
        <v>13224</v>
      </c>
      <c r="M31" s="251">
        <f>SUM(J31:L31)</f>
        <v>279267</v>
      </c>
      <c r="N31" s="279">
        <v>84</v>
      </c>
      <c r="O31" s="279">
        <v>6398</v>
      </c>
      <c r="P31" s="279">
        <v>5138</v>
      </c>
      <c r="Q31" s="251">
        <f t="shared" si="1"/>
        <v>11620</v>
      </c>
      <c r="R31" s="279">
        <f t="shared" si="2"/>
        <v>46180</v>
      </c>
      <c r="S31" s="279">
        <f t="shared" si="3"/>
        <v>569499</v>
      </c>
      <c r="T31" s="279">
        <f t="shared" si="4"/>
        <v>34695</v>
      </c>
      <c r="U31" s="251">
        <f t="shared" si="5"/>
        <v>650374</v>
      </c>
      <c r="V31" s="279">
        <v>41877</v>
      </c>
      <c r="W31" s="279">
        <v>369569</v>
      </c>
      <c r="X31" s="279">
        <f t="shared" si="6"/>
        <v>20514</v>
      </c>
      <c r="Y31" s="242">
        <v>431960</v>
      </c>
      <c r="Z31" s="790">
        <v>84</v>
      </c>
      <c r="AA31" s="279">
        <v>26619</v>
      </c>
      <c r="AB31" s="279">
        <v>17197</v>
      </c>
      <c r="AC31" s="251">
        <f t="shared" si="7"/>
        <v>43900</v>
      </c>
      <c r="AD31" s="279">
        <f t="shared" si="8"/>
        <v>46264</v>
      </c>
      <c r="AE31" s="279">
        <f t="shared" si="9"/>
        <v>596118</v>
      </c>
      <c r="AF31" s="279">
        <f t="shared" si="10"/>
        <v>51892</v>
      </c>
      <c r="AG31" s="251">
        <f t="shared" si="11"/>
        <v>694274</v>
      </c>
    </row>
    <row r="32" spans="1:33">
      <c r="A32" s="258"/>
      <c r="B32" s="157" t="s">
        <v>156</v>
      </c>
      <c r="C32" s="262" t="s">
        <v>490</v>
      </c>
      <c r="D32" s="174"/>
      <c r="E32" s="259"/>
      <c r="F32" s="239">
        <f>11991+46</f>
        <v>12037</v>
      </c>
      <c r="G32" s="239">
        <f>73582+425+41135</f>
        <v>115142</v>
      </c>
      <c r="H32" s="239">
        <f>7552+60+15+353</f>
        <v>7980</v>
      </c>
      <c r="I32" s="242">
        <f t="shared" ref="I32:I39" si="14">SUM(F32:H32)</f>
        <v>135159</v>
      </c>
      <c r="J32" s="279">
        <v>7193</v>
      </c>
      <c r="K32" s="166">
        <v>49174</v>
      </c>
      <c r="L32" s="279">
        <v>3824</v>
      </c>
      <c r="M32" s="251">
        <f t="shared" ref="M32:M39" si="15">SUM(J32:L32)</f>
        <v>60191</v>
      </c>
      <c r="N32" s="279">
        <v>23</v>
      </c>
      <c r="O32" s="279">
        <v>1683</v>
      </c>
      <c r="P32" s="279">
        <v>1291</v>
      </c>
      <c r="Q32" s="251">
        <f t="shared" si="1"/>
        <v>2997</v>
      </c>
      <c r="R32" s="279">
        <f t="shared" si="2"/>
        <v>12060</v>
      </c>
      <c r="S32" s="279">
        <f t="shared" si="3"/>
        <v>116825</v>
      </c>
      <c r="T32" s="279">
        <f t="shared" si="4"/>
        <v>9271</v>
      </c>
      <c r="U32" s="251">
        <f t="shared" si="5"/>
        <v>138156</v>
      </c>
      <c r="V32" s="279">
        <v>10875</v>
      </c>
      <c r="W32" s="279">
        <v>74921</v>
      </c>
      <c r="X32" s="279">
        <f t="shared" si="6"/>
        <v>5658</v>
      </c>
      <c r="Y32" s="242">
        <v>91454</v>
      </c>
      <c r="Z32" s="790">
        <v>23</v>
      </c>
      <c r="AA32" s="279">
        <v>3888</v>
      </c>
      <c r="AB32" s="279">
        <v>4563</v>
      </c>
      <c r="AC32" s="251">
        <f t="shared" si="7"/>
        <v>8474</v>
      </c>
      <c r="AD32" s="279">
        <f t="shared" si="8"/>
        <v>12083</v>
      </c>
      <c r="AE32" s="279">
        <f t="shared" si="9"/>
        <v>120713</v>
      </c>
      <c r="AF32" s="279">
        <f t="shared" si="10"/>
        <v>13834</v>
      </c>
      <c r="AG32" s="251">
        <f t="shared" si="11"/>
        <v>146630</v>
      </c>
    </row>
    <row r="33" spans="1:33">
      <c r="A33" s="258"/>
      <c r="B33" s="157" t="s">
        <v>220</v>
      </c>
      <c r="C33" s="168" t="s">
        <v>221</v>
      </c>
      <c r="D33" s="174"/>
      <c r="E33" s="259"/>
      <c r="F33" s="239">
        <f>19155+103</f>
        <v>19258</v>
      </c>
      <c r="G33" s="239">
        <f>296412+144569</f>
        <v>440981</v>
      </c>
      <c r="H33" s="239">
        <f>51360+38493+7586+86889</f>
        <v>184328</v>
      </c>
      <c r="I33" s="242">
        <f t="shared" si="14"/>
        <v>644567</v>
      </c>
      <c r="J33" s="279">
        <v>3631</v>
      </c>
      <c r="K33" s="166">
        <v>233178</v>
      </c>
      <c r="L33" s="279">
        <v>67096</v>
      </c>
      <c r="M33" s="251">
        <f t="shared" si="15"/>
        <v>303905</v>
      </c>
      <c r="N33" s="279">
        <v>0</v>
      </c>
      <c r="O33" s="279">
        <v>11355</v>
      </c>
      <c r="P33" s="279">
        <v>131575</v>
      </c>
      <c r="Q33" s="251">
        <f t="shared" si="1"/>
        <v>142930</v>
      </c>
      <c r="R33" s="279">
        <f t="shared" si="2"/>
        <v>19258</v>
      </c>
      <c r="S33" s="279">
        <f t="shared" si="3"/>
        <v>452336</v>
      </c>
      <c r="T33" s="279">
        <f t="shared" si="4"/>
        <v>315903</v>
      </c>
      <c r="U33" s="251">
        <f t="shared" si="5"/>
        <v>787497</v>
      </c>
      <c r="V33" s="279">
        <v>5110</v>
      </c>
      <c r="W33" s="279">
        <v>603151</v>
      </c>
      <c r="X33" s="279">
        <f t="shared" si="6"/>
        <v>78140</v>
      </c>
      <c r="Y33" s="242">
        <v>686401</v>
      </c>
      <c r="Z33" s="790">
        <v>0</v>
      </c>
      <c r="AA33" s="279">
        <v>280878</v>
      </c>
      <c r="AB33" s="279">
        <v>249648</v>
      </c>
      <c r="AC33" s="251">
        <f t="shared" si="7"/>
        <v>530526</v>
      </c>
      <c r="AD33" s="279">
        <f t="shared" si="8"/>
        <v>19258</v>
      </c>
      <c r="AE33" s="279">
        <f t="shared" si="9"/>
        <v>733214</v>
      </c>
      <c r="AF33" s="279">
        <f t="shared" si="10"/>
        <v>565551</v>
      </c>
      <c r="AG33" s="251">
        <f t="shared" si="11"/>
        <v>1318023</v>
      </c>
    </row>
    <row r="34" spans="1:33">
      <c r="A34" s="258"/>
      <c r="B34" s="157" t="s">
        <v>230</v>
      </c>
      <c r="C34" s="168" t="s">
        <v>485</v>
      </c>
      <c r="D34" s="174"/>
      <c r="E34" s="259"/>
      <c r="F34" s="239">
        <v>0</v>
      </c>
      <c r="G34" s="239">
        <v>0</v>
      </c>
      <c r="H34" s="239">
        <v>0</v>
      </c>
      <c r="I34" s="242">
        <f t="shared" si="14"/>
        <v>0</v>
      </c>
      <c r="J34" s="279">
        <v>0</v>
      </c>
      <c r="K34" s="166">
        <v>0</v>
      </c>
      <c r="L34" s="279">
        <v>0</v>
      </c>
      <c r="M34" s="251">
        <f t="shared" si="15"/>
        <v>0</v>
      </c>
      <c r="N34" s="279">
        <v>0</v>
      </c>
      <c r="O34" s="279">
        <v>0</v>
      </c>
      <c r="P34" s="279">
        <v>0</v>
      </c>
      <c r="Q34" s="251">
        <f t="shared" si="1"/>
        <v>0</v>
      </c>
      <c r="R34" s="279">
        <f t="shared" si="2"/>
        <v>0</v>
      </c>
      <c r="S34" s="279">
        <f t="shared" si="3"/>
        <v>0</v>
      </c>
      <c r="T34" s="279">
        <f t="shared" si="4"/>
        <v>0</v>
      </c>
      <c r="U34" s="251">
        <f t="shared" si="5"/>
        <v>0</v>
      </c>
      <c r="V34" s="279">
        <v>0</v>
      </c>
      <c r="W34" s="279">
        <v>0</v>
      </c>
      <c r="X34" s="279">
        <f t="shared" si="6"/>
        <v>0</v>
      </c>
      <c r="Y34" s="242">
        <v>0</v>
      </c>
      <c r="Z34" s="790">
        <v>0</v>
      </c>
      <c r="AA34" s="279">
        <v>0</v>
      </c>
      <c r="AB34" s="279">
        <v>0</v>
      </c>
      <c r="AC34" s="251">
        <f t="shared" si="7"/>
        <v>0</v>
      </c>
      <c r="AD34" s="279">
        <f t="shared" si="8"/>
        <v>0</v>
      </c>
      <c r="AE34" s="279">
        <f t="shared" si="9"/>
        <v>0</v>
      </c>
      <c r="AF34" s="279">
        <f t="shared" si="10"/>
        <v>0</v>
      </c>
      <c r="AG34" s="251">
        <f t="shared" si="11"/>
        <v>0</v>
      </c>
    </row>
    <row r="35" spans="1:33">
      <c r="A35" s="258"/>
      <c r="B35" s="157" t="s">
        <v>162</v>
      </c>
      <c r="C35" s="145" t="s">
        <v>222</v>
      </c>
      <c r="D35" s="174"/>
      <c r="E35" s="259"/>
      <c r="F35" s="239">
        <v>0</v>
      </c>
      <c r="G35" s="239">
        <f>30305+194</f>
        <v>30499</v>
      </c>
      <c r="H35" s="239">
        <f>15580+20463</f>
        <v>36043</v>
      </c>
      <c r="I35" s="242">
        <f t="shared" si="14"/>
        <v>66542</v>
      </c>
      <c r="J35" s="279">
        <v>0</v>
      </c>
      <c r="K35" s="166">
        <v>39329</v>
      </c>
      <c r="L35" s="279">
        <v>2442</v>
      </c>
      <c r="M35" s="251">
        <f t="shared" si="15"/>
        <v>41771</v>
      </c>
      <c r="N35" s="279">
        <v>0</v>
      </c>
      <c r="O35" s="279">
        <v>128379</v>
      </c>
      <c r="P35" s="279">
        <v>379</v>
      </c>
      <c r="Q35" s="251">
        <f t="shared" si="1"/>
        <v>128758</v>
      </c>
      <c r="R35" s="279">
        <f t="shared" si="2"/>
        <v>0</v>
      </c>
      <c r="S35" s="279">
        <f t="shared" si="3"/>
        <v>158878</v>
      </c>
      <c r="T35" s="279">
        <f t="shared" si="4"/>
        <v>36422</v>
      </c>
      <c r="U35" s="251">
        <f t="shared" si="5"/>
        <v>195300</v>
      </c>
      <c r="V35" s="279">
        <v>0</v>
      </c>
      <c r="W35" s="279">
        <v>98432</v>
      </c>
      <c r="X35" s="279">
        <f t="shared" si="6"/>
        <v>3729</v>
      </c>
      <c r="Y35" s="242">
        <v>102161</v>
      </c>
      <c r="Z35" s="790">
        <v>0</v>
      </c>
      <c r="AA35" s="279">
        <v>-12600</v>
      </c>
      <c r="AB35" s="279">
        <v>0</v>
      </c>
      <c r="AC35" s="251">
        <f t="shared" si="7"/>
        <v>-12600</v>
      </c>
      <c r="AD35" s="279">
        <f t="shared" si="8"/>
        <v>0</v>
      </c>
      <c r="AE35" s="279">
        <f t="shared" si="9"/>
        <v>146278</v>
      </c>
      <c r="AF35" s="279">
        <f t="shared" si="10"/>
        <v>36422</v>
      </c>
      <c r="AG35" s="251">
        <f t="shared" si="11"/>
        <v>182700</v>
      </c>
    </row>
    <row r="36" spans="1:33">
      <c r="A36" s="258"/>
      <c r="B36" s="157" t="s">
        <v>163</v>
      </c>
      <c r="C36" s="168" t="s">
        <v>423</v>
      </c>
      <c r="D36" s="174"/>
      <c r="E36" s="259"/>
      <c r="F36" s="239">
        <v>0</v>
      </c>
      <c r="G36" s="239">
        <f>95803+14742</f>
        <v>110545</v>
      </c>
      <c r="H36" s="239">
        <f>93679+9306</f>
        <v>102985</v>
      </c>
      <c r="I36" s="242">
        <f t="shared" si="14"/>
        <v>213530</v>
      </c>
      <c r="J36" s="279">
        <v>0</v>
      </c>
      <c r="K36" s="166">
        <v>31575</v>
      </c>
      <c r="L36" s="279">
        <v>46402</v>
      </c>
      <c r="M36" s="251">
        <f t="shared" si="15"/>
        <v>77977</v>
      </c>
      <c r="N36" s="279">
        <v>0</v>
      </c>
      <c r="O36" s="279">
        <v>9</v>
      </c>
      <c r="P36" s="279">
        <v>1085</v>
      </c>
      <c r="Q36" s="251">
        <f t="shared" si="1"/>
        <v>1094</v>
      </c>
      <c r="R36" s="279">
        <f t="shared" si="2"/>
        <v>0</v>
      </c>
      <c r="S36" s="279">
        <f t="shared" si="3"/>
        <v>110554</v>
      </c>
      <c r="T36" s="279">
        <f t="shared" si="4"/>
        <v>104070</v>
      </c>
      <c r="U36" s="251">
        <f t="shared" si="5"/>
        <v>214624</v>
      </c>
      <c r="V36" s="279">
        <v>0</v>
      </c>
      <c r="W36" s="279">
        <v>60174</v>
      </c>
      <c r="X36" s="279">
        <f t="shared" si="6"/>
        <v>86754</v>
      </c>
      <c r="Y36" s="242">
        <v>146928</v>
      </c>
      <c r="Z36" s="790">
        <v>0</v>
      </c>
      <c r="AA36" s="279">
        <v>2172</v>
      </c>
      <c r="AB36" s="279">
        <v>8083</v>
      </c>
      <c r="AC36" s="251">
        <f t="shared" si="7"/>
        <v>10255</v>
      </c>
      <c r="AD36" s="279">
        <f t="shared" si="8"/>
        <v>0</v>
      </c>
      <c r="AE36" s="279">
        <f t="shared" si="9"/>
        <v>112726</v>
      </c>
      <c r="AF36" s="279">
        <f t="shared" si="10"/>
        <v>112153</v>
      </c>
      <c r="AG36" s="251">
        <f t="shared" si="11"/>
        <v>224879</v>
      </c>
    </row>
    <row r="37" spans="1:33">
      <c r="A37" s="258"/>
      <c r="B37" s="157" t="s">
        <v>224</v>
      </c>
      <c r="C37" s="168" t="s">
        <v>225</v>
      </c>
      <c r="D37" s="174"/>
      <c r="E37" s="259"/>
      <c r="F37" s="239">
        <v>0</v>
      </c>
      <c r="G37" s="239">
        <v>56428</v>
      </c>
      <c r="H37" s="239">
        <f>41430+1039</f>
        <v>42469</v>
      </c>
      <c r="I37" s="242">
        <f t="shared" si="14"/>
        <v>98897</v>
      </c>
      <c r="J37" s="279">
        <v>0</v>
      </c>
      <c r="K37" s="166">
        <v>44979</v>
      </c>
      <c r="L37" s="279">
        <v>17092</v>
      </c>
      <c r="M37" s="251">
        <f t="shared" si="15"/>
        <v>62071</v>
      </c>
      <c r="N37" s="279">
        <v>0</v>
      </c>
      <c r="O37" s="279">
        <v>14651</v>
      </c>
      <c r="P37" s="279">
        <v>4296</v>
      </c>
      <c r="Q37" s="251">
        <f t="shared" si="1"/>
        <v>18947</v>
      </c>
      <c r="R37" s="279">
        <f t="shared" si="2"/>
        <v>0</v>
      </c>
      <c r="S37" s="279">
        <f t="shared" si="3"/>
        <v>71079</v>
      </c>
      <c r="T37" s="279">
        <f t="shared" si="4"/>
        <v>46765</v>
      </c>
      <c r="U37" s="251">
        <f t="shared" si="5"/>
        <v>117844</v>
      </c>
      <c r="V37" s="279">
        <v>0</v>
      </c>
      <c r="W37" s="279">
        <v>62853</v>
      </c>
      <c r="X37" s="279">
        <f t="shared" si="6"/>
        <v>26240</v>
      </c>
      <c r="Y37" s="242">
        <v>89093</v>
      </c>
      <c r="Z37" s="790">
        <v>0</v>
      </c>
      <c r="AA37" s="279">
        <v>13701</v>
      </c>
      <c r="AB37" s="279">
        <v>1572</v>
      </c>
      <c r="AC37" s="251">
        <f t="shared" si="7"/>
        <v>15273</v>
      </c>
      <c r="AD37" s="279">
        <f t="shared" si="8"/>
        <v>0</v>
      </c>
      <c r="AE37" s="279">
        <f t="shared" si="9"/>
        <v>84780</v>
      </c>
      <c r="AF37" s="279">
        <f t="shared" si="10"/>
        <v>48337</v>
      </c>
      <c r="AG37" s="251">
        <f t="shared" si="11"/>
        <v>133117</v>
      </c>
    </row>
    <row r="38" spans="1:33">
      <c r="A38" s="258"/>
      <c r="B38" s="157" t="s">
        <v>226</v>
      </c>
      <c r="C38" s="168" t="s">
        <v>227</v>
      </c>
      <c r="D38" s="174"/>
      <c r="E38" s="259"/>
      <c r="F38" s="239">
        <v>0</v>
      </c>
      <c r="G38" s="239">
        <f>SUM('címrendes kiadás'!M51)</f>
        <v>52500</v>
      </c>
      <c r="H38" s="239">
        <v>0</v>
      </c>
      <c r="I38" s="242">
        <f t="shared" si="14"/>
        <v>52500</v>
      </c>
      <c r="J38" s="279">
        <v>0</v>
      </c>
      <c r="K38" s="166">
        <v>17185</v>
      </c>
      <c r="L38" s="279">
        <v>0</v>
      </c>
      <c r="M38" s="251">
        <f t="shared" si="15"/>
        <v>17185</v>
      </c>
      <c r="N38" s="279">
        <v>0</v>
      </c>
      <c r="O38" s="279">
        <v>0</v>
      </c>
      <c r="P38" s="279">
        <v>0</v>
      </c>
      <c r="Q38" s="251">
        <f t="shared" si="1"/>
        <v>0</v>
      </c>
      <c r="R38" s="279">
        <f t="shared" si="2"/>
        <v>0</v>
      </c>
      <c r="S38" s="279">
        <f t="shared" si="3"/>
        <v>52500</v>
      </c>
      <c r="T38" s="279">
        <f t="shared" si="4"/>
        <v>0</v>
      </c>
      <c r="U38" s="251">
        <f t="shared" si="5"/>
        <v>52500</v>
      </c>
      <c r="V38" s="279">
        <v>0</v>
      </c>
      <c r="W38" s="279">
        <v>0</v>
      </c>
      <c r="X38" s="279">
        <f t="shared" si="6"/>
        <v>20511</v>
      </c>
      <c r="Y38" s="242">
        <v>20511</v>
      </c>
      <c r="Z38" s="790">
        <v>0</v>
      </c>
      <c r="AA38" s="279">
        <v>0</v>
      </c>
      <c r="AB38" s="279">
        <v>0</v>
      </c>
      <c r="AC38" s="251">
        <f t="shared" si="7"/>
        <v>0</v>
      </c>
      <c r="AD38" s="279">
        <f t="shared" si="8"/>
        <v>0</v>
      </c>
      <c r="AE38" s="279">
        <f t="shared" si="9"/>
        <v>52500</v>
      </c>
      <c r="AF38" s="279">
        <f t="shared" si="10"/>
        <v>0</v>
      </c>
      <c r="AG38" s="251">
        <f t="shared" si="11"/>
        <v>52500</v>
      </c>
    </row>
    <row r="39" spans="1:33" ht="12.6" customHeight="1">
      <c r="A39" s="258"/>
      <c r="B39" s="157" t="s">
        <v>228</v>
      </c>
      <c r="C39" s="174" t="s">
        <v>232</v>
      </c>
      <c r="D39" s="174"/>
      <c r="E39" s="259"/>
      <c r="F39" s="239">
        <v>0</v>
      </c>
      <c r="G39" s="239">
        <f>362+13267</f>
        <v>13629</v>
      </c>
      <c r="H39" s="239">
        <v>21238</v>
      </c>
      <c r="I39" s="242">
        <f t="shared" si="14"/>
        <v>34867</v>
      </c>
      <c r="J39" s="279">
        <v>0</v>
      </c>
      <c r="K39" s="166">
        <v>0</v>
      </c>
      <c r="L39" s="279">
        <v>0</v>
      </c>
      <c r="M39" s="251">
        <f t="shared" si="15"/>
        <v>0</v>
      </c>
      <c r="N39" s="279">
        <v>0</v>
      </c>
      <c r="O39" s="279">
        <v>0</v>
      </c>
      <c r="P39" s="279">
        <v>-4017</v>
      </c>
      <c r="Q39" s="251">
        <f t="shared" si="1"/>
        <v>-4017</v>
      </c>
      <c r="R39" s="279">
        <f t="shared" si="2"/>
        <v>0</v>
      </c>
      <c r="S39" s="279">
        <f t="shared" si="3"/>
        <v>13629</v>
      </c>
      <c r="T39" s="279">
        <f t="shared" si="4"/>
        <v>17221</v>
      </c>
      <c r="U39" s="251">
        <f t="shared" si="5"/>
        <v>30850</v>
      </c>
      <c r="V39" s="279">
        <v>0</v>
      </c>
      <c r="W39" s="279">
        <v>0</v>
      </c>
      <c r="X39" s="279">
        <f t="shared" si="6"/>
        <v>0</v>
      </c>
      <c r="Y39" s="242">
        <v>0</v>
      </c>
      <c r="Z39" s="790">
        <v>0</v>
      </c>
      <c r="AA39" s="279">
        <v>-3820</v>
      </c>
      <c r="AB39" s="279">
        <v>-7221</v>
      </c>
      <c r="AC39" s="251">
        <f t="shared" si="7"/>
        <v>-11041</v>
      </c>
      <c r="AD39" s="279">
        <f t="shared" si="8"/>
        <v>0</v>
      </c>
      <c r="AE39" s="279">
        <f t="shared" si="9"/>
        <v>9809</v>
      </c>
      <c r="AF39" s="279">
        <f t="shared" si="10"/>
        <v>10000</v>
      </c>
      <c r="AG39" s="251">
        <f t="shared" si="11"/>
        <v>19809</v>
      </c>
    </row>
    <row r="40" spans="1:33" s="156" customFormat="1">
      <c r="A40" s="260" t="s">
        <v>117</v>
      </c>
      <c r="B40" s="158" t="s">
        <v>231</v>
      </c>
      <c r="C40" s="172"/>
      <c r="D40" s="160"/>
      <c r="E40" s="261"/>
      <c r="F40" s="240">
        <f>SUM(F31:F39)</f>
        <v>77391</v>
      </c>
      <c r="G40" s="240">
        <f>SUM(G31:G39)</f>
        <v>1382825</v>
      </c>
      <c r="H40" s="240">
        <f>SUM(H31:H39)</f>
        <v>424600</v>
      </c>
      <c r="I40" s="240">
        <f>SUM(F40:H40)</f>
        <v>1884816</v>
      </c>
      <c r="J40" s="184">
        <f t="shared" ref="J40:P40" si="16">SUM(J31:J39)</f>
        <v>39971</v>
      </c>
      <c r="K40" s="184">
        <f t="shared" si="16"/>
        <v>652316</v>
      </c>
      <c r="L40" s="184">
        <f t="shared" si="16"/>
        <v>150080</v>
      </c>
      <c r="M40" s="184">
        <f t="shared" si="16"/>
        <v>842367</v>
      </c>
      <c r="N40" s="184">
        <f t="shared" si="16"/>
        <v>107</v>
      </c>
      <c r="O40" s="184">
        <f t="shared" si="16"/>
        <v>162475</v>
      </c>
      <c r="P40" s="184">
        <f t="shared" si="16"/>
        <v>139747</v>
      </c>
      <c r="Q40" s="184">
        <f t="shared" si="1"/>
        <v>302329</v>
      </c>
      <c r="R40" s="184">
        <f t="shared" si="2"/>
        <v>77498</v>
      </c>
      <c r="S40" s="184">
        <f t="shared" si="3"/>
        <v>1545300</v>
      </c>
      <c r="T40" s="184">
        <f t="shared" si="4"/>
        <v>564347</v>
      </c>
      <c r="U40" s="184">
        <f t="shared" si="5"/>
        <v>2187145</v>
      </c>
      <c r="V40" s="184">
        <f>SUM(V31:V39)</f>
        <v>57862</v>
      </c>
      <c r="W40" s="184">
        <f>SUM(W31:W39)</f>
        <v>1269100</v>
      </c>
      <c r="X40" s="184">
        <f t="shared" si="6"/>
        <v>241546</v>
      </c>
      <c r="Y40" s="240">
        <f>SUM(Y31:Y39)</f>
        <v>1568508</v>
      </c>
      <c r="Z40" s="856">
        <f>SUM(Z31:Z39)</f>
        <v>107</v>
      </c>
      <c r="AA40" s="184">
        <f>SUM(AA31:AA39)</f>
        <v>310838</v>
      </c>
      <c r="AB40" s="184">
        <f>SUM(AB31:AB39)</f>
        <v>273842</v>
      </c>
      <c r="AC40" s="184">
        <f t="shared" si="7"/>
        <v>584787</v>
      </c>
      <c r="AD40" s="682">
        <f t="shared" si="8"/>
        <v>77605</v>
      </c>
      <c r="AE40" s="682">
        <f t="shared" si="9"/>
        <v>1856138</v>
      </c>
      <c r="AF40" s="682">
        <f t="shared" si="10"/>
        <v>838189</v>
      </c>
      <c r="AG40" s="184">
        <f t="shared" si="11"/>
        <v>2771932</v>
      </c>
    </row>
    <row r="41" spans="1:33">
      <c r="A41" s="252" t="s">
        <v>122</v>
      </c>
      <c r="B41" s="164" t="s">
        <v>234</v>
      </c>
      <c r="C41" s="168"/>
      <c r="D41" s="174"/>
      <c r="E41" s="259"/>
      <c r="F41" s="239"/>
      <c r="G41" s="239"/>
      <c r="H41" s="239"/>
      <c r="I41" s="242"/>
      <c r="J41" s="279"/>
      <c r="K41" s="166"/>
      <c r="L41" s="279"/>
      <c r="M41" s="251"/>
      <c r="N41" s="279"/>
      <c r="O41" s="279"/>
      <c r="P41" s="279"/>
      <c r="Q41" s="251"/>
      <c r="R41" s="279"/>
      <c r="S41" s="279"/>
      <c r="T41" s="279"/>
      <c r="U41" s="251"/>
      <c r="V41" s="279"/>
      <c r="W41" s="279"/>
      <c r="X41" s="279"/>
      <c r="Y41" s="242"/>
      <c r="Z41" s="790"/>
      <c r="AA41" s="279"/>
      <c r="AB41" s="279"/>
      <c r="AC41" s="251"/>
      <c r="AD41" s="279"/>
      <c r="AE41" s="279"/>
      <c r="AF41" s="279"/>
      <c r="AG41" s="251"/>
    </row>
    <row r="42" spans="1:33">
      <c r="A42" s="258"/>
      <c r="B42" s="157" t="s">
        <v>235</v>
      </c>
      <c r="C42" s="168" t="s">
        <v>476</v>
      </c>
      <c r="D42" s="174"/>
      <c r="E42" s="259"/>
      <c r="F42" s="239">
        <v>0</v>
      </c>
      <c r="G42" s="239">
        <v>983927</v>
      </c>
      <c r="H42" s="239">
        <v>1833546</v>
      </c>
      <c r="I42" s="242">
        <f t="shared" ref="I42:I48" si="17">SUM(G42:H42)</f>
        <v>2817473</v>
      </c>
      <c r="J42" s="279">
        <v>0</v>
      </c>
      <c r="K42" s="166">
        <v>75768</v>
      </c>
      <c r="L42" s="279">
        <v>533050</v>
      </c>
      <c r="M42" s="251">
        <f>SUM(J42:L42)</f>
        <v>608818</v>
      </c>
      <c r="N42" s="279">
        <v>0</v>
      </c>
      <c r="O42" s="279">
        <v>82040</v>
      </c>
      <c r="P42" s="279">
        <v>31368</v>
      </c>
      <c r="Q42" s="251">
        <f t="shared" si="1"/>
        <v>113408</v>
      </c>
      <c r="R42" s="279">
        <f t="shared" si="2"/>
        <v>0</v>
      </c>
      <c r="S42" s="279">
        <f t="shared" si="3"/>
        <v>1065967</v>
      </c>
      <c r="T42" s="279">
        <f t="shared" si="4"/>
        <v>1864914</v>
      </c>
      <c r="U42" s="251">
        <f t="shared" si="5"/>
        <v>2930881</v>
      </c>
      <c r="V42" s="279">
        <v>0</v>
      </c>
      <c r="W42" s="279">
        <v>338209</v>
      </c>
      <c r="X42" s="279">
        <f t="shared" si="6"/>
        <v>711452</v>
      </c>
      <c r="Y42" s="242">
        <v>1049661</v>
      </c>
      <c r="Z42" s="790">
        <v>0</v>
      </c>
      <c r="AA42" s="279">
        <v>216540</v>
      </c>
      <c r="AB42" s="279">
        <v>-6570</v>
      </c>
      <c r="AC42" s="251">
        <f t="shared" si="7"/>
        <v>209970</v>
      </c>
      <c r="AD42" s="279">
        <f t="shared" si="8"/>
        <v>0</v>
      </c>
      <c r="AE42" s="279">
        <f t="shared" si="9"/>
        <v>1282507</v>
      </c>
      <c r="AF42" s="279">
        <f t="shared" si="10"/>
        <v>1858344</v>
      </c>
      <c r="AG42" s="251">
        <f t="shared" si="11"/>
        <v>3140851</v>
      </c>
    </row>
    <row r="43" spans="1:33">
      <c r="A43" s="258"/>
      <c r="B43" s="157" t="s">
        <v>124</v>
      </c>
      <c r="C43" s="168" t="s">
        <v>477</v>
      </c>
      <c r="D43" s="174"/>
      <c r="E43" s="259"/>
      <c r="F43" s="239">
        <v>0</v>
      </c>
      <c r="G43" s="239">
        <f>414+5588</f>
        <v>6002</v>
      </c>
      <c r="H43" s="239">
        <v>0</v>
      </c>
      <c r="I43" s="242">
        <f t="shared" si="17"/>
        <v>6002</v>
      </c>
      <c r="J43" s="279">
        <v>0</v>
      </c>
      <c r="K43" s="166">
        <v>414</v>
      </c>
      <c r="L43" s="279">
        <v>981</v>
      </c>
      <c r="M43" s="251">
        <f t="shared" ref="M43:M48" si="18">SUM(J43:L43)</f>
        <v>1395</v>
      </c>
      <c r="N43" s="279">
        <v>0</v>
      </c>
      <c r="O43" s="279">
        <v>1405</v>
      </c>
      <c r="P43" s="279">
        <v>0</v>
      </c>
      <c r="Q43" s="251">
        <f t="shared" si="1"/>
        <v>1405</v>
      </c>
      <c r="R43" s="279">
        <f t="shared" si="2"/>
        <v>0</v>
      </c>
      <c r="S43" s="279">
        <f t="shared" si="3"/>
        <v>7407</v>
      </c>
      <c r="T43" s="279">
        <f t="shared" si="4"/>
        <v>0</v>
      </c>
      <c r="U43" s="251">
        <f t="shared" si="5"/>
        <v>7407</v>
      </c>
      <c r="V43" s="279">
        <v>0</v>
      </c>
      <c r="W43" s="279">
        <v>865</v>
      </c>
      <c r="X43" s="279">
        <f t="shared" si="6"/>
        <v>992</v>
      </c>
      <c r="Y43" s="242">
        <v>1857</v>
      </c>
      <c r="Z43" s="790">
        <v>0</v>
      </c>
      <c r="AA43" s="279">
        <v>0</v>
      </c>
      <c r="AB43" s="279">
        <v>0</v>
      </c>
      <c r="AC43" s="251">
        <f t="shared" si="7"/>
        <v>0</v>
      </c>
      <c r="AD43" s="279">
        <f t="shared" si="8"/>
        <v>0</v>
      </c>
      <c r="AE43" s="279">
        <f t="shared" si="9"/>
        <v>7407</v>
      </c>
      <c r="AF43" s="279">
        <f t="shared" si="10"/>
        <v>0</v>
      </c>
      <c r="AG43" s="251">
        <f t="shared" si="11"/>
        <v>7407</v>
      </c>
    </row>
    <row r="44" spans="1:33">
      <c r="A44" s="258"/>
      <c r="B44" s="157" t="s">
        <v>133</v>
      </c>
      <c r="C44" s="168" t="s">
        <v>424</v>
      </c>
      <c r="D44" s="174"/>
      <c r="E44" s="259"/>
      <c r="F44" s="239">
        <v>0</v>
      </c>
      <c r="G44" s="239">
        <v>9235</v>
      </c>
      <c r="H44" s="239">
        <f>158+6531</f>
        <v>6689</v>
      </c>
      <c r="I44" s="242">
        <f t="shared" si="17"/>
        <v>15924</v>
      </c>
      <c r="J44" s="279">
        <v>0</v>
      </c>
      <c r="K44" s="166">
        <v>0</v>
      </c>
      <c r="L44" s="279">
        <v>6024</v>
      </c>
      <c r="M44" s="251">
        <f t="shared" si="18"/>
        <v>6024</v>
      </c>
      <c r="N44" s="279">
        <v>0</v>
      </c>
      <c r="O44" s="279">
        <v>0</v>
      </c>
      <c r="P44" s="279">
        <v>260</v>
      </c>
      <c r="Q44" s="251">
        <f t="shared" si="1"/>
        <v>260</v>
      </c>
      <c r="R44" s="279">
        <f t="shared" si="2"/>
        <v>0</v>
      </c>
      <c r="S44" s="279">
        <f t="shared" si="3"/>
        <v>9235</v>
      </c>
      <c r="T44" s="279">
        <f t="shared" si="4"/>
        <v>6949</v>
      </c>
      <c r="U44" s="251">
        <f t="shared" si="5"/>
        <v>16184</v>
      </c>
      <c r="V44" s="279">
        <v>0</v>
      </c>
      <c r="W44" s="279">
        <v>0</v>
      </c>
      <c r="X44" s="279">
        <f t="shared" si="6"/>
        <v>9543</v>
      </c>
      <c r="Y44" s="242">
        <v>9543</v>
      </c>
      <c r="Z44" s="790">
        <v>0</v>
      </c>
      <c r="AA44" s="279">
        <v>1854</v>
      </c>
      <c r="AB44" s="279">
        <v>0</v>
      </c>
      <c r="AC44" s="251">
        <f t="shared" si="7"/>
        <v>1854</v>
      </c>
      <c r="AD44" s="279">
        <f t="shared" si="8"/>
        <v>0</v>
      </c>
      <c r="AE44" s="279">
        <f t="shared" si="9"/>
        <v>11089</v>
      </c>
      <c r="AF44" s="279">
        <f t="shared" si="10"/>
        <v>6949</v>
      </c>
      <c r="AG44" s="251">
        <f t="shared" si="11"/>
        <v>18038</v>
      </c>
    </row>
    <row r="45" spans="1:33">
      <c r="A45" s="258"/>
      <c r="B45" s="157" t="s">
        <v>137</v>
      </c>
      <c r="C45" s="168" t="s">
        <v>425</v>
      </c>
      <c r="D45" s="174"/>
      <c r="E45" s="259"/>
      <c r="F45" s="239">
        <v>0</v>
      </c>
      <c r="G45" s="239">
        <v>24</v>
      </c>
      <c r="H45" s="239">
        <v>2246</v>
      </c>
      <c r="I45" s="242">
        <f t="shared" si="17"/>
        <v>2270</v>
      </c>
      <c r="J45" s="279">
        <v>0</v>
      </c>
      <c r="K45" s="166">
        <v>0</v>
      </c>
      <c r="L45" s="279">
        <v>21</v>
      </c>
      <c r="M45" s="251">
        <f t="shared" si="18"/>
        <v>21</v>
      </c>
      <c r="N45" s="279">
        <v>0</v>
      </c>
      <c r="O45" s="279">
        <v>0</v>
      </c>
      <c r="P45" s="279">
        <v>293</v>
      </c>
      <c r="Q45" s="251">
        <f t="shared" si="1"/>
        <v>293</v>
      </c>
      <c r="R45" s="279">
        <f t="shared" si="2"/>
        <v>0</v>
      </c>
      <c r="S45" s="279">
        <f t="shared" si="3"/>
        <v>24</v>
      </c>
      <c r="T45" s="279">
        <f t="shared" si="4"/>
        <v>2539</v>
      </c>
      <c r="U45" s="251">
        <f t="shared" si="5"/>
        <v>2563</v>
      </c>
      <c r="V45" s="279">
        <v>0</v>
      </c>
      <c r="W45" s="279">
        <v>61</v>
      </c>
      <c r="X45" s="279">
        <f t="shared" si="6"/>
        <v>498</v>
      </c>
      <c r="Y45" s="242">
        <v>559</v>
      </c>
      <c r="Z45" s="790">
        <v>0</v>
      </c>
      <c r="AA45" s="279">
        <v>305</v>
      </c>
      <c r="AB45" s="279">
        <v>5168</v>
      </c>
      <c r="AC45" s="251">
        <f t="shared" si="7"/>
        <v>5473</v>
      </c>
      <c r="AD45" s="279">
        <f t="shared" si="8"/>
        <v>0</v>
      </c>
      <c r="AE45" s="279">
        <f t="shared" si="9"/>
        <v>329</v>
      </c>
      <c r="AF45" s="279">
        <f t="shared" si="10"/>
        <v>7707</v>
      </c>
      <c r="AG45" s="251">
        <f t="shared" si="11"/>
        <v>8036</v>
      </c>
    </row>
    <row r="46" spans="1:33">
      <c r="A46" s="258"/>
      <c r="B46" s="157" t="s">
        <v>239</v>
      </c>
      <c r="C46" s="168" t="s">
        <v>240</v>
      </c>
      <c r="D46" s="174"/>
      <c r="E46" s="259"/>
      <c r="F46" s="239">
        <v>0</v>
      </c>
      <c r="G46" s="239">
        <v>45000</v>
      </c>
      <c r="H46" s="239">
        <v>0</v>
      </c>
      <c r="I46" s="242">
        <f t="shared" si="17"/>
        <v>45000</v>
      </c>
      <c r="J46" s="279">
        <v>0</v>
      </c>
      <c r="K46" s="166">
        <v>0</v>
      </c>
      <c r="L46" s="279">
        <v>0</v>
      </c>
      <c r="M46" s="251">
        <f t="shared" si="18"/>
        <v>0</v>
      </c>
      <c r="N46" s="279">
        <v>0</v>
      </c>
      <c r="O46" s="279">
        <v>0</v>
      </c>
      <c r="P46" s="279">
        <v>104</v>
      </c>
      <c r="Q46" s="251">
        <f t="shared" si="1"/>
        <v>104</v>
      </c>
      <c r="R46" s="279">
        <f t="shared" si="2"/>
        <v>0</v>
      </c>
      <c r="S46" s="279">
        <f t="shared" si="3"/>
        <v>45000</v>
      </c>
      <c r="T46" s="279">
        <f t="shared" si="4"/>
        <v>104</v>
      </c>
      <c r="U46" s="251">
        <f t="shared" si="5"/>
        <v>45104</v>
      </c>
      <c r="V46" s="279">
        <v>0</v>
      </c>
      <c r="W46" s="279">
        <v>0</v>
      </c>
      <c r="X46" s="279">
        <f t="shared" si="6"/>
        <v>0</v>
      </c>
      <c r="Y46" s="242">
        <v>0</v>
      </c>
      <c r="Z46" s="790">
        <v>0</v>
      </c>
      <c r="AA46" s="279">
        <v>0</v>
      </c>
      <c r="AB46" s="279">
        <v>0</v>
      </c>
      <c r="AC46" s="251">
        <f t="shared" si="7"/>
        <v>0</v>
      </c>
      <c r="AD46" s="279">
        <f t="shared" si="8"/>
        <v>0</v>
      </c>
      <c r="AE46" s="279">
        <f t="shared" si="9"/>
        <v>45000</v>
      </c>
      <c r="AF46" s="279">
        <f t="shared" si="10"/>
        <v>104</v>
      </c>
      <c r="AG46" s="251">
        <f t="shared" si="11"/>
        <v>45104</v>
      </c>
    </row>
    <row r="47" spans="1:33">
      <c r="A47" s="258"/>
      <c r="B47" s="157" t="s">
        <v>241</v>
      </c>
      <c r="C47" s="168" t="s">
        <v>242</v>
      </c>
      <c r="D47" s="174"/>
      <c r="E47" s="259"/>
      <c r="F47" s="239">
        <v>0</v>
      </c>
      <c r="G47" s="239">
        <f>45670+1022429</f>
        <v>1068099</v>
      </c>
      <c r="H47" s="239">
        <v>368</v>
      </c>
      <c r="I47" s="242">
        <f t="shared" si="17"/>
        <v>1068467</v>
      </c>
      <c r="J47" s="279">
        <v>0</v>
      </c>
      <c r="K47" s="166">
        <v>0</v>
      </c>
      <c r="L47" s="279">
        <v>0</v>
      </c>
      <c r="M47" s="251">
        <f t="shared" si="18"/>
        <v>0</v>
      </c>
      <c r="N47" s="279">
        <v>0</v>
      </c>
      <c r="O47" s="279">
        <v>0</v>
      </c>
      <c r="P47" s="279">
        <v>78870</v>
      </c>
      <c r="Q47" s="251">
        <f t="shared" si="1"/>
        <v>78870</v>
      </c>
      <c r="R47" s="279">
        <f t="shared" si="2"/>
        <v>0</v>
      </c>
      <c r="S47" s="279">
        <f t="shared" si="3"/>
        <v>1068099</v>
      </c>
      <c r="T47" s="279">
        <f t="shared" si="4"/>
        <v>79238</v>
      </c>
      <c r="U47" s="251">
        <f t="shared" si="5"/>
        <v>1147337</v>
      </c>
      <c r="V47" s="279">
        <v>0</v>
      </c>
      <c r="W47" s="279">
        <v>0</v>
      </c>
      <c r="X47" s="279">
        <f t="shared" si="6"/>
        <v>0</v>
      </c>
      <c r="Y47" s="242">
        <v>0</v>
      </c>
      <c r="Z47" s="790">
        <v>0</v>
      </c>
      <c r="AA47" s="279">
        <v>-32508</v>
      </c>
      <c r="AB47" s="279">
        <v>27516</v>
      </c>
      <c r="AC47" s="251">
        <f t="shared" si="7"/>
        <v>-4992</v>
      </c>
      <c r="AD47" s="279">
        <f t="shared" si="8"/>
        <v>0</v>
      </c>
      <c r="AE47" s="279">
        <f t="shared" si="9"/>
        <v>1035591</v>
      </c>
      <c r="AF47" s="279">
        <f t="shared" si="10"/>
        <v>106754</v>
      </c>
      <c r="AG47" s="251">
        <f t="shared" si="11"/>
        <v>1142345</v>
      </c>
    </row>
    <row r="48" spans="1:33" s="156" customFormat="1">
      <c r="A48" s="260" t="s">
        <v>122</v>
      </c>
      <c r="B48" s="158" t="s">
        <v>426</v>
      </c>
      <c r="C48" s="172"/>
      <c r="D48" s="160"/>
      <c r="E48" s="261"/>
      <c r="F48" s="240">
        <f>SUM(F42:F47)</f>
        <v>0</v>
      </c>
      <c r="G48" s="240">
        <f>SUM(G42:G47)</f>
        <v>2112287</v>
      </c>
      <c r="H48" s="240">
        <f>SUM(H42:H47)</f>
        <v>1842849</v>
      </c>
      <c r="I48" s="240">
        <f t="shared" si="17"/>
        <v>3955136</v>
      </c>
      <c r="J48" s="184">
        <f>SUM(J42:J47)</f>
        <v>0</v>
      </c>
      <c r="K48" s="184">
        <f>SUM(K42:K47)</f>
        <v>76182</v>
      </c>
      <c r="L48" s="184">
        <f>SUM(L42:L47)</f>
        <v>540076</v>
      </c>
      <c r="M48" s="184">
        <f t="shared" si="18"/>
        <v>616258</v>
      </c>
      <c r="N48" s="184">
        <f>SUM(N42:N47)</f>
        <v>0</v>
      </c>
      <c r="O48" s="184">
        <f>SUM(O42:O47)</f>
        <v>83445</v>
      </c>
      <c r="P48" s="184">
        <f>SUM(P42:P47)</f>
        <v>110895</v>
      </c>
      <c r="Q48" s="184">
        <f t="shared" si="1"/>
        <v>194340</v>
      </c>
      <c r="R48" s="184">
        <f t="shared" si="2"/>
        <v>0</v>
      </c>
      <c r="S48" s="184">
        <f t="shared" si="3"/>
        <v>2195732</v>
      </c>
      <c r="T48" s="184">
        <f t="shared" si="4"/>
        <v>1953744</v>
      </c>
      <c r="U48" s="184">
        <f t="shared" si="5"/>
        <v>4149476</v>
      </c>
      <c r="V48" s="184">
        <f>SUM(V42:V47)</f>
        <v>0</v>
      </c>
      <c r="W48" s="184">
        <f>SUM(W42:W47)</f>
        <v>339135</v>
      </c>
      <c r="X48" s="184">
        <f t="shared" si="6"/>
        <v>722485</v>
      </c>
      <c r="Y48" s="240">
        <f>SUM(Y42:Y47)</f>
        <v>1061620</v>
      </c>
      <c r="Z48" s="856">
        <f>SUM(Z42:Z47)</f>
        <v>0</v>
      </c>
      <c r="AA48" s="184">
        <f>SUM(AA42:AA47)</f>
        <v>186191</v>
      </c>
      <c r="AB48" s="184">
        <f>SUM(AB42:AB47)</f>
        <v>26114</v>
      </c>
      <c r="AC48" s="184">
        <f t="shared" si="7"/>
        <v>212305</v>
      </c>
      <c r="AD48" s="682">
        <f t="shared" si="8"/>
        <v>0</v>
      </c>
      <c r="AE48" s="682">
        <f t="shared" si="9"/>
        <v>2381923</v>
      </c>
      <c r="AF48" s="682">
        <f t="shared" si="10"/>
        <v>1979858</v>
      </c>
      <c r="AG48" s="184">
        <f t="shared" si="11"/>
        <v>4361781</v>
      </c>
    </row>
    <row r="49" spans="1:33" s="156" customFormat="1">
      <c r="A49" s="260"/>
      <c r="B49" s="158" t="s">
        <v>427</v>
      </c>
      <c r="C49" s="172"/>
      <c r="D49" s="160"/>
      <c r="E49" s="261"/>
      <c r="F49" s="240">
        <f>SUM(F40+F48)</f>
        <v>77391</v>
      </c>
      <c r="G49" s="240">
        <f>SUM(G40+G48)</f>
        <v>3495112</v>
      </c>
      <c r="H49" s="240">
        <f>SUM(H40+H48)</f>
        <v>2267449</v>
      </c>
      <c r="I49" s="240">
        <f>SUM(F49:H49)</f>
        <v>5839952</v>
      </c>
      <c r="J49" s="184">
        <f t="shared" ref="J49:P49" si="19">J40+J48</f>
        <v>39971</v>
      </c>
      <c r="K49" s="184">
        <f t="shared" si="19"/>
        <v>728498</v>
      </c>
      <c r="L49" s="184">
        <f t="shared" si="19"/>
        <v>690156</v>
      </c>
      <c r="M49" s="184">
        <f t="shared" si="19"/>
        <v>1458625</v>
      </c>
      <c r="N49" s="184">
        <f t="shared" si="19"/>
        <v>107</v>
      </c>
      <c r="O49" s="184">
        <f t="shared" si="19"/>
        <v>245920</v>
      </c>
      <c r="P49" s="184">
        <f t="shared" si="19"/>
        <v>250642</v>
      </c>
      <c r="Q49" s="184">
        <f t="shared" si="1"/>
        <v>496669</v>
      </c>
      <c r="R49" s="184">
        <f t="shared" si="2"/>
        <v>77498</v>
      </c>
      <c r="S49" s="184">
        <f t="shared" si="3"/>
        <v>3741032</v>
      </c>
      <c r="T49" s="184">
        <f t="shared" si="4"/>
        <v>2518091</v>
      </c>
      <c r="U49" s="184">
        <f t="shared" si="5"/>
        <v>6336621</v>
      </c>
      <c r="V49" s="184">
        <f>V40+V48</f>
        <v>57862</v>
      </c>
      <c r="W49" s="184">
        <f>W40+W48</f>
        <v>1608235</v>
      </c>
      <c r="X49" s="184">
        <f t="shared" si="6"/>
        <v>964031</v>
      </c>
      <c r="Y49" s="240">
        <f>Y40+Y48</f>
        <v>2630128</v>
      </c>
      <c r="Z49" s="856">
        <f>Z40+Z48</f>
        <v>107</v>
      </c>
      <c r="AA49" s="856">
        <f>AA40+AA48</f>
        <v>497029</v>
      </c>
      <c r="AB49" s="856">
        <f>AB40+AB48</f>
        <v>299956</v>
      </c>
      <c r="AC49" s="184">
        <f t="shared" si="7"/>
        <v>797092</v>
      </c>
      <c r="AD49" s="682">
        <f t="shared" si="8"/>
        <v>77605</v>
      </c>
      <c r="AE49" s="682">
        <f t="shared" si="9"/>
        <v>4238061</v>
      </c>
      <c r="AF49" s="682">
        <f t="shared" si="10"/>
        <v>2818047</v>
      </c>
      <c r="AG49" s="184">
        <f t="shared" si="11"/>
        <v>7133713</v>
      </c>
    </row>
    <row r="50" spans="1:33">
      <c r="A50" s="258"/>
      <c r="B50" s="157"/>
      <c r="C50" s="173"/>
      <c r="D50" s="174"/>
      <c r="E50" s="259"/>
      <c r="F50" s="239"/>
      <c r="G50" s="239"/>
      <c r="H50" s="278"/>
      <c r="I50" s="246"/>
      <c r="J50" s="279"/>
      <c r="K50" s="166"/>
      <c r="L50" s="279"/>
      <c r="M50" s="251"/>
      <c r="N50" s="279"/>
      <c r="O50" s="279"/>
      <c r="P50" s="279"/>
      <c r="Q50" s="251"/>
      <c r="R50" s="279"/>
      <c r="S50" s="279"/>
      <c r="T50" s="279"/>
      <c r="U50" s="251"/>
      <c r="V50" s="279"/>
      <c r="W50" s="279"/>
      <c r="X50" s="279"/>
      <c r="Y50" s="242"/>
      <c r="Z50" s="790"/>
      <c r="AA50" s="279"/>
      <c r="AB50" s="279"/>
      <c r="AC50" s="251"/>
      <c r="AD50" s="279"/>
      <c r="AE50" s="279"/>
      <c r="AF50" s="279"/>
      <c r="AG50" s="251"/>
    </row>
    <row r="51" spans="1:33" s="156" customFormat="1">
      <c r="A51" s="252"/>
      <c r="B51" s="164" t="s">
        <v>407</v>
      </c>
      <c r="C51" s="154"/>
      <c r="D51" s="169"/>
      <c r="E51" s="253"/>
      <c r="F51" s="242"/>
      <c r="G51" s="247"/>
      <c r="H51" s="251"/>
      <c r="I51" s="242"/>
      <c r="J51" s="251"/>
      <c r="K51" s="649"/>
      <c r="L51" s="251"/>
      <c r="M51" s="251"/>
      <c r="N51" s="251"/>
      <c r="O51" s="251"/>
      <c r="P51" s="251"/>
      <c r="Q51" s="251"/>
      <c r="R51" s="279"/>
      <c r="S51" s="279"/>
      <c r="T51" s="279"/>
      <c r="U51" s="251"/>
      <c r="V51" s="251"/>
      <c r="W51" s="251"/>
      <c r="X51" s="279"/>
      <c r="Y51" s="242"/>
      <c r="Z51" s="790"/>
      <c r="AA51" s="279"/>
      <c r="AB51" s="279"/>
      <c r="AC51" s="251"/>
      <c r="AD51" s="279"/>
      <c r="AE51" s="279"/>
      <c r="AF51" s="279"/>
      <c r="AG51" s="251"/>
    </row>
    <row r="52" spans="1:33" s="156" customFormat="1">
      <c r="A52" s="252" t="s">
        <v>205</v>
      </c>
      <c r="B52" s="164" t="s">
        <v>428</v>
      </c>
      <c r="C52" s="154"/>
      <c r="D52" s="169"/>
      <c r="E52" s="253"/>
      <c r="F52" s="242"/>
      <c r="G52" s="247"/>
      <c r="H52" s="251"/>
      <c r="I52" s="242"/>
      <c r="J52" s="251"/>
      <c r="K52" s="649"/>
      <c r="L52" s="251"/>
      <c r="M52" s="251"/>
      <c r="N52" s="251"/>
      <c r="O52" s="251"/>
      <c r="P52" s="251"/>
      <c r="Q52" s="251"/>
      <c r="R52" s="279"/>
      <c r="S52" s="279"/>
      <c r="T52" s="279"/>
      <c r="U52" s="251"/>
      <c r="V52" s="251"/>
      <c r="W52" s="251"/>
      <c r="X52" s="279"/>
      <c r="Y52" s="242"/>
      <c r="Z52" s="790"/>
      <c r="AA52" s="279"/>
      <c r="AB52" s="279"/>
      <c r="AC52" s="251"/>
      <c r="AD52" s="279"/>
      <c r="AE52" s="279"/>
      <c r="AF52" s="279"/>
      <c r="AG52" s="251"/>
    </row>
    <row r="53" spans="1:33">
      <c r="A53" s="258"/>
      <c r="B53" s="157" t="s">
        <v>117</v>
      </c>
      <c r="C53" s="173" t="s">
        <v>207</v>
      </c>
      <c r="D53" s="174"/>
      <c r="E53" s="259"/>
      <c r="F53" s="239">
        <v>0</v>
      </c>
      <c r="G53" s="239">
        <f>SUM('címrendes bevétel'!M141)</f>
        <v>0</v>
      </c>
      <c r="H53" s="279">
        <v>0</v>
      </c>
      <c r="I53" s="242">
        <f t="shared" ref="I53:I62" si="20">SUM(G53:H53)</f>
        <v>0</v>
      </c>
      <c r="J53" s="279">
        <v>0</v>
      </c>
      <c r="K53" s="166">
        <v>0</v>
      </c>
      <c r="L53" s="279">
        <v>0</v>
      </c>
      <c r="M53" s="251">
        <v>0</v>
      </c>
      <c r="N53" s="279">
        <v>0</v>
      </c>
      <c r="O53" s="279">
        <v>0</v>
      </c>
      <c r="P53" s="279">
        <v>0</v>
      </c>
      <c r="Q53" s="251">
        <f t="shared" si="1"/>
        <v>0</v>
      </c>
      <c r="R53" s="279">
        <f t="shared" si="2"/>
        <v>0</v>
      </c>
      <c r="S53" s="279">
        <f t="shared" si="3"/>
        <v>0</v>
      </c>
      <c r="T53" s="279">
        <f t="shared" si="4"/>
        <v>0</v>
      </c>
      <c r="U53" s="251">
        <f t="shared" si="5"/>
        <v>0</v>
      </c>
      <c r="V53" s="279">
        <v>0</v>
      </c>
      <c r="W53" s="279">
        <v>0</v>
      </c>
      <c r="X53" s="279">
        <f t="shared" si="6"/>
        <v>0</v>
      </c>
      <c r="Y53" s="242">
        <v>0</v>
      </c>
      <c r="Z53" s="790">
        <v>0</v>
      </c>
      <c r="AA53" s="279">
        <v>0</v>
      </c>
      <c r="AB53" s="279">
        <v>0</v>
      </c>
      <c r="AC53" s="251">
        <f t="shared" si="7"/>
        <v>0</v>
      </c>
      <c r="AD53" s="279">
        <f t="shared" si="8"/>
        <v>0</v>
      </c>
      <c r="AE53" s="279">
        <f t="shared" si="9"/>
        <v>0</v>
      </c>
      <c r="AF53" s="279">
        <f t="shared" si="10"/>
        <v>0</v>
      </c>
      <c r="AG53" s="251">
        <f t="shared" si="11"/>
        <v>0</v>
      </c>
    </row>
    <row r="54" spans="1:33">
      <c r="A54" s="263"/>
      <c r="B54" s="175" t="s">
        <v>122</v>
      </c>
      <c r="C54" s="176" t="s">
        <v>208</v>
      </c>
      <c r="D54" s="177"/>
      <c r="E54" s="264"/>
      <c r="F54" s="243">
        <v>0</v>
      </c>
      <c r="G54" s="243">
        <f>SUM('címrendes bevétel'!M142+'címrendes bevétel'!M143)</f>
        <v>0</v>
      </c>
      <c r="H54" s="279">
        <f>16055+39668</f>
        <v>55723</v>
      </c>
      <c r="I54" s="242">
        <f t="shared" si="20"/>
        <v>55723</v>
      </c>
      <c r="J54" s="279">
        <v>0</v>
      </c>
      <c r="K54" s="166">
        <v>0</v>
      </c>
      <c r="L54" s="279">
        <v>0</v>
      </c>
      <c r="M54" s="251">
        <v>0</v>
      </c>
      <c r="N54" s="279">
        <v>0</v>
      </c>
      <c r="O54" s="279">
        <v>0</v>
      </c>
      <c r="P54" s="279">
        <v>98001</v>
      </c>
      <c r="Q54" s="251">
        <f t="shared" si="1"/>
        <v>98001</v>
      </c>
      <c r="R54" s="279">
        <f t="shared" si="2"/>
        <v>0</v>
      </c>
      <c r="S54" s="279">
        <f t="shared" si="3"/>
        <v>0</v>
      </c>
      <c r="T54" s="279">
        <f t="shared" si="4"/>
        <v>153724</v>
      </c>
      <c r="U54" s="251">
        <f t="shared" si="5"/>
        <v>153724</v>
      </c>
      <c r="V54" s="279">
        <v>0</v>
      </c>
      <c r="W54" s="279">
        <v>0</v>
      </c>
      <c r="X54" s="279">
        <f t="shared" si="6"/>
        <v>0</v>
      </c>
      <c r="Y54" s="242">
        <v>0</v>
      </c>
      <c r="Z54" s="790">
        <v>0</v>
      </c>
      <c r="AA54" s="279">
        <v>0</v>
      </c>
      <c r="AB54" s="279">
        <v>0</v>
      </c>
      <c r="AC54" s="251">
        <f t="shared" si="7"/>
        <v>0</v>
      </c>
      <c r="AD54" s="279">
        <f t="shared" si="8"/>
        <v>0</v>
      </c>
      <c r="AE54" s="279">
        <f t="shared" si="9"/>
        <v>0</v>
      </c>
      <c r="AF54" s="279">
        <f t="shared" si="10"/>
        <v>153724</v>
      </c>
      <c r="AG54" s="251">
        <f t="shared" si="11"/>
        <v>153724</v>
      </c>
    </row>
    <row r="55" spans="1:33" s="156" customFormat="1">
      <c r="A55" s="252"/>
      <c r="B55" s="164" t="s">
        <v>210</v>
      </c>
      <c r="C55" s="154"/>
      <c r="D55" s="169"/>
      <c r="E55" s="253"/>
      <c r="F55" s="242">
        <f>SUM(F53:F54)</f>
        <v>0</v>
      </c>
      <c r="G55" s="242">
        <f>SUM(G53:G54)</f>
        <v>0</v>
      </c>
      <c r="H55" s="184">
        <f>SUM(H53:H54)</f>
        <v>55723</v>
      </c>
      <c r="I55" s="240">
        <f t="shared" si="20"/>
        <v>55723</v>
      </c>
      <c r="J55" s="184">
        <f t="shared" ref="J55:P55" si="21">SUM(J53:J54)</f>
        <v>0</v>
      </c>
      <c r="K55" s="184">
        <f t="shared" si="21"/>
        <v>0</v>
      </c>
      <c r="L55" s="184">
        <f t="shared" si="21"/>
        <v>0</v>
      </c>
      <c r="M55" s="184">
        <f t="shared" si="21"/>
        <v>0</v>
      </c>
      <c r="N55" s="184">
        <f t="shared" si="21"/>
        <v>0</v>
      </c>
      <c r="O55" s="184">
        <f t="shared" si="21"/>
        <v>0</v>
      </c>
      <c r="P55" s="184">
        <f t="shared" si="21"/>
        <v>98001</v>
      </c>
      <c r="Q55" s="184">
        <f t="shared" si="1"/>
        <v>98001</v>
      </c>
      <c r="R55" s="184">
        <f t="shared" si="2"/>
        <v>0</v>
      </c>
      <c r="S55" s="184">
        <f t="shared" si="3"/>
        <v>0</v>
      </c>
      <c r="T55" s="184">
        <f t="shared" si="4"/>
        <v>153724</v>
      </c>
      <c r="U55" s="184">
        <f t="shared" si="5"/>
        <v>153724</v>
      </c>
      <c r="V55" s="184">
        <f>SUM(V53:V54)</f>
        <v>0</v>
      </c>
      <c r="W55" s="184">
        <f>SUM(W53:W54)</f>
        <v>0</v>
      </c>
      <c r="X55" s="184">
        <f t="shared" si="6"/>
        <v>0</v>
      </c>
      <c r="Y55" s="240">
        <f>SUM(Y53:Y54)</f>
        <v>0</v>
      </c>
      <c r="Z55" s="856">
        <f>SUM(Z53:Z54)</f>
        <v>0</v>
      </c>
      <c r="AA55" s="184">
        <f>SUM(AA53:AA54)</f>
        <v>0</v>
      </c>
      <c r="AB55" s="184">
        <f>SUM(AB53:AB54)</f>
        <v>0</v>
      </c>
      <c r="AC55" s="184">
        <f t="shared" si="7"/>
        <v>0</v>
      </c>
      <c r="AD55" s="682">
        <f t="shared" si="8"/>
        <v>0</v>
      </c>
      <c r="AE55" s="682">
        <f t="shared" si="9"/>
        <v>0</v>
      </c>
      <c r="AF55" s="682">
        <f t="shared" si="10"/>
        <v>153724</v>
      </c>
      <c r="AG55" s="184">
        <f t="shared" si="11"/>
        <v>153724</v>
      </c>
    </row>
    <row r="56" spans="1:33" s="156" customFormat="1">
      <c r="A56" s="260" t="s">
        <v>211</v>
      </c>
      <c r="B56" s="158" t="s">
        <v>212</v>
      </c>
      <c r="C56" s="159"/>
      <c r="D56" s="160"/>
      <c r="E56" s="261"/>
      <c r="F56" s="240">
        <v>0</v>
      </c>
      <c r="G56" s="240">
        <v>0</v>
      </c>
      <c r="H56" s="184">
        <f>172546+1733008</f>
        <v>1905554</v>
      </c>
      <c r="I56" s="242">
        <f t="shared" si="20"/>
        <v>1905554</v>
      </c>
      <c r="J56" s="184">
        <v>0</v>
      </c>
      <c r="K56" s="184">
        <v>0</v>
      </c>
      <c r="L56" s="184">
        <v>437589</v>
      </c>
      <c r="M56" s="184">
        <f>SUM(J56:L56)</f>
        <v>437589</v>
      </c>
      <c r="N56" s="251">
        <v>0</v>
      </c>
      <c r="O56" s="251">
        <v>0</v>
      </c>
      <c r="P56" s="251">
        <v>0</v>
      </c>
      <c r="Q56" s="251">
        <f t="shared" si="1"/>
        <v>0</v>
      </c>
      <c r="R56" s="251">
        <f t="shared" si="2"/>
        <v>0</v>
      </c>
      <c r="S56" s="251">
        <f t="shared" si="3"/>
        <v>0</v>
      </c>
      <c r="T56" s="251">
        <f t="shared" si="4"/>
        <v>1905554</v>
      </c>
      <c r="U56" s="251">
        <f t="shared" si="5"/>
        <v>1905554</v>
      </c>
      <c r="V56" s="251">
        <v>0</v>
      </c>
      <c r="W56" s="251">
        <v>751099</v>
      </c>
      <c r="X56" s="251">
        <f t="shared" si="6"/>
        <v>0</v>
      </c>
      <c r="Y56" s="242">
        <v>751099</v>
      </c>
      <c r="Z56" s="789">
        <v>0</v>
      </c>
      <c r="AA56" s="251">
        <v>0</v>
      </c>
      <c r="AB56" s="251">
        <v>0</v>
      </c>
      <c r="AC56" s="251">
        <f t="shared" si="7"/>
        <v>0</v>
      </c>
      <c r="AD56" s="279">
        <f t="shared" si="8"/>
        <v>0</v>
      </c>
      <c r="AE56" s="279">
        <f t="shared" si="9"/>
        <v>0</v>
      </c>
      <c r="AF56" s="279">
        <f t="shared" si="10"/>
        <v>1905554</v>
      </c>
      <c r="AG56" s="251">
        <f t="shared" si="11"/>
        <v>1905554</v>
      </c>
    </row>
    <row r="57" spans="1:33" s="156" customFormat="1">
      <c r="A57" s="260"/>
      <c r="B57" s="158" t="s">
        <v>216</v>
      </c>
      <c r="C57" s="178"/>
      <c r="D57" s="160"/>
      <c r="E57" s="261"/>
      <c r="F57" s="240">
        <v>0</v>
      </c>
      <c r="G57" s="240">
        <f>SUM(G55+G56)</f>
        <v>0</v>
      </c>
      <c r="H57" s="184">
        <f>SUM(H55+H56)</f>
        <v>1961277</v>
      </c>
      <c r="I57" s="240">
        <f t="shared" si="20"/>
        <v>1961277</v>
      </c>
      <c r="J57" s="184">
        <f t="shared" ref="J57:P57" si="22">J55+J56</f>
        <v>0</v>
      </c>
      <c r="K57" s="184">
        <f t="shared" si="22"/>
        <v>0</v>
      </c>
      <c r="L57" s="184">
        <f t="shared" si="22"/>
        <v>437589</v>
      </c>
      <c r="M57" s="184">
        <f t="shared" si="22"/>
        <v>437589</v>
      </c>
      <c r="N57" s="184">
        <f t="shared" si="22"/>
        <v>0</v>
      </c>
      <c r="O57" s="184">
        <f t="shared" si="22"/>
        <v>0</v>
      </c>
      <c r="P57" s="184">
        <f t="shared" si="22"/>
        <v>98001</v>
      </c>
      <c r="Q57" s="184">
        <f t="shared" si="1"/>
        <v>98001</v>
      </c>
      <c r="R57" s="184">
        <f t="shared" si="2"/>
        <v>0</v>
      </c>
      <c r="S57" s="184">
        <f t="shared" si="3"/>
        <v>0</v>
      </c>
      <c r="T57" s="184">
        <f t="shared" si="4"/>
        <v>2059278</v>
      </c>
      <c r="U57" s="184">
        <f t="shared" si="5"/>
        <v>2059278</v>
      </c>
      <c r="V57" s="184">
        <f>SUM(V56)</f>
        <v>0</v>
      </c>
      <c r="W57" s="184">
        <f>SUM(W56)</f>
        <v>751099</v>
      </c>
      <c r="X57" s="184">
        <f t="shared" si="6"/>
        <v>0</v>
      </c>
      <c r="Y57" s="240">
        <f>SUM(Y56)</f>
        <v>751099</v>
      </c>
      <c r="Z57" s="856">
        <f>Z55+Z56</f>
        <v>0</v>
      </c>
      <c r="AA57" s="856">
        <f>AA55+AA56</f>
        <v>0</v>
      </c>
      <c r="AB57" s="856">
        <f>AB55+AB56</f>
        <v>0</v>
      </c>
      <c r="AC57" s="184">
        <f t="shared" si="7"/>
        <v>0</v>
      </c>
      <c r="AD57" s="682">
        <f t="shared" si="8"/>
        <v>0</v>
      </c>
      <c r="AE57" s="682">
        <f t="shared" si="9"/>
        <v>0</v>
      </c>
      <c r="AF57" s="682">
        <f t="shared" si="10"/>
        <v>2059278</v>
      </c>
      <c r="AG57" s="184">
        <f t="shared" si="11"/>
        <v>2059278</v>
      </c>
    </row>
    <row r="58" spans="1:33">
      <c r="A58" s="258"/>
      <c r="B58" s="157"/>
      <c r="C58" s="173"/>
      <c r="D58" s="174"/>
      <c r="E58" s="259"/>
      <c r="F58" s="239"/>
      <c r="G58" s="239"/>
      <c r="H58" s="279"/>
      <c r="I58" s="242"/>
      <c r="J58" s="279"/>
      <c r="K58" s="166"/>
      <c r="L58" s="279"/>
      <c r="M58" s="251"/>
      <c r="N58" s="279"/>
      <c r="O58" s="279"/>
      <c r="P58" s="279"/>
      <c r="Q58" s="251"/>
      <c r="R58" s="279"/>
      <c r="S58" s="279"/>
      <c r="T58" s="279"/>
      <c r="U58" s="251"/>
      <c r="V58" s="279"/>
      <c r="W58" s="279"/>
      <c r="X58" s="279"/>
      <c r="Y58" s="242"/>
      <c r="Z58" s="790"/>
      <c r="AA58" s="279"/>
      <c r="AB58" s="279"/>
      <c r="AC58" s="251"/>
      <c r="AD58" s="279"/>
      <c r="AE58" s="279"/>
      <c r="AF58" s="279"/>
      <c r="AG58" s="251"/>
    </row>
    <row r="59" spans="1:33" s="156" customFormat="1">
      <c r="A59" s="252" t="s">
        <v>169</v>
      </c>
      <c r="B59" s="164" t="s">
        <v>429</v>
      </c>
      <c r="C59" s="154"/>
      <c r="D59" s="169"/>
      <c r="E59" s="253"/>
      <c r="F59" s="242"/>
      <c r="G59" s="247"/>
      <c r="H59" s="251"/>
      <c r="I59" s="242"/>
      <c r="J59" s="251"/>
      <c r="K59" s="649"/>
      <c r="L59" s="251"/>
      <c r="M59" s="251"/>
      <c r="N59" s="251"/>
      <c r="O59" s="251"/>
      <c r="P59" s="251"/>
      <c r="Q59" s="251"/>
      <c r="R59" s="279"/>
      <c r="S59" s="279"/>
      <c r="T59" s="279"/>
      <c r="U59" s="251"/>
      <c r="V59" s="251"/>
      <c r="W59" s="251"/>
      <c r="X59" s="279"/>
      <c r="Y59" s="242"/>
      <c r="Z59" s="790"/>
      <c r="AA59" s="279"/>
      <c r="AB59" s="279"/>
      <c r="AC59" s="251"/>
      <c r="AD59" s="279"/>
      <c r="AE59" s="279"/>
      <c r="AF59" s="279"/>
      <c r="AG59" s="251"/>
    </row>
    <row r="60" spans="1:33">
      <c r="A60" s="258"/>
      <c r="B60" s="171" t="s">
        <v>249</v>
      </c>
      <c r="C60" s="174" t="s">
        <v>430</v>
      </c>
      <c r="D60" s="174"/>
      <c r="E60" s="259"/>
      <c r="F60" s="239">
        <v>0</v>
      </c>
      <c r="G60" s="239">
        <f>69579+3631</f>
        <v>73210</v>
      </c>
      <c r="H60" s="279">
        <v>0</v>
      </c>
      <c r="I60" s="242">
        <f t="shared" si="20"/>
        <v>73210</v>
      </c>
      <c r="J60" s="279">
        <v>0</v>
      </c>
      <c r="K60" s="166">
        <v>104947</v>
      </c>
      <c r="L60" s="279">
        <v>0</v>
      </c>
      <c r="M60" s="251">
        <f>SUM(J60:L60)</f>
        <v>104947</v>
      </c>
      <c r="N60" s="279">
        <v>0</v>
      </c>
      <c r="O60" s="279">
        <v>0</v>
      </c>
      <c r="P60" s="279">
        <v>0</v>
      </c>
      <c r="Q60" s="251">
        <f t="shared" si="1"/>
        <v>0</v>
      </c>
      <c r="R60" s="279">
        <f t="shared" si="2"/>
        <v>0</v>
      </c>
      <c r="S60" s="279">
        <f t="shared" si="3"/>
        <v>73210</v>
      </c>
      <c r="T60" s="279">
        <f t="shared" si="4"/>
        <v>0</v>
      </c>
      <c r="U60" s="251">
        <f t="shared" si="5"/>
        <v>73210</v>
      </c>
      <c r="V60" s="279">
        <v>0</v>
      </c>
      <c r="W60" s="279">
        <v>104947</v>
      </c>
      <c r="X60" s="279">
        <f t="shared" si="6"/>
        <v>0</v>
      </c>
      <c r="Y60" s="242">
        <v>104947</v>
      </c>
      <c r="Z60" s="790">
        <v>0</v>
      </c>
      <c r="AA60" s="279">
        <v>0</v>
      </c>
      <c r="AB60" s="279">
        <v>0</v>
      </c>
      <c r="AC60" s="251">
        <f t="shared" si="7"/>
        <v>0</v>
      </c>
      <c r="AD60" s="279">
        <f t="shared" si="8"/>
        <v>0</v>
      </c>
      <c r="AE60" s="279">
        <f t="shared" si="9"/>
        <v>73210</v>
      </c>
      <c r="AF60" s="279">
        <f t="shared" si="10"/>
        <v>0</v>
      </c>
      <c r="AG60" s="251">
        <f t="shared" si="11"/>
        <v>73210</v>
      </c>
    </row>
    <row r="61" spans="1:33">
      <c r="A61" s="263"/>
      <c r="B61" s="179" t="s">
        <v>257</v>
      </c>
      <c r="C61" s="177" t="s">
        <v>254</v>
      </c>
      <c r="D61" s="177"/>
      <c r="E61" s="264"/>
      <c r="F61" s="243">
        <v>0</v>
      </c>
      <c r="G61" s="243">
        <f>SUM('címrendes kiadás'!M175)</f>
        <v>138750</v>
      </c>
      <c r="H61" s="279">
        <v>0</v>
      </c>
      <c r="I61" s="242">
        <f t="shared" si="20"/>
        <v>138750</v>
      </c>
      <c r="J61" s="279">
        <v>0</v>
      </c>
      <c r="K61" s="166">
        <v>92500</v>
      </c>
      <c r="L61" s="279">
        <v>0</v>
      </c>
      <c r="M61" s="251">
        <f>SUM(J61:L61)</f>
        <v>92500</v>
      </c>
      <c r="N61" s="279">
        <v>0</v>
      </c>
      <c r="O61" s="279">
        <v>0</v>
      </c>
      <c r="P61" s="279">
        <v>0</v>
      </c>
      <c r="Q61" s="251">
        <f t="shared" si="1"/>
        <v>0</v>
      </c>
      <c r="R61" s="279">
        <f t="shared" si="2"/>
        <v>0</v>
      </c>
      <c r="S61" s="279">
        <f t="shared" si="3"/>
        <v>138750</v>
      </c>
      <c r="T61" s="279">
        <f t="shared" si="4"/>
        <v>0</v>
      </c>
      <c r="U61" s="251">
        <f t="shared" si="5"/>
        <v>138750</v>
      </c>
      <c r="V61" s="279">
        <v>0</v>
      </c>
      <c r="W61" s="279">
        <v>155000</v>
      </c>
      <c r="X61" s="279">
        <f t="shared" si="6"/>
        <v>0</v>
      </c>
      <c r="Y61" s="242">
        <v>155000</v>
      </c>
      <c r="Z61" s="790">
        <v>0</v>
      </c>
      <c r="AA61" s="279">
        <v>0</v>
      </c>
      <c r="AB61" s="279">
        <v>0</v>
      </c>
      <c r="AC61" s="251">
        <f t="shared" si="7"/>
        <v>0</v>
      </c>
      <c r="AD61" s="279">
        <f t="shared" si="8"/>
        <v>0</v>
      </c>
      <c r="AE61" s="279">
        <f t="shared" si="9"/>
        <v>138750</v>
      </c>
      <c r="AF61" s="279">
        <f t="shared" si="10"/>
        <v>0</v>
      </c>
      <c r="AG61" s="251">
        <f t="shared" si="11"/>
        <v>138750</v>
      </c>
    </row>
    <row r="62" spans="1:33" s="156" customFormat="1">
      <c r="A62" s="254"/>
      <c r="B62" s="161" t="s">
        <v>431</v>
      </c>
      <c r="C62" s="163"/>
      <c r="D62" s="163"/>
      <c r="E62" s="256"/>
      <c r="F62" s="241">
        <f>SUM(F60:F61)</f>
        <v>0</v>
      </c>
      <c r="G62" s="241">
        <f>SUM(G60:G61)</f>
        <v>211960</v>
      </c>
      <c r="H62" s="184">
        <f>SUM(H60:H61)</f>
        <v>0</v>
      </c>
      <c r="I62" s="240">
        <f t="shared" si="20"/>
        <v>211960</v>
      </c>
      <c r="J62" s="184">
        <f t="shared" ref="J62:P62" si="23">SUM(J60:J61)</f>
        <v>0</v>
      </c>
      <c r="K62" s="184">
        <f t="shared" si="23"/>
        <v>197447</v>
      </c>
      <c r="L62" s="184">
        <f t="shared" si="23"/>
        <v>0</v>
      </c>
      <c r="M62" s="184">
        <f t="shared" si="23"/>
        <v>197447</v>
      </c>
      <c r="N62" s="184">
        <f t="shared" si="23"/>
        <v>0</v>
      </c>
      <c r="O62" s="184">
        <f t="shared" si="23"/>
        <v>0</v>
      </c>
      <c r="P62" s="184">
        <f t="shared" si="23"/>
        <v>0</v>
      </c>
      <c r="Q62" s="184">
        <f t="shared" si="1"/>
        <v>0</v>
      </c>
      <c r="R62" s="184">
        <f t="shared" si="2"/>
        <v>0</v>
      </c>
      <c r="S62" s="184">
        <f t="shared" si="3"/>
        <v>211960</v>
      </c>
      <c r="T62" s="184">
        <f t="shared" si="4"/>
        <v>0</v>
      </c>
      <c r="U62" s="184">
        <f t="shared" si="5"/>
        <v>211960</v>
      </c>
      <c r="V62" s="184">
        <f>SUM(V60:V61)</f>
        <v>0</v>
      </c>
      <c r="W62" s="184">
        <f>SUM(W60:W61)</f>
        <v>259947</v>
      </c>
      <c r="X62" s="184">
        <f t="shared" si="6"/>
        <v>0</v>
      </c>
      <c r="Y62" s="240">
        <f>SUM(Y60:Y61)</f>
        <v>259947</v>
      </c>
      <c r="Z62" s="856">
        <f>SUM(Z60:Z61)</f>
        <v>0</v>
      </c>
      <c r="AA62" s="184">
        <f>SUM(AA60:AA61)</f>
        <v>0</v>
      </c>
      <c r="AB62" s="184">
        <f>SUM(AB60:AB61)</f>
        <v>0</v>
      </c>
      <c r="AC62" s="184">
        <f t="shared" si="7"/>
        <v>0</v>
      </c>
      <c r="AD62" s="682">
        <f t="shared" si="8"/>
        <v>0</v>
      </c>
      <c r="AE62" s="682">
        <f t="shared" si="9"/>
        <v>211960</v>
      </c>
      <c r="AF62" s="682">
        <f t="shared" si="10"/>
        <v>0</v>
      </c>
      <c r="AG62" s="184">
        <f t="shared" si="11"/>
        <v>211960</v>
      </c>
    </row>
    <row r="63" spans="1:33" s="156" customFormat="1">
      <c r="A63" s="254"/>
      <c r="B63" s="161"/>
      <c r="C63" s="163"/>
      <c r="D63" s="163"/>
      <c r="E63" s="256"/>
      <c r="F63" s="241"/>
      <c r="G63" s="241"/>
      <c r="H63" s="184"/>
      <c r="I63" s="242"/>
      <c r="J63" s="251"/>
      <c r="K63" s="649"/>
      <c r="L63" s="251"/>
      <c r="M63" s="251"/>
      <c r="N63" s="251"/>
      <c r="O63" s="251"/>
      <c r="P63" s="251"/>
      <c r="Q63" s="251"/>
      <c r="R63" s="279"/>
      <c r="S63" s="279"/>
      <c r="T63" s="279"/>
      <c r="U63" s="251"/>
      <c r="V63" s="251"/>
      <c r="W63" s="251"/>
      <c r="X63" s="279"/>
      <c r="Y63" s="242"/>
      <c r="Z63" s="790"/>
      <c r="AA63" s="279"/>
      <c r="AB63" s="279"/>
      <c r="AC63" s="251"/>
      <c r="AD63" s="279"/>
      <c r="AE63" s="279"/>
      <c r="AF63" s="279"/>
      <c r="AG63" s="251"/>
    </row>
    <row r="64" spans="1:33" s="156" customFormat="1">
      <c r="A64" s="254"/>
      <c r="B64" s="161" t="s">
        <v>217</v>
      </c>
      <c r="C64" s="163"/>
      <c r="D64" s="163"/>
      <c r="E64" s="256"/>
      <c r="F64" s="241">
        <f>SUM(F57+F27)</f>
        <v>19817</v>
      </c>
      <c r="G64" s="241">
        <f>SUM(G57+G27)</f>
        <v>3028093</v>
      </c>
      <c r="H64" s="280">
        <f>SUM(H57+H27)</f>
        <v>3004002</v>
      </c>
      <c r="I64" s="240">
        <f>SUM(F64:H64)</f>
        <v>6051912</v>
      </c>
      <c r="J64" s="184">
        <f t="shared" ref="J64:P64" si="24">J27+J57</f>
        <v>0</v>
      </c>
      <c r="K64" s="184">
        <f t="shared" si="24"/>
        <v>658466</v>
      </c>
      <c r="L64" s="184">
        <f t="shared" si="24"/>
        <v>1521380</v>
      </c>
      <c r="M64" s="184">
        <f t="shared" si="24"/>
        <v>2179846</v>
      </c>
      <c r="N64" s="184">
        <f t="shared" si="24"/>
        <v>107</v>
      </c>
      <c r="O64" s="184">
        <f t="shared" si="24"/>
        <v>222880</v>
      </c>
      <c r="P64" s="184">
        <f t="shared" si="24"/>
        <v>273682</v>
      </c>
      <c r="Q64" s="184">
        <f t="shared" si="1"/>
        <v>496669</v>
      </c>
      <c r="R64" s="184">
        <f t="shared" si="2"/>
        <v>19924</v>
      </c>
      <c r="S64" s="184">
        <f t="shared" si="3"/>
        <v>3250973</v>
      </c>
      <c r="T64" s="184">
        <f t="shared" si="4"/>
        <v>3277684</v>
      </c>
      <c r="U64" s="184">
        <f t="shared" si="5"/>
        <v>6548581</v>
      </c>
      <c r="V64" s="184">
        <f>V27+V57</f>
        <v>18817</v>
      </c>
      <c r="W64" s="184">
        <f>W27+W57</f>
        <v>2097882</v>
      </c>
      <c r="X64" s="184">
        <f t="shared" si="6"/>
        <v>1515673</v>
      </c>
      <c r="Y64" s="240">
        <f>Y27+Y57</f>
        <v>3632372</v>
      </c>
      <c r="Z64" s="856">
        <f>Z27+Z57</f>
        <v>17</v>
      </c>
      <c r="AA64" s="856">
        <f>AA27+AA57</f>
        <v>432294</v>
      </c>
      <c r="AB64" s="856">
        <f>AB27+AB57</f>
        <v>364781</v>
      </c>
      <c r="AC64" s="184">
        <f t="shared" si="7"/>
        <v>797092</v>
      </c>
      <c r="AD64" s="682">
        <f t="shared" si="8"/>
        <v>19941</v>
      </c>
      <c r="AE64" s="682">
        <f t="shared" si="9"/>
        <v>3683267</v>
      </c>
      <c r="AF64" s="682">
        <f t="shared" si="10"/>
        <v>3642465</v>
      </c>
      <c r="AG64" s="184">
        <f t="shared" si="11"/>
        <v>7345673</v>
      </c>
    </row>
    <row r="65" spans="1:33" s="156" customFormat="1">
      <c r="A65" s="260"/>
      <c r="B65" s="158" t="s">
        <v>414</v>
      </c>
      <c r="C65" s="160"/>
      <c r="D65" s="160"/>
      <c r="E65" s="261"/>
      <c r="F65" s="240">
        <f>SUM(F62+F49)</f>
        <v>77391</v>
      </c>
      <c r="G65" s="240">
        <f>SUM(G62+G49)</f>
        <v>3707072</v>
      </c>
      <c r="H65" s="184">
        <f>SUM(H62+H49)</f>
        <v>2267449</v>
      </c>
      <c r="I65" s="240">
        <f>SUM(F65:H65)</f>
        <v>6051912</v>
      </c>
      <c r="J65" s="184">
        <f t="shared" ref="J65:P65" si="25">J49+J62</f>
        <v>39971</v>
      </c>
      <c r="K65" s="184">
        <f t="shared" si="25"/>
        <v>925945</v>
      </c>
      <c r="L65" s="184">
        <f t="shared" si="25"/>
        <v>690156</v>
      </c>
      <c r="M65" s="184">
        <f t="shared" si="25"/>
        <v>1656072</v>
      </c>
      <c r="N65" s="184">
        <f t="shared" si="25"/>
        <v>107</v>
      </c>
      <c r="O65" s="184">
        <f t="shared" si="25"/>
        <v>245920</v>
      </c>
      <c r="P65" s="184">
        <f t="shared" si="25"/>
        <v>250642</v>
      </c>
      <c r="Q65" s="184">
        <f t="shared" si="1"/>
        <v>496669</v>
      </c>
      <c r="R65" s="184">
        <f t="shared" si="2"/>
        <v>77498</v>
      </c>
      <c r="S65" s="184">
        <f t="shared" si="3"/>
        <v>3952992</v>
      </c>
      <c r="T65" s="184">
        <f t="shared" si="4"/>
        <v>2518091</v>
      </c>
      <c r="U65" s="184">
        <f t="shared" si="5"/>
        <v>6548581</v>
      </c>
      <c r="V65" s="280">
        <f>V49+V62</f>
        <v>57862</v>
      </c>
      <c r="W65" s="280">
        <f>W49+W62</f>
        <v>1868182</v>
      </c>
      <c r="X65" s="280">
        <f t="shared" si="6"/>
        <v>964031</v>
      </c>
      <c r="Y65" s="280">
        <f>Y49+Y62</f>
        <v>2890075</v>
      </c>
      <c r="Z65" s="280">
        <f>Z49+Z62</f>
        <v>107</v>
      </c>
      <c r="AA65" s="280">
        <f>AA49+AA62</f>
        <v>497029</v>
      </c>
      <c r="AB65" s="280">
        <f>AB49+AB62</f>
        <v>299956</v>
      </c>
      <c r="AC65" s="280">
        <f t="shared" si="7"/>
        <v>797092</v>
      </c>
      <c r="AD65" s="683">
        <f t="shared" si="8"/>
        <v>77605</v>
      </c>
      <c r="AE65" s="683">
        <f t="shared" si="9"/>
        <v>4450021</v>
      </c>
      <c r="AF65" s="683">
        <f t="shared" si="10"/>
        <v>2818047</v>
      </c>
      <c r="AG65" s="280">
        <f t="shared" si="11"/>
        <v>7345673</v>
      </c>
    </row>
    <row r="66" spans="1:33" ht="13.5">
      <c r="A66" s="859" t="s">
        <v>3</v>
      </c>
      <c r="Z66" s="151"/>
      <c r="AA66" s="151"/>
      <c r="AB66" s="151"/>
      <c r="AC66" s="648"/>
      <c r="AD66" s="151"/>
      <c r="AE66" s="151"/>
      <c r="AF66" s="151"/>
      <c r="AG66" s="648"/>
    </row>
  </sheetData>
  <mergeCells count="33">
    <mergeCell ref="A7:E7"/>
    <mergeCell ref="I9:I10"/>
    <mergeCell ref="I1:AH1"/>
    <mergeCell ref="A3:AH3"/>
    <mergeCell ref="J8:M8"/>
    <mergeCell ref="N8:Q8"/>
    <mergeCell ref="V8:Y8"/>
    <mergeCell ref="R8:U8"/>
    <mergeCell ref="A4:AH4"/>
    <mergeCell ref="G6:AG6"/>
    <mergeCell ref="J9:J10"/>
    <mergeCell ref="K9:L9"/>
    <mergeCell ref="M9:M10"/>
    <mergeCell ref="G9:H9"/>
    <mergeCell ref="F9:F10"/>
    <mergeCell ref="F8:I8"/>
    <mergeCell ref="W9:X9"/>
    <mergeCell ref="Y9:Y10"/>
    <mergeCell ref="N9:N10"/>
    <mergeCell ref="O9:P9"/>
    <mergeCell ref="Q9:Q10"/>
    <mergeCell ref="R9:R10"/>
    <mergeCell ref="S9:T9"/>
    <mergeCell ref="U9:U10"/>
    <mergeCell ref="V9:V10"/>
    <mergeCell ref="AD9:AD10"/>
    <mergeCell ref="AE9:AF9"/>
    <mergeCell ref="AG9:AG10"/>
    <mergeCell ref="Z8:AC8"/>
    <mergeCell ref="Z9:Z10"/>
    <mergeCell ref="AA9:AB9"/>
    <mergeCell ref="AC9:AC10"/>
    <mergeCell ref="AD8:AG8"/>
  </mergeCells>
  <phoneticPr fontId="2" type="noConversion"/>
  <pageMargins left="0.56999999999999995" right="0.34" top="0.65" bottom="0.48" header="0.5" footer="0.5"/>
  <pageSetup paperSize="8" scale="5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1"/>
  <dimension ref="A1:I64"/>
  <sheetViews>
    <sheetView view="pageBreakPreview" zoomScaleNormal="100" workbookViewId="0">
      <selection activeCell="C1" sqref="C1:G1"/>
    </sheetView>
  </sheetViews>
  <sheetFormatPr defaultRowHeight="12.75"/>
  <cols>
    <col min="1" max="1" width="4.7109375" style="148" customWidth="1"/>
    <col min="2" max="2" width="5.5703125" style="149" customWidth="1"/>
    <col min="3" max="3" width="18.42578125" style="150" customWidth="1"/>
    <col min="4" max="4" width="18.28515625" style="150" customWidth="1"/>
    <col min="5" max="5" width="10.140625" style="150" customWidth="1"/>
    <col min="6" max="6" width="10.42578125" style="151" bestFit="1" customWidth="1"/>
    <col min="7" max="7" width="10.42578125" style="151" customWidth="1"/>
    <col min="8" max="16384" width="9.140625" style="150"/>
  </cols>
  <sheetData>
    <row r="1" spans="1:7" ht="14.25">
      <c r="B1" s="149" t="s">
        <v>155</v>
      </c>
      <c r="C1" s="985" t="s">
        <v>8</v>
      </c>
      <c r="D1" s="985"/>
      <c r="E1" s="985"/>
      <c r="F1" s="985"/>
      <c r="G1" s="985"/>
    </row>
    <row r="3" spans="1:7">
      <c r="A3" s="982" t="s">
        <v>4</v>
      </c>
      <c r="B3" s="982"/>
      <c r="C3" s="982"/>
      <c r="D3" s="982"/>
      <c r="E3" s="982"/>
      <c r="F3" s="982"/>
      <c r="G3" s="982"/>
    </row>
    <row r="6" spans="1:7">
      <c r="F6" s="984" t="s">
        <v>103</v>
      </c>
      <c r="G6" s="984"/>
    </row>
    <row r="7" spans="1:7">
      <c r="A7" s="986" t="s">
        <v>387</v>
      </c>
      <c r="B7" s="986"/>
      <c r="C7" s="986"/>
      <c r="D7" s="986"/>
      <c r="E7" s="860" t="s">
        <v>390</v>
      </c>
      <c r="F7" s="228" t="s">
        <v>546</v>
      </c>
      <c r="G7" s="228" t="s">
        <v>5</v>
      </c>
    </row>
    <row r="8" spans="1:7">
      <c r="A8" s="646"/>
      <c r="B8" s="861" t="s">
        <v>415</v>
      </c>
      <c r="C8" s="646"/>
      <c r="D8" s="646"/>
      <c r="E8" s="646"/>
      <c r="F8" s="862"/>
      <c r="G8" s="862"/>
    </row>
    <row r="9" spans="1:7" s="156" customFormat="1">
      <c r="A9" s="153" t="s">
        <v>416</v>
      </c>
      <c r="B9" s="154" t="s">
        <v>417</v>
      </c>
      <c r="C9" s="155"/>
      <c r="E9" s="863" t="s">
        <v>347</v>
      </c>
      <c r="F9" s="863" t="s">
        <v>348</v>
      </c>
      <c r="G9" s="863" t="s">
        <v>358</v>
      </c>
    </row>
    <row r="10" spans="1:7">
      <c r="B10" s="864" t="s">
        <v>247</v>
      </c>
      <c r="C10" s="157" t="s">
        <v>189</v>
      </c>
      <c r="E10" s="151">
        <f>SUM('[2]5.mell. (2)'!F11)</f>
        <v>156322</v>
      </c>
      <c r="F10" s="151">
        <f>SUM(E10)*1.03</f>
        <v>161011.66</v>
      </c>
      <c r="G10" s="151">
        <f>SUM(F10)*1.03</f>
        <v>165842.0098</v>
      </c>
    </row>
    <row r="11" spans="1:7">
      <c r="B11" s="864" t="s">
        <v>244</v>
      </c>
      <c r="C11" s="157" t="s">
        <v>418</v>
      </c>
      <c r="E11" s="151">
        <f>SUM('[2]5.mell. (2)'!F12)</f>
        <v>685000</v>
      </c>
      <c r="F11" s="151">
        <f>SUM(E11)*1.01</f>
        <v>691850</v>
      </c>
      <c r="G11" s="151">
        <f>SUM(F11)*1.01</f>
        <v>698768.5</v>
      </c>
    </row>
    <row r="12" spans="1:7">
      <c r="A12" s="865" t="s">
        <v>119</v>
      </c>
      <c r="B12" s="158" t="s">
        <v>494</v>
      </c>
      <c r="C12" s="159"/>
      <c r="D12" s="160"/>
      <c r="E12" s="866">
        <f>SUM(E10:E11)</f>
        <v>841322</v>
      </c>
      <c r="F12" s="866">
        <f>SUM(F10:F11)</f>
        <v>852861.66</v>
      </c>
      <c r="G12" s="866">
        <f>SUM(G10:G11)</f>
        <v>864610.5098</v>
      </c>
    </row>
    <row r="13" spans="1:7">
      <c r="A13" s="865" t="s">
        <v>149</v>
      </c>
      <c r="B13" s="158" t="s">
        <v>150</v>
      </c>
      <c r="C13" s="159"/>
      <c r="D13" s="160"/>
      <c r="E13" s="866">
        <v>420594</v>
      </c>
      <c r="F13" s="866">
        <v>320000</v>
      </c>
      <c r="G13" s="866">
        <v>325000</v>
      </c>
    </row>
    <row r="14" spans="1:7">
      <c r="A14" s="867" t="s">
        <v>419</v>
      </c>
      <c r="B14" s="161" t="s">
        <v>166</v>
      </c>
      <c r="C14" s="162"/>
      <c r="D14" s="163"/>
      <c r="E14" s="866">
        <f>SUM('[2]5.mell. (2)'!F15)</f>
        <v>87530</v>
      </c>
      <c r="F14" s="866">
        <v>85000</v>
      </c>
      <c r="G14" s="866">
        <v>86000</v>
      </c>
    </row>
    <row r="15" spans="1:7" s="156" customFormat="1">
      <c r="A15" s="153" t="s">
        <v>172</v>
      </c>
      <c r="B15" s="164" t="s">
        <v>198</v>
      </c>
      <c r="C15" s="165"/>
      <c r="E15" s="868"/>
      <c r="F15" s="648"/>
      <c r="G15" s="648"/>
    </row>
    <row r="16" spans="1:7">
      <c r="B16" s="864" t="s">
        <v>117</v>
      </c>
      <c r="C16" s="145" t="s">
        <v>174</v>
      </c>
      <c r="E16" s="166">
        <v>11024</v>
      </c>
      <c r="F16" s="151">
        <v>10000</v>
      </c>
      <c r="G16" s="151">
        <v>10000</v>
      </c>
    </row>
    <row r="17" spans="1:7">
      <c r="B17" s="167" t="s">
        <v>122</v>
      </c>
      <c r="C17" s="146" t="s">
        <v>175</v>
      </c>
      <c r="E17" s="166">
        <v>264409</v>
      </c>
      <c r="F17" s="869">
        <v>358840</v>
      </c>
      <c r="G17" s="869">
        <v>0</v>
      </c>
    </row>
    <row r="18" spans="1:7">
      <c r="A18" s="865" t="s">
        <v>172</v>
      </c>
      <c r="B18" s="158" t="s">
        <v>495</v>
      </c>
      <c r="C18" s="159"/>
      <c r="D18" s="160"/>
      <c r="E18" s="866">
        <f>SUM(E16:E17)</f>
        <v>275433</v>
      </c>
      <c r="F18" s="866">
        <f>SUM(F16:F17)</f>
        <v>368840</v>
      </c>
      <c r="G18" s="866">
        <f>SUM(G16:G17)</f>
        <v>10000</v>
      </c>
    </row>
    <row r="19" spans="1:7">
      <c r="A19" s="153" t="s">
        <v>177</v>
      </c>
      <c r="B19" s="164" t="s">
        <v>178</v>
      </c>
      <c r="C19" s="165"/>
      <c r="D19" s="156"/>
      <c r="E19" s="868"/>
    </row>
    <row r="20" spans="1:7">
      <c r="B20" s="864" t="s">
        <v>117</v>
      </c>
      <c r="C20" s="157" t="s">
        <v>200</v>
      </c>
      <c r="E20" s="166">
        <f>SUM('[2]5.mell. (2)'!F21)</f>
        <v>0</v>
      </c>
      <c r="F20" s="151">
        <v>0</v>
      </c>
      <c r="G20" s="151">
        <v>0</v>
      </c>
    </row>
    <row r="21" spans="1:7">
      <c r="A21" s="870"/>
      <c r="B21" s="167" t="s">
        <v>122</v>
      </c>
      <c r="C21" s="168" t="s">
        <v>180</v>
      </c>
      <c r="E21" s="166">
        <f>SUM('[2]5.mell. (2)'!F22)</f>
        <v>500</v>
      </c>
      <c r="F21" s="151">
        <v>41000</v>
      </c>
      <c r="G21" s="151">
        <v>41000</v>
      </c>
    </row>
    <row r="22" spans="1:7">
      <c r="A22" s="865" t="s">
        <v>177</v>
      </c>
      <c r="B22" s="158" t="s">
        <v>181</v>
      </c>
      <c r="C22" s="159"/>
      <c r="D22" s="160"/>
      <c r="E22" s="866">
        <f>SUM(E20:E21)</f>
        <v>500</v>
      </c>
      <c r="F22" s="866">
        <f>SUM(F20:F21)</f>
        <v>41000</v>
      </c>
      <c r="G22" s="866">
        <f>SUM(G20:G21)</f>
        <v>41000</v>
      </c>
    </row>
    <row r="23" spans="1:7">
      <c r="A23" s="865" t="s">
        <v>182</v>
      </c>
      <c r="B23" s="158" t="s">
        <v>502</v>
      </c>
      <c r="C23" s="159"/>
      <c r="D23" s="160"/>
      <c r="E23" s="866">
        <f>SUM('[2]5.mell. (2)'!F24)</f>
        <v>3100</v>
      </c>
      <c r="F23" s="866">
        <v>3000</v>
      </c>
      <c r="G23" s="866">
        <v>2900</v>
      </c>
    </row>
    <row r="24" spans="1:7">
      <c r="A24" s="860" t="s">
        <v>155</v>
      </c>
      <c r="B24" s="158" t="s">
        <v>421</v>
      </c>
      <c r="C24" s="159"/>
      <c r="D24" s="871"/>
      <c r="E24" s="866">
        <f>SUM(E12+E13+E14+E18+E22+E23)</f>
        <v>1628479</v>
      </c>
      <c r="F24" s="866">
        <f>SUM(F12+F13+F14+F18+F22+F23)</f>
        <v>1670701.6600000001</v>
      </c>
      <c r="G24" s="866">
        <f>SUM(G12+G13+G14+G18+G22+G23)</f>
        <v>1329510.5098000001</v>
      </c>
    </row>
    <row r="25" spans="1:7">
      <c r="B25" s="164"/>
      <c r="C25" s="165"/>
      <c r="E25" s="151"/>
    </row>
    <row r="26" spans="1:7">
      <c r="B26" s="170" t="s">
        <v>422</v>
      </c>
      <c r="C26" s="165"/>
      <c r="E26" s="151"/>
    </row>
    <row r="27" spans="1:7" s="156" customFormat="1">
      <c r="A27" s="153" t="s">
        <v>117</v>
      </c>
      <c r="B27" s="164" t="s">
        <v>218</v>
      </c>
      <c r="C27" s="165"/>
      <c r="E27" s="648"/>
      <c r="F27" s="648"/>
      <c r="G27" s="648"/>
    </row>
    <row r="28" spans="1:7">
      <c r="B28" s="157" t="s">
        <v>152</v>
      </c>
      <c r="C28" s="168" t="s">
        <v>317</v>
      </c>
      <c r="E28" s="151">
        <f>SUM('[2]5.mell. (2)'!F29)</f>
        <v>345173</v>
      </c>
      <c r="F28" s="151">
        <f>SUM(E28)*1.005</f>
        <v>346898.86499999999</v>
      </c>
      <c r="G28" s="151">
        <f>SUM(F28)*1.005</f>
        <v>348633.35932499997</v>
      </c>
    </row>
    <row r="29" spans="1:7">
      <c r="B29" s="157" t="s">
        <v>156</v>
      </c>
      <c r="C29" s="872" t="s">
        <v>490</v>
      </c>
      <c r="E29" s="151">
        <f>SUM('[2]5.mell. (2)'!F30)</f>
        <v>93125</v>
      </c>
      <c r="F29" s="151">
        <f>SUM(E29)*1.005</f>
        <v>93590.624999999985</v>
      </c>
      <c r="G29" s="151">
        <f>SUM(F29)*1.005</f>
        <v>94058.578124999971</v>
      </c>
    </row>
    <row r="30" spans="1:7">
      <c r="B30" s="157" t="s">
        <v>220</v>
      </c>
      <c r="C30" s="168" t="s">
        <v>221</v>
      </c>
      <c r="E30" s="151">
        <f>SUM('[2]5.mell. (2)'!F31)</f>
        <v>366927</v>
      </c>
      <c r="F30" s="151">
        <v>358772</v>
      </c>
      <c r="G30" s="151">
        <v>370605</v>
      </c>
    </row>
    <row r="31" spans="1:7">
      <c r="B31" s="157" t="s">
        <v>230</v>
      </c>
      <c r="C31" s="168" t="s">
        <v>485</v>
      </c>
      <c r="E31" s="151">
        <v>0</v>
      </c>
      <c r="F31" s="151">
        <v>0</v>
      </c>
      <c r="G31" s="151">
        <v>0</v>
      </c>
    </row>
    <row r="32" spans="1:7">
      <c r="B32" s="157" t="s">
        <v>162</v>
      </c>
      <c r="C32" s="873" t="s">
        <v>222</v>
      </c>
      <c r="E32" s="151">
        <f>SUM('[2]5.mell. (2)'!F33)</f>
        <v>45885</v>
      </c>
      <c r="F32" s="151">
        <f>SUM(E32)*1.005</f>
        <v>46114.424999999996</v>
      </c>
      <c r="G32" s="151">
        <f>SUM(F32)*1.005</f>
        <v>46344.997124999987</v>
      </c>
    </row>
    <row r="33" spans="1:9">
      <c r="B33" s="157" t="s">
        <v>163</v>
      </c>
      <c r="C33" s="168" t="s">
        <v>423</v>
      </c>
      <c r="E33" s="151">
        <f>SUM('[2]5.mell. (2)'!F34)</f>
        <v>189482</v>
      </c>
      <c r="F33" s="151">
        <f>SUM(E33)*1.005</f>
        <v>190429.40999999997</v>
      </c>
      <c r="G33" s="151">
        <f>SUM(F33)*1.005</f>
        <v>191381.55704999994</v>
      </c>
    </row>
    <row r="34" spans="1:9">
      <c r="B34" s="157" t="s">
        <v>224</v>
      </c>
      <c r="C34" s="168" t="s">
        <v>225</v>
      </c>
      <c r="E34" s="151">
        <v>76613</v>
      </c>
      <c r="F34" s="151">
        <v>53169</v>
      </c>
      <c r="G34" s="151">
        <v>67373</v>
      </c>
    </row>
    <row r="35" spans="1:9" ht="15.75" customHeight="1">
      <c r="B35" s="157" t="s">
        <v>226</v>
      </c>
      <c r="C35" s="168" t="s">
        <v>227</v>
      </c>
      <c r="E35" s="151">
        <f>SUM('[2]5.mell. (2)'!F36)</f>
        <v>52500</v>
      </c>
      <c r="F35" s="151">
        <v>36000</v>
      </c>
      <c r="G35" s="151">
        <v>36000</v>
      </c>
    </row>
    <row r="36" spans="1:9" ht="15.75" customHeight="1">
      <c r="B36" s="157" t="s">
        <v>228</v>
      </c>
      <c r="C36" s="150" t="s">
        <v>232</v>
      </c>
      <c r="E36" s="151">
        <v>362</v>
      </c>
    </row>
    <row r="37" spans="1:9">
      <c r="A37" s="865" t="s">
        <v>117</v>
      </c>
      <c r="B37" s="158" t="s">
        <v>231</v>
      </c>
      <c r="C37" s="172"/>
      <c r="D37" s="160"/>
      <c r="E37" s="866">
        <f>SUM(E28:E36)</f>
        <v>1170067</v>
      </c>
      <c r="F37" s="866">
        <f>SUM(F28:F36)</f>
        <v>1124974.325</v>
      </c>
      <c r="G37" s="866">
        <f>SUM(G28:G36)</f>
        <v>1154396.4916249998</v>
      </c>
    </row>
    <row r="38" spans="1:9">
      <c r="A38" s="153" t="s">
        <v>122</v>
      </c>
      <c r="B38" s="164" t="s">
        <v>234</v>
      </c>
      <c r="C38" s="168"/>
      <c r="E38" s="151"/>
    </row>
    <row r="39" spans="1:9">
      <c r="B39" s="157" t="s">
        <v>235</v>
      </c>
      <c r="C39" s="168" t="s">
        <v>476</v>
      </c>
      <c r="E39" s="151">
        <v>392050</v>
      </c>
      <c r="F39" s="151">
        <v>414116</v>
      </c>
      <c r="G39" s="151">
        <v>3000</v>
      </c>
    </row>
    <row r="40" spans="1:9">
      <c r="B40" s="157"/>
      <c r="C40" s="874" t="s">
        <v>6</v>
      </c>
      <c r="E40" s="151">
        <v>308088</v>
      </c>
      <c r="F40" s="151">
        <v>411116</v>
      </c>
      <c r="G40" s="151">
        <v>0</v>
      </c>
    </row>
    <row r="41" spans="1:9">
      <c r="B41" s="157" t="s">
        <v>124</v>
      </c>
      <c r="C41" s="168" t="s">
        <v>477</v>
      </c>
      <c r="E41" s="151">
        <v>414</v>
      </c>
      <c r="F41" s="151">
        <v>0</v>
      </c>
      <c r="G41" s="151">
        <v>0</v>
      </c>
    </row>
    <row r="42" spans="1:9">
      <c r="B42" s="157" t="s">
        <v>133</v>
      </c>
      <c r="C42" s="168" t="s">
        <v>424</v>
      </c>
      <c r="E42" s="151">
        <v>158</v>
      </c>
      <c r="F42" s="151">
        <v>0</v>
      </c>
      <c r="G42" s="151">
        <v>0</v>
      </c>
    </row>
    <row r="43" spans="1:9">
      <c r="B43" s="157" t="s">
        <v>137</v>
      </c>
      <c r="C43" s="168" t="s">
        <v>425</v>
      </c>
      <c r="E43" s="151">
        <v>24</v>
      </c>
      <c r="F43" s="151">
        <v>0</v>
      </c>
      <c r="G43" s="151">
        <v>0</v>
      </c>
    </row>
    <row r="44" spans="1:9">
      <c r="B44" s="157" t="s">
        <v>239</v>
      </c>
      <c r="C44" s="168" t="s">
        <v>240</v>
      </c>
      <c r="E44" s="151">
        <f>SUM('[3]5.mell. (2)'!F42)</f>
        <v>0</v>
      </c>
      <c r="F44" s="151">
        <v>0</v>
      </c>
      <c r="G44" s="151">
        <v>0</v>
      </c>
    </row>
    <row r="45" spans="1:9">
      <c r="B45" s="149" t="s">
        <v>241</v>
      </c>
      <c r="C45" s="168" t="s">
        <v>242</v>
      </c>
      <c r="E45" s="151">
        <v>46038</v>
      </c>
      <c r="F45" s="151">
        <v>45000</v>
      </c>
      <c r="G45" s="151">
        <v>50000</v>
      </c>
    </row>
    <row r="46" spans="1:9">
      <c r="A46" s="865" t="s">
        <v>122</v>
      </c>
      <c r="B46" s="158" t="s">
        <v>426</v>
      </c>
      <c r="C46" s="172"/>
      <c r="D46" s="160"/>
      <c r="E46" s="866">
        <f>E39+E41+E42+E43+E44+E45</f>
        <v>438684</v>
      </c>
      <c r="F46" s="866">
        <f>F39+F41+F42+F43+F44+F45</f>
        <v>459116</v>
      </c>
      <c r="G46" s="866">
        <f>SUM(G39:G45)</f>
        <v>53000</v>
      </c>
      <c r="I46" s="151"/>
    </row>
    <row r="47" spans="1:9" s="156" customFormat="1">
      <c r="A47" s="865"/>
      <c r="B47" s="158" t="s">
        <v>427</v>
      </c>
      <c r="C47" s="172"/>
      <c r="D47" s="160"/>
      <c r="E47" s="866">
        <f>SUM(E37+E46)</f>
        <v>1608751</v>
      </c>
      <c r="F47" s="866">
        <f>SUM(F37+F46)</f>
        <v>1584090.325</v>
      </c>
      <c r="G47" s="866">
        <f>SUM(G37+G46)</f>
        <v>1207396.4916249998</v>
      </c>
    </row>
    <row r="48" spans="1:9">
      <c r="C48" s="875"/>
      <c r="E48" s="151"/>
    </row>
    <row r="49" spans="1:9" s="156" customFormat="1">
      <c r="A49" s="870"/>
      <c r="B49" s="164" t="s">
        <v>7</v>
      </c>
      <c r="C49" s="154"/>
      <c r="D49" s="169"/>
      <c r="E49" s="169"/>
      <c r="F49" s="649"/>
      <c r="G49" s="649"/>
    </row>
    <row r="50" spans="1:9" s="156" customFormat="1">
      <c r="A50" s="870" t="s">
        <v>205</v>
      </c>
      <c r="B50" s="164" t="s">
        <v>428</v>
      </c>
      <c r="C50" s="154"/>
      <c r="D50" s="169"/>
      <c r="E50" s="169"/>
      <c r="F50" s="648"/>
      <c r="G50" s="648"/>
    </row>
    <row r="51" spans="1:9">
      <c r="A51" s="646"/>
      <c r="B51" s="157" t="s">
        <v>117</v>
      </c>
      <c r="C51" s="173" t="s">
        <v>207</v>
      </c>
      <c r="D51" s="174"/>
      <c r="E51" s="166">
        <f>SUM('[3]címrendes bevétel'!M160)</f>
        <v>0</v>
      </c>
      <c r="F51" s="151">
        <v>0</v>
      </c>
      <c r="G51" s="151">
        <v>0</v>
      </c>
    </row>
    <row r="52" spans="1:9">
      <c r="A52" s="876"/>
      <c r="B52" s="175" t="s">
        <v>122</v>
      </c>
      <c r="C52" s="176" t="s">
        <v>208</v>
      </c>
      <c r="D52" s="177"/>
      <c r="E52" s="869">
        <v>16055</v>
      </c>
      <c r="F52" s="869">
        <v>52276</v>
      </c>
      <c r="G52" s="869">
        <v>0</v>
      </c>
    </row>
    <row r="53" spans="1:9" s="156" customFormat="1">
      <c r="A53" s="870"/>
      <c r="B53" s="164" t="s">
        <v>210</v>
      </c>
      <c r="C53" s="154"/>
      <c r="D53" s="169"/>
      <c r="E53" s="649">
        <f>SUM(E51:E52)</f>
        <v>16055</v>
      </c>
      <c r="F53" s="649">
        <f>SUM(F51:F52)</f>
        <v>52276</v>
      </c>
      <c r="G53" s="649">
        <f>SUM(G51:G52)</f>
        <v>0</v>
      </c>
    </row>
    <row r="54" spans="1:9">
      <c r="A54" s="865" t="s">
        <v>211</v>
      </c>
      <c r="B54" s="158" t="s">
        <v>212</v>
      </c>
      <c r="C54" s="159"/>
      <c r="D54" s="160"/>
      <c r="E54" s="866">
        <v>172546</v>
      </c>
      <c r="F54" s="866">
        <v>0</v>
      </c>
      <c r="G54" s="866">
        <v>0</v>
      </c>
    </row>
    <row r="55" spans="1:9" s="156" customFormat="1">
      <c r="A55" s="865"/>
      <c r="B55" s="158" t="s">
        <v>216</v>
      </c>
      <c r="C55" s="178"/>
      <c r="D55" s="160"/>
      <c r="E55" s="866">
        <f>SUM(E53+E54)</f>
        <v>188601</v>
      </c>
      <c r="F55" s="866">
        <f>SUM(F53+F54)</f>
        <v>52276</v>
      </c>
      <c r="G55" s="866">
        <f>SUM(G53+G54)</f>
        <v>0</v>
      </c>
    </row>
    <row r="56" spans="1:9">
      <c r="C56" s="875"/>
      <c r="E56" s="151"/>
    </row>
    <row r="57" spans="1:9" s="156" customFormat="1">
      <c r="A57" s="153" t="s">
        <v>169</v>
      </c>
      <c r="B57" s="164" t="s">
        <v>429</v>
      </c>
      <c r="C57" s="154"/>
      <c r="F57" s="648"/>
      <c r="G57" s="648"/>
    </row>
    <row r="58" spans="1:9">
      <c r="A58" s="646"/>
      <c r="B58" s="171" t="s">
        <v>249</v>
      </c>
      <c r="C58" s="174" t="s">
        <v>430</v>
      </c>
      <c r="D58" s="174"/>
      <c r="E58" s="166">
        <f>SUM('[2]5.mell. (2)'!F58)</f>
        <v>69579</v>
      </c>
      <c r="F58" s="166">
        <v>46388</v>
      </c>
      <c r="G58" s="166">
        <v>27115</v>
      </c>
    </row>
    <row r="59" spans="1:9">
      <c r="A59" s="876"/>
      <c r="B59" s="179" t="s">
        <v>257</v>
      </c>
      <c r="C59" s="177" t="s">
        <v>254</v>
      </c>
      <c r="D59" s="177"/>
      <c r="E59" s="869">
        <f>SUM('[2]5.mell. (2)'!F59)</f>
        <v>138750</v>
      </c>
      <c r="F59" s="869">
        <v>92500</v>
      </c>
      <c r="G59" s="869">
        <v>95000</v>
      </c>
    </row>
    <row r="60" spans="1:9" s="156" customFormat="1">
      <c r="A60" s="867"/>
      <c r="B60" s="161" t="s">
        <v>431</v>
      </c>
      <c r="C60" s="163"/>
      <c r="D60" s="163"/>
      <c r="E60" s="877">
        <f>SUM(E58:E59)</f>
        <v>208329</v>
      </c>
      <c r="F60" s="877">
        <f>SUM(F58:F59)</f>
        <v>138888</v>
      </c>
      <c r="G60" s="877">
        <f>SUM(G58:G59)</f>
        <v>122115</v>
      </c>
    </row>
    <row r="61" spans="1:9" s="156" customFormat="1">
      <c r="A61" s="867"/>
      <c r="B61" s="161"/>
      <c r="C61" s="163"/>
      <c r="D61" s="163"/>
      <c r="E61" s="877"/>
      <c r="F61" s="877"/>
      <c r="G61" s="877"/>
    </row>
    <row r="62" spans="1:9" s="156" customFormat="1">
      <c r="A62" s="867"/>
      <c r="B62" s="161" t="s">
        <v>217</v>
      </c>
      <c r="C62" s="163"/>
      <c r="D62" s="163"/>
      <c r="E62" s="877">
        <f>SUM(E55+E24)</f>
        <v>1817080</v>
      </c>
      <c r="F62" s="877">
        <f>SUM(F55+F24)</f>
        <v>1722977.6600000001</v>
      </c>
      <c r="G62" s="877">
        <f>SUM(G55+G24)</f>
        <v>1329510.5098000001</v>
      </c>
    </row>
    <row r="63" spans="1:9" s="156" customFormat="1">
      <c r="A63" s="865"/>
      <c r="B63" s="158" t="s">
        <v>414</v>
      </c>
      <c r="C63" s="160"/>
      <c r="D63" s="160"/>
      <c r="E63" s="866">
        <f>SUM(E60+E47)</f>
        <v>1817080</v>
      </c>
      <c r="F63" s="866">
        <f>SUM(F60+F47)</f>
        <v>1722978.325</v>
      </c>
      <c r="G63" s="866">
        <f>SUM(G60+G47)</f>
        <v>1329511.4916249998</v>
      </c>
      <c r="H63" s="648"/>
      <c r="I63" s="648"/>
    </row>
    <row r="64" spans="1:9">
      <c r="A64" s="878" t="s">
        <v>9</v>
      </c>
    </row>
  </sheetData>
  <mergeCells count="4">
    <mergeCell ref="F6:G6"/>
    <mergeCell ref="A3:G3"/>
    <mergeCell ref="C1:G1"/>
    <mergeCell ref="A7:D7"/>
  </mergeCells>
  <phoneticPr fontId="2" type="noConversion"/>
  <pageMargins left="0.75" right="0.75" top="1" bottom="1" header="0.5" footer="0.5"/>
  <pageSetup paperSize="9" scale="8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2"/>
  <dimension ref="A1:AH39"/>
  <sheetViews>
    <sheetView view="pageBreakPreview" zoomScale="75" zoomScaleNormal="75" workbookViewId="0">
      <selection activeCell="B39" sqref="B39"/>
    </sheetView>
  </sheetViews>
  <sheetFormatPr defaultRowHeight="15.75"/>
  <cols>
    <col min="1" max="1" width="8.42578125" style="180" customWidth="1"/>
    <col min="2" max="2" width="37.28515625" style="180" customWidth="1"/>
    <col min="3" max="3" width="16.42578125" style="180" customWidth="1"/>
    <col min="4" max="4" width="13.42578125" style="180" customWidth="1"/>
    <col min="5" max="5" width="13.28515625" style="180" customWidth="1"/>
    <col min="6" max="6" width="12.28515625" style="180" customWidth="1"/>
    <col min="7" max="8" width="11.7109375" style="180" hidden="1" customWidth="1"/>
    <col min="9" max="9" width="16.7109375" style="180" hidden="1" customWidth="1"/>
    <col min="10" max="10" width="9.28515625" style="180" hidden="1" customWidth="1"/>
    <col min="11" max="11" width="14" style="180" hidden="1" customWidth="1"/>
    <col min="12" max="12" width="11.28515625" style="180" hidden="1" customWidth="1"/>
    <col min="13" max="13" width="21.140625" style="180" hidden="1" customWidth="1"/>
    <col min="14" max="14" width="10.7109375" style="180" hidden="1" customWidth="1"/>
    <col min="15" max="15" width="13.5703125" style="180" hidden="1" customWidth="1"/>
    <col min="16" max="16" width="11.85546875" style="180" hidden="1" customWidth="1"/>
    <col min="17" max="19" width="9.140625" style="180" hidden="1" customWidth="1"/>
    <col min="20" max="20" width="16.28515625" style="180" customWidth="1"/>
    <col min="21" max="21" width="9.28515625" style="180" customWidth="1"/>
    <col min="22" max="22" width="13.85546875" style="180" customWidth="1"/>
    <col min="23" max="23" width="11.42578125" style="180" customWidth="1"/>
    <col min="24" max="24" width="16" style="181" hidden="1" customWidth="1"/>
    <col min="25" max="25" width="9.85546875" style="181" hidden="1" customWidth="1"/>
    <col min="26" max="26" width="15" style="181" hidden="1" customWidth="1"/>
    <col min="27" max="27" width="11.28515625" style="738" hidden="1" customWidth="1"/>
    <col min="28" max="28" width="9.140625" style="181" hidden="1" customWidth="1"/>
    <col min="29" max="30" width="9.140625" style="180"/>
    <col min="31" max="31" width="17.140625" style="181" customWidth="1"/>
    <col min="32" max="32" width="10" style="181" customWidth="1"/>
    <col min="33" max="33" width="14.7109375" style="181" customWidth="1"/>
    <col min="34" max="34" width="12.28515625" style="181" customWidth="1"/>
    <col min="35" max="16384" width="9.140625" style="180"/>
  </cols>
  <sheetData>
    <row r="1" spans="1:34" ht="17.45" customHeight="1">
      <c r="A1" s="980" t="s">
        <v>897</v>
      </c>
      <c r="B1" s="912"/>
      <c r="C1" s="912"/>
      <c r="D1" s="912"/>
      <c r="E1" s="912"/>
      <c r="F1" s="912"/>
      <c r="G1" s="912"/>
      <c r="H1" s="912"/>
      <c r="I1" s="913"/>
      <c r="J1" s="913"/>
      <c r="K1" s="913"/>
      <c r="L1" s="913"/>
      <c r="M1" s="913"/>
      <c r="N1" s="913"/>
      <c r="O1" s="913"/>
      <c r="P1" s="913"/>
      <c r="Q1" s="913"/>
      <c r="R1" s="913"/>
      <c r="S1" s="913"/>
      <c r="T1" s="913"/>
      <c r="U1" s="913"/>
      <c r="V1" s="913"/>
      <c r="W1" s="913"/>
      <c r="X1" s="913"/>
      <c r="Y1" s="913"/>
      <c r="Z1" s="913"/>
      <c r="AA1" s="913"/>
      <c r="AB1" s="913"/>
      <c r="AC1" s="913"/>
      <c r="AD1" s="913"/>
      <c r="AE1" s="913"/>
      <c r="AF1" s="913"/>
      <c r="AG1" s="913"/>
      <c r="AH1" s="913"/>
    </row>
    <row r="2" spans="1:34" ht="12.75">
      <c r="A2" s="913"/>
      <c r="B2" s="913"/>
      <c r="C2" s="913"/>
      <c r="D2" s="913"/>
      <c r="E2" s="913"/>
      <c r="F2" s="913"/>
      <c r="G2" s="913"/>
      <c r="H2" s="913"/>
      <c r="I2" s="913"/>
      <c r="J2" s="913"/>
      <c r="K2" s="913"/>
      <c r="L2" s="913"/>
      <c r="M2" s="913"/>
      <c r="N2" s="913"/>
      <c r="O2" s="913"/>
      <c r="P2" s="913"/>
      <c r="Q2" s="913"/>
      <c r="R2" s="913"/>
      <c r="S2" s="913"/>
      <c r="T2" s="913"/>
      <c r="U2" s="913"/>
      <c r="V2" s="913"/>
      <c r="W2" s="913"/>
      <c r="X2" s="913"/>
      <c r="Y2" s="913"/>
      <c r="Z2" s="913"/>
      <c r="AA2" s="913"/>
      <c r="AB2" s="913"/>
      <c r="AC2" s="913"/>
      <c r="AD2" s="913"/>
      <c r="AE2" s="913"/>
      <c r="AF2" s="913"/>
      <c r="AG2" s="913"/>
      <c r="AH2" s="913"/>
    </row>
    <row r="3" spans="1:34">
      <c r="A3" s="993" t="s">
        <v>497</v>
      </c>
      <c r="B3" s="993"/>
      <c r="C3" s="993"/>
      <c r="D3" s="993"/>
      <c r="E3" s="993"/>
      <c r="F3" s="993"/>
      <c r="G3" s="913"/>
      <c r="H3" s="913"/>
      <c r="I3" s="913"/>
      <c r="J3" s="913"/>
      <c r="K3" s="913"/>
      <c r="L3" s="913"/>
      <c r="M3" s="913"/>
      <c r="N3" s="913"/>
      <c r="O3" s="913"/>
      <c r="P3" s="913"/>
      <c r="Q3" s="913"/>
      <c r="R3" s="913"/>
      <c r="S3" s="913"/>
      <c r="T3" s="913"/>
      <c r="U3" s="913"/>
      <c r="V3" s="913"/>
      <c r="W3" s="913"/>
      <c r="X3" s="913"/>
      <c r="Y3" s="913"/>
      <c r="Z3" s="913"/>
      <c r="AA3" s="913"/>
      <c r="AB3" s="913"/>
      <c r="AC3" s="913"/>
      <c r="AD3" s="913"/>
      <c r="AE3" s="913"/>
      <c r="AF3" s="913"/>
      <c r="AG3" s="913"/>
      <c r="AH3" s="913"/>
    </row>
    <row r="4" spans="1:34">
      <c r="A4" s="1037"/>
      <c r="B4" s="1037"/>
      <c r="C4" s="1037"/>
      <c r="D4" s="1037"/>
      <c r="E4" s="1037"/>
      <c r="F4" s="1037"/>
      <c r="G4" s="410"/>
      <c r="H4" s="410"/>
    </row>
    <row r="5" spans="1:34" ht="25.5" customHeight="1">
      <c r="A5" s="1038" t="s">
        <v>258</v>
      </c>
      <c r="B5" s="1039"/>
      <c r="C5" s="1004" t="s">
        <v>544</v>
      </c>
      <c r="D5" s="1040"/>
      <c r="E5" s="1040"/>
      <c r="F5" s="1015"/>
      <c r="G5" s="1018" t="s">
        <v>432</v>
      </c>
      <c r="H5" s="1009"/>
      <c r="I5" s="1004" t="s">
        <v>592</v>
      </c>
      <c r="J5" s="1008"/>
      <c r="K5" s="1008"/>
      <c r="L5" s="1009"/>
      <c r="M5" s="1004" t="s">
        <v>708</v>
      </c>
      <c r="N5" s="1008"/>
      <c r="O5" s="1008"/>
      <c r="P5" s="1009"/>
      <c r="Q5" s="275" t="s">
        <v>260</v>
      </c>
      <c r="R5" s="1018" t="s">
        <v>432</v>
      </c>
      <c r="S5" s="1009"/>
      <c r="T5" s="1004" t="s">
        <v>732</v>
      </c>
      <c r="U5" s="1008"/>
      <c r="V5" s="1008"/>
      <c r="W5" s="1009"/>
      <c r="X5" s="1004" t="s">
        <v>815</v>
      </c>
      <c r="Y5" s="1005"/>
      <c r="Z5" s="1005"/>
      <c r="AA5" s="1006"/>
      <c r="AB5" s="791" t="s">
        <v>260</v>
      </c>
      <c r="AC5" s="994" t="s">
        <v>432</v>
      </c>
      <c r="AD5" s="995"/>
      <c r="AE5" s="998" t="s">
        <v>832</v>
      </c>
      <c r="AF5" s="999"/>
      <c r="AG5" s="999"/>
      <c r="AH5" s="1000"/>
    </row>
    <row r="6" spans="1:34" s="150" customFormat="1" ht="15">
      <c r="A6" s="415"/>
      <c r="B6" s="226" t="s">
        <v>387</v>
      </c>
      <c r="C6" s="1013" t="s">
        <v>388</v>
      </c>
      <c r="D6" s="1011"/>
      <c r="E6" s="1011"/>
      <c r="F6" s="1012"/>
      <c r="G6" s="996" t="s">
        <v>389</v>
      </c>
      <c r="H6" s="1015"/>
      <c r="I6" s="1014" t="s">
        <v>389</v>
      </c>
      <c r="J6" s="1011"/>
      <c r="K6" s="1011"/>
      <c r="L6" s="1012"/>
      <c r="M6" s="1010" t="s">
        <v>390</v>
      </c>
      <c r="N6" s="1011"/>
      <c r="O6" s="1011"/>
      <c r="P6" s="1012"/>
      <c r="Q6" s="459" t="s">
        <v>546</v>
      </c>
      <c r="R6" s="996" t="s">
        <v>390</v>
      </c>
      <c r="S6" s="1015"/>
      <c r="T6" s="1014" t="s">
        <v>389</v>
      </c>
      <c r="U6" s="1011"/>
      <c r="V6" s="1011"/>
      <c r="W6" s="1012"/>
      <c r="X6" s="1007" t="s">
        <v>390</v>
      </c>
      <c r="Y6" s="989"/>
      <c r="Z6" s="989"/>
      <c r="AA6" s="990"/>
      <c r="AB6" s="792" t="s">
        <v>546</v>
      </c>
      <c r="AC6" s="996" t="s">
        <v>390</v>
      </c>
      <c r="AD6" s="997"/>
      <c r="AE6" s="1001" t="s">
        <v>546</v>
      </c>
      <c r="AF6" s="1002"/>
      <c r="AG6" s="1002"/>
      <c r="AH6" s="1003"/>
    </row>
    <row r="7" spans="1:34" s="156" customFormat="1" ht="15.6" customHeight="1">
      <c r="A7" s="1022"/>
      <c r="B7" s="1023"/>
      <c r="C7" s="1026" t="s">
        <v>524</v>
      </c>
      <c r="D7" s="1028" t="s">
        <v>525</v>
      </c>
      <c r="E7" s="1029"/>
      <c r="F7" s="1020" t="s">
        <v>190</v>
      </c>
      <c r="G7" s="411"/>
      <c r="H7" s="412"/>
      <c r="I7" s="976" t="s">
        <v>524</v>
      </c>
      <c r="J7" s="1011"/>
      <c r="K7" s="1012"/>
      <c r="L7" s="1020" t="s">
        <v>190</v>
      </c>
      <c r="M7" s="976" t="s">
        <v>524</v>
      </c>
      <c r="N7" s="1011"/>
      <c r="O7" s="1012"/>
      <c r="P7" s="1020" t="s">
        <v>190</v>
      </c>
      <c r="Q7" s="251"/>
      <c r="R7" s="411"/>
      <c r="S7" s="412"/>
      <c r="T7" s="976" t="s">
        <v>524</v>
      </c>
      <c r="U7" s="1011"/>
      <c r="V7" s="1012"/>
      <c r="W7" s="1020" t="s">
        <v>190</v>
      </c>
      <c r="X7" s="987" t="s">
        <v>524</v>
      </c>
      <c r="Y7" s="989"/>
      <c r="Z7" s="990"/>
      <c r="AA7" s="1016" t="s">
        <v>190</v>
      </c>
      <c r="AB7" s="744"/>
      <c r="AC7" s="247"/>
      <c r="AD7" s="742"/>
      <c r="AE7" s="987" t="s">
        <v>524</v>
      </c>
      <c r="AF7" s="989"/>
      <c r="AG7" s="990"/>
      <c r="AH7" s="991" t="s">
        <v>190</v>
      </c>
    </row>
    <row r="8" spans="1:34" s="156" customFormat="1" ht="18.75" customHeight="1" thickBot="1">
      <c r="A8" s="1024"/>
      <c r="B8" s="1025"/>
      <c r="C8" s="1027"/>
      <c r="D8" s="742" t="s">
        <v>518</v>
      </c>
      <c r="E8" s="743" t="s">
        <v>517</v>
      </c>
      <c r="F8" s="1021"/>
      <c r="G8" s="411"/>
      <c r="H8" s="412"/>
      <c r="I8" s="1019"/>
      <c r="J8" s="742" t="s">
        <v>518</v>
      </c>
      <c r="K8" s="743" t="s">
        <v>517</v>
      </c>
      <c r="L8" s="1021"/>
      <c r="M8" s="1019"/>
      <c r="N8" s="742" t="s">
        <v>518</v>
      </c>
      <c r="O8" s="743" t="s">
        <v>517</v>
      </c>
      <c r="P8" s="1021"/>
      <c r="Q8" s="251"/>
      <c r="R8" s="411"/>
      <c r="S8" s="412"/>
      <c r="T8" s="1019"/>
      <c r="U8" s="742" t="s">
        <v>518</v>
      </c>
      <c r="V8" s="743" t="s">
        <v>517</v>
      </c>
      <c r="W8" s="1021"/>
      <c r="X8" s="988"/>
      <c r="Y8" s="739" t="s">
        <v>518</v>
      </c>
      <c r="Z8" s="744" t="s">
        <v>517</v>
      </c>
      <c r="AA8" s="1017"/>
      <c r="AB8" s="793"/>
      <c r="AC8" s="804"/>
      <c r="AD8" s="805"/>
      <c r="AE8" s="988"/>
      <c r="AF8" s="739" t="s">
        <v>518</v>
      </c>
      <c r="AG8" s="744" t="s">
        <v>517</v>
      </c>
      <c r="AH8" s="992"/>
    </row>
    <row r="9" spans="1:34" ht="18.75" customHeight="1" thickBot="1">
      <c r="A9" s="1034" t="s">
        <v>118</v>
      </c>
      <c r="B9" s="1035"/>
      <c r="C9" s="1035"/>
      <c r="D9" s="1035"/>
      <c r="E9" s="1036"/>
      <c r="F9" s="752">
        <f>SUM(D10:D17)</f>
        <v>41</v>
      </c>
      <c r="G9" s="753"/>
      <c r="H9" s="754">
        <v>0</v>
      </c>
      <c r="I9" s="755"/>
      <c r="J9" s="755"/>
      <c r="K9" s="756"/>
      <c r="L9" s="752">
        <f>SUM(J10:J17)</f>
        <v>161</v>
      </c>
      <c r="M9" s="757"/>
      <c r="N9" s="758"/>
      <c r="O9" s="759"/>
      <c r="P9" s="760">
        <v>251</v>
      </c>
      <c r="Q9" s="758">
        <v>156</v>
      </c>
      <c r="R9" s="753"/>
      <c r="S9" s="754">
        <v>168</v>
      </c>
      <c r="T9" s="755"/>
      <c r="U9" s="755"/>
      <c r="V9" s="756"/>
      <c r="W9" s="752">
        <f>SUM(U10:U17)</f>
        <v>329</v>
      </c>
      <c r="X9" s="761"/>
      <c r="Y9" s="762"/>
      <c r="Z9" s="762"/>
      <c r="AA9" s="763">
        <v>277</v>
      </c>
      <c r="AB9" s="794">
        <f>SUM(AA9/W9)*100</f>
        <v>84.19452887537993</v>
      </c>
      <c r="AC9" s="803"/>
      <c r="AD9" s="808">
        <v>22</v>
      </c>
      <c r="AE9" s="811"/>
      <c r="AF9" s="811"/>
      <c r="AG9" s="812"/>
      <c r="AH9" s="813">
        <f>W9+AD9</f>
        <v>351</v>
      </c>
    </row>
    <row r="10" spans="1:34" ht="18.75" customHeight="1">
      <c r="A10" s="745"/>
      <c r="B10" s="746" t="s">
        <v>436</v>
      </c>
      <c r="C10" s="747"/>
      <c r="D10" s="746">
        <v>1</v>
      </c>
      <c r="E10" s="740"/>
      <c r="F10" s="748"/>
      <c r="G10" s="749">
        <v>0</v>
      </c>
      <c r="H10" s="740"/>
      <c r="I10" s="747"/>
      <c r="J10" s="316">
        <v>1</v>
      </c>
      <c r="K10" s="740"/>
      <c r="L10" s="748"/>
      <c r="M10" s="747"/>
      <c r="N10" s="747">
        <v>1</v>
      </c>
      <c r="O10" s="747"/>
      <c r="P10" s="750"/>
      <c r="Q10" s="747"/>
      <c r="R10" s="749">
        <v>0</v>
      </c>
      <c r="S10" s="740"/>
      <c r="T10" s="747"/>
      <c r="U10" s="316">
        <v>1</v>
      </c>
      <c r="V10" s="740"/>
      <c r="W10" s="748"/>
      <c r="X10" s="746"/>
      <c r="Y10" s="746">
        <v>1</v>
      </c>
      <c r="Z10" s="746"/>
      <c r="AA10" s="751"/>
      <c r="AB10" s="622"/>
      <c r="AC10" s="798"/>
      <c r="AD10" s="747"/>
      <c r="AE10" s="746"/>
      <c r="AF10" s="316">
        <v>1</v>
      </c>
      <c r="AG10" s="814"/>
      <c r="AH10" s="815"/>
    </row>
    <row r="11" spans="1:34" ht="18.75" customHeight="1">
      <c r="A11" s="715"/>
      <c r="B11" s="719" t="s">
        <v>479</v>
      </c>
      <c r="C11" s="579"/>
      <c r="D11" s="720">
        <v>1</v>
      </c>
      <c r="E11" s="413"/>
      <c r="F11" s="270"/>
      <c r="G11" s="717">
        <v>0</v>
      </c>
      <c r="H11" s="413"/>
      <c r="I11" s="579"/>
      <c r="J11" s="718">
        <v>1</v>
      </c>
      <c r="K11" s="413"/>
      <c r="L11" s="270"/>
      <c r="M11" s="579"/>
      <c r="N11" s="579">
        <v>1</v>
      </c>
      <c r="O11" s="579"/>
      <c r="P11" s="183"/>
      <c r="Q11" s="579"/>
      <c r="R11" s="717">
        <v>0</v>
      </c>
      <c r="S11" s="413"/>
      <c r="T11" s="579"/>
      <c r="U11" s="718">
        <v>1</v>
      </c>
      <c r="V11" s="413"/>
      <c r="W11" s="270"/>
      <c r="X11" s="716"/>
      <c r="Y11" s="716">
        <v>1</v>
      </c>
      <c r="Z11" s="716"/>
      <c r="AA11" s="273"/>
      <c r="AB11" s="795"/>
      <c r="AC11" s="797"/>
      <c r="AD11" s="799"/>
      <c r="AE11" s="716"/>
      <c r="AF11" s="718">
        <v>1</v>
      </c>
      <c r="AG11" s="816"/>
      <c r="AH11" s="817"/>
    </row>
    <row r="12" spans="1:34" ht="18.75" customHeight="1">
      <c r="A12" s="715"/>
      <c r="B12" s="716" t="s">
        <v>434</v>
      </c>
      <c r="C12" s="579"/>
      <c r="D12" s="716">
        <v>13</v>
      </c>
      <c r="E12" s="413"/>
      <c r="F12" s="270"/>
      <c r="G12" s="717">
        <v>0</v>
      </c>
      <c r="H12" s="413"/>
      <c r="I12" s="579"/>
      <c r="J12" s="718">
        <v>13</v>
      </c>
      <c r="K12" s="413"/>
      <c r="L12" s="270"/>
      <c r="M12" s="579"/>
      <c r="N12" s="579">
        <v>13</v>
      </c>
      <c r="O12" s="579"/>
      <c r="P12" s="183"/>
      <c r="Q12" s="579"/>
      <c r="R12" s="717">
        <v>0</v>
      </c>
      <c r="S12" s="413"/>
      <c r="T12" s="579"/>
      <c r="U12" s="718">
        <v>13</v>
      </c>
      <c r="V12" s="413"/>
      <c r="W12" s="270"/>
      <c r="X12" s="716"/>
      <c r="Y12" s="716">
        <v>13</v>
      </c>
      <c r="Z12" s="716"/>
      <c r="AA12" s="273"/>
      <c r="AB12" s="795"/>
      <c r="AC12" s="800"/>
      <c r="AD12" s="579"/>
      <c r="AE12" s="716"/>
      <c r="AF12" s="718">
        <v>13</v>
      </c>
      <c r="AG12" s="816"/>
      <c r="AH12" s="817"/>
    </row>
    <row r="13" spans="1:34" ht="18.75" customHeight="1">
      <c r="A13" s="715"/>
      <c r="B13" s="716" t="s">
        <v>435</v>
      </c>
      <c r="C13" s="579"/>
      <c r="D13" s="716">
        <v>10</v>
      </c>
      <c r="E13" s="413"/>
      <c r="F13" s="270"/>
      <c r="G13" s="717">
        <v>0</v>
      </c>
      <c r="H13" s="413"/>
      <c r="I13" s="579"/>
      <c r="J13" s="718">
        <v>10</v>
      </c>
      <c r="K13" s="413"/>
      <c r="L13" s="270"/>
      <c r="M13" s="579"/>
      <c r="N13" s="579">
        <v>10</v>
      </c>
      <c r="O13" s="579"/>
      <c r="P13" s="183"/>
      <c r="Q13" s="579"/>
      <c r="R13" s="717">
        <v>0</v>
      </c>
      <c r="S13" s="413"/>
      <c r="T13" s="579"/>
      <c r="U13" s="718">
        <v>10</v>
      </c>
      <c r="V13" s="413"/>
      <c r="W13" s="270"/>
      <c r="X13" s="716"/>
      <c r="Y13" s="716">
        <v>10</v>
      </c>
      <c r="Z13" s="716"/>
      <c r="AA13" s="273"/>
      <c r="AB13" s="795"/>
      <c r="AC13" s="797"/>
      <c r="AD13" s="799"/>
      <c r="AE13" s="716"/>
      <c r="AF13" s="718">
        <v>10</v>
      </c>
      <c r="AG13" s="816"/>
      <c r="AH13" s="817"/>
    </row>
    <row r="14" spans="1:34" ht="18.75" customHeight="1">
      <c r="A14" s="715"/>
      <c r="B14" s="716" t="s">
        <v>521</v>
      </c>
      <c r="C14" s="579"/>
      <c r="D14" s="716">
        <v>1</v>
      </c>
      <c r="E14" s="413"/>
      <c r="F14" s="270"/>
      <c r="G14" s="717">
        <v>0</v>
      </c>
      <c r="H14" s="413"/>
      <c r="I14" s="579"/>
      <c r="J14" s="718">
        <v>1</v>
      </c>
      <c r="K14" s="413"/>
      <c r="L14" s="270"/>
      <c r="M14" s="579"/>
      <c r="N14" s="579">
        <v>1</v>
      </c>
      <c r="O14" s="579"/>
      <c r="P14" s="183"/>
      <c r="Q14" s="579"/>
      <c r="R14" s="717">
        <v>0</v>
      </c>
      <c r="S14" s="413"/>
      <c r="T14" s="579"/>
      <c r="U14" s="718">
        <v>1</v>
      </c>
      <c r="V14" s="413"/>
      <c r="W14" s="270"/>
      <c r="X14" s="716"/>
      <c r="Y14" s="716">
        <v>1</v>
      </c>
      <c r="Z14" s="716"/>
      <c r="AA14" s="273"/>
      <c r="AB14" s="795"/>
      <c r="AC14" s="800"/>
      <c r="AD14" s="579"/>
      <c r="AE14" s="716"/>
      <c r="AF14" s="718">
        <v>1</v>
      </c>
      <c r="AG14" s="816"/>
      <c r="AH14" s="817"/>
    </row>
    <row r="15" spans="1:34">
      <c r="A15" s="721"/>
      <c r="B15" s="719" t="s">
        <v>433</v>
      </c>
      <c r="C15" s="579"/>
      <c r="D15" s="720">
        <v>3</v>
      </c>
      <c r="E15" s="413"/>
      <c r="F15" s="270"/>
      <c r="G15" s="717">
        <v>0</v>
      </c>
      <c r="H15" s="413"/>
      <c r="I15" s="579"/>
      <c r="J15" s="718">
        <v>3</v>
      </c>
      <c r="K15" s="413"/>
      <c r="L15" s="270"/>
      <c r="M15" s="579"/>
      <c r="N15" s="579">
        <v>3</v>
      </c>
      <c r="O15" s="579"/>
      <c r="P15" s="183"/>
      <c r="Q15" s="579"/>
      <c r="R15" s="717">
        <v>0</v>
      </c>
      <c r="S15" s="413"/>
      <c r="T15" s="579"/>
      <c r="U15" s="718">
        <v>3</v>
      </c>
      <c r="V15" s="413"/>
      <c r="W15" s="270"/>
      <c r="X15" s="716"/>
      <c r="Y15" s="716">
        <v>3</v>
      </c>
      <c r="Z15" s="716"/>
      <c r="AA15" s="273"/>
      <c r="AB15" s="795"/>
      <c r="AC15" s="797"/>
      <c r="AD15" s="799"/>
      <c r="AE15" s="716"/>
      <c r="AF15" s="718">
        <v>3</v>
      </c>
      <c r="AG15" s="816"/>
      <c r="AH15" s="817"/>
    </row>
    <row r="16" spans="1:34">
      <c r="A16" s="721"/>
      <c r="B16" s="719" t="s">
        <v>478</v>
      </c>
      <c r="C16" s="579"/>
      <c r="D16" s="720">
        <v>12</v>
      </c>
      <c r="E16" s="413"/>
      <c r="F16" s="270"/>
      <c r="G16" s="717">
        <v>0</v>
      </c>
      <c r="H16" s="413"/>
      <c r="I16" s="579"/>
      <c r="J16" s="718">
        <v>0</v>
      </c>
      <c r="K16" s="413"/>
      <c r="L16" s="270"/>
      <c r="M16" s="579"/>
      <c r="N16" s="579">
        <v>6</v>
      </c>
      <c r="O16" s="579"/>
      <c r="P16" s="183"/>
      <c r="Q16" s="579"/>
      <c r="R16" s="717">
        <v>0</v>
      </c>
      <c r="S16" s="413"/>
      <c r="T16" s="579"/>
      <c r="U16" s="718">
        <v>0</v>
      </c>
      <c r="V16" s="413"/>
      <c r="W16" s="270"/>
      <c r="X16" s="716"/>
      <c r="Y16" s="716">
        <v>4</v>
      </c>
      <c r="Z16" s="716"/>
      <c r="AA16" s="273"/>
      <c r="AB16" s="795"/>
      <c r="AC16" s="800"/>
      <c r="AD16" s="579"/>
      <c r="AE16" s="716"/>
      <c r="AF16" s="718">
        <v>0</v>
      </c>
      <c r="AG16" s="816"/>
      <c r="AH16" s="817"/>
    </row>
    <row r="17" spans="1:34">
      <c r="A17" s="721"/>
      <c r="B17" s="719" t="s">
        <v>481</v>
      </c>
      <c r="C17" s="579"/>
      <c r="D17" s="720">
        <v>0</v>
      </c>
      <c r="E17" s="413"/>
      <c r="F17" s="270"/>
      <c r="G17" s="717">
        <v>0</v>
      </c>
      <c r="H17" s="413"/>
      <c r="I17" s="579"/>
      <c r="J17" s="718">
        <v>132</v>
      </c>
      <c r="K17" s="413"/>
      <c r="L17" s="270"/>
      <c r="M17" s="579"/>
      <c r="N17" s="579">
        <v>216</v>
      </c>
      <c r="O17" s="579"/>
      <c r="P17" s="183"/>
      <c r="Q17" s="579"/>
      <c r="R17" s="717">
        <v>168</v>
      </c>
      <c r="S17" s="413"/>
      <c r="T17" s="579"/>
      <c r="U17" s="718">
        <v>300</v>
      </c>
      <c r="V17" s="413"/>
      <c r="W17" s="270"/>
      <c r="X17" s="716"/>
      <c r="Y17" s="716">
        <v>244</v>
      </c>
      <c r="Z17" s="716"/>
      <c r="AA17" s="273"/>
      <c r="AB17" s="795"/>
      <c r="AC17" s="797">
        <v>22</v>
      </c>
      <c r="AD17" s="799"/>
      <c r="AE17" s="716"/>
      <c r="AF17" s="718">
        <v>322</v>
      </c>
      <c r="AG17" s="816"/>
      <c r="AH17" s="817"/>
    </row>
    <row r="18" spans="1:34" ht="16.5" thickBot="1">
      <c r="A18" s="764"/>
      <c r="B18" s="765"/>
      <c r="C18" s="766"/>
      <c r="D18" s="739"/>
      <c r="E18" s="739"/>
      <c r="F18" s="767"/>
      <c r="G18" s="768"/>
      <c r="H18" s="739"/>
      <c r="I18" s="766"/>
      <c r="J18" s="739"/>
      <c r="K18" s="739"/>
      <c r="L18" s="767"/>
      <c r="M18" s="769"/>
      <c r="N18" s="769"/>
      <c r="O18" s="769"/>
      <c r="P18" s="742"/>
      <c r="Q18" s="769"/>
      <c r="R18" s="768"/>
      <c r="S18" s="739"/>
      <c r="T18" s="766"/>
      <c r="U18" s="739"/>
      <c r="V18" s="739"/>
      <c r="W18" s="767"/>
      <c r="X18" s="770"/>
      <c r="Y18" s="770"/>
      <c r="Z18" s="770"/>
      <c r="AA18" s="771"/>
      <c r="AB18" s="733"/>
      <c r="AC18" s="801"/>
      <c r="AD18" s="802"/>
      <c r="AE18" s="818"/>
      <c r="AF18" s="810"/>
      <c r="AG18" s="810"/>
      <c r="AH18" s="819"/>
    </row>
    <row r="19" spans="1:34" ht="16.5" thickBot="1">
      <c r="A19" s="1032" t="s">
        <v>214</v>
      </c>
      <c r="B19" s="1033"/>
      <c r="C19" s="1033"/>
      <c r="D19" s="1033"/>
      <c r="E19" s="1033"/>
      <c r="F19" s="773">
        <f>SUM(C20+C21+C22+C23+D20+D21+D22+D23+E20+E21+E22+E23)</f>
        <v>65</v>
      </c>
      <c r="G19" s="774"/>
      <c r="H19" s="775">
        <v>0</v>
      </c>
      <c r="I19" s="776"/>
      <c r="J19" s="776"/>
      <c r="K19" s="776"/>
      <c r="L19" s="773">
        <f>SUM(I20+I21+I22+I23+J20+J21+J22+J23+K20+K21+K22+K23)</f>
        <v>65</v>
      </c>
      <c r="M19" s="758"/>
      <c r="N19" s="758"/>
      <c r="O19" s="758"/>
      <c r="P19" s="760">
        <v>59</v>
      </c>
      <c r="Q19" s="758">
        <v>91</v>
      </c>
      <c r="R19" s="774"/>
      <c r="S19" s="775">
        <v>6.5</v>
      </c>
      <c r="T19" s="776"/>
      <c r="U19" s="776"/>
      <c r="V19" s="776"/>
      <c r="W19" s="773">
        <f>SUM(T20+T21+T22+T23+U20+U21+U22+U23+V20+V21+V22+V23)</f>
        <v>71.5</v>
      </c>
      <c r="X19" s="777"/>
      <c r="Y19" s="777"/>
      <c r="Z19" s="777"/>
      <c r="AA19" s="763">
        <v>60</v>
      </c>
      <c r="AB19" s="794">
        <f>SUM(AA19/W19)*100</f>
        <v>83.91608391608392</v>
      </c>
      <c r="AC19" s="803"/>
      <c r="AD19" s="809">
        <v>0</v>
      </c>
      <c r="AE19" s="820"/>
      <c r="AF19" s="820"/>
      <c r="AG19" s="820"/>
      <c r="AH19" s="773">
        <f>SUM(AE20+AE21+AE22+AE23+AF20+AF21+AF22+AF23+AG20+AG21+AG22+AG23)</f>
        <v>71.5</v>
      </c>
    </row>
    <row r="20" spans="1:34">
      <c r="A20" s="746"/>
      <c r="B20" s="746" t="s">
        <v>437</v>
      </c>
      <c r="C20" s="746">
        <v>13</v>
      </c>
      <c r="D20" s="772">
        <v>35</v>
      </c>
      <c r="E20" s="772"/>
      <c r="F20" s="746"/>
      <c r="G20" s="772">
        <v>0</v>
      </c>
      <c r="H20" s="746"/>
      <c r="I20" s="746">
        <v>13</v>
      </c>
      <c r="J20" s="772">
        <v>35</v>
      </c>
      <c r="K20" s="772"/>
      <c r="L20" s="746"/>
      <c r="M20" s="747">
        <v>13</v>
      </c>
      <c r="N20" s="747">
        <v>32</v>
      </c>
      <c r="O20" s="747"/>
      <c r="P20" s="750"/>
      <c r="Q20" s="747"/>
      <c r="R20" s="772">
        <v>5.5</v>
      </c>
      <c r="S20" s="746"/>
      <c r="T20" s="746">
        <v>13</v>
      </c>
      <c r="U20" s="772">
        <v>40.5</v>
      </c>
      <c r="V20" s="772"/>
      <c r="W20" s="746"/>
      <c r="X20" s="746">
        <v>13</v>
      </c>
      <c r="Y20" s="746">
        <v>33</v>
      </c>
      <c r="Z20" s="746"/>
      <c r="AA20" s="751"/>
      <c r="AB20" s="622"/>
      <c r="AC20" s="798"/>
      <c r="AD20" s="747"/>
      <c r="AE20" s="746">
        <v>13</v>
      </c>
      <c r="AF20" s="746">
        <v>40.5</v>
      </c>
      <c r="AG20" s="746"/>
      <c r="AH20" s="746"/>
    </row>
    <row r="21" spans="1:34">
      <c r="A21" s="716"/>
      <c r="B21" s="716" t="s">
        <v>438</v>
      </c>
      <c r="C21" s="716">
        <v>1</v>
      </c>
      <c r="D21" s="414">
        <v>2</v>
      </c>
      <c r="E21" s="414"/>
      <c r="F21" s="716"/>
      <c r="G21" s="414">
        <v>0</v>
      </c>
      <c r="H21" s="716"/>
      <c r="I21" s="716">
        <v>1</v>
      </c>
      <c r="J21" s="414">
        <v>2</v>
      </c>
      <c r="K21" s="414"/>
      <c r="L21" s="716"/>
      <c r="M21" s="579">
        <v>1</v>
      </c>
      <c r="N21" s="579">
        <v>2</v>
      </c>
      <c r="O21" s="579"/>
      <c r="P21" s="183"/>
      <c r="Q21" s="579"/>
      <c r="R21" s="414">
        <v>1</v>
      </c>
      <c r="S21" s="716"/>
      <c r="T21" s="716">
        <v>1</v>
      </c>
      <c r="U21" s="414">
        <v>3</v>
      </c>
      <c r="V21" s="414"/>
      <c r="W21" s="716"/>
      <c r="X21" s="716">
        <v>1</v>
      </c>
      <c r="Y21" s="716">
        <v>2</v>
      </c>
      <c r="Z21" s="716"/>
      <c r="AA21" s="273"/>
      <c r="AB21" s="795"/>
      <c r="AC21" s="797"/>
      <c r="AD21" s="799"/>
      <c r="AE21" s="716">
        <v>1</v>
      </c>
      <c r="AF21" s="716">
        <v>3</v>
      </c>
      <c r="AG21" s="716"/>
      <c r="AH21" s="716"/>
    </row>
    <row r="22" spans="1:34">
      <c r="A22" s="716"/>
      <c r="B22" s="716" t="s">
        <v>439</v>
      </c>
      <c r="C22" s="716"/>
      <c r="D22" s="414">
        <v>9</v>
      </c>
      <c r="E22" s="414"/>
      <c r="F22" s="716"/>
      <c r="G22" s="414">
        <v>0</v>
      </c>
      <c r="H22" s="716"/>
      <c r="I22" s="716"/>
      <c r="J22" s="414">
        <v>9</v>
      </c>
      <c r="K22" s="414"/>
      <c r="L22" s="716"/>
      <c r="M22" s="579"/>
      <c r="N22" s="579">
        <v>9</v>
      </c>
      <c r="O22" s="579"/>
      <c r="P22" s="183"/>
      <c r="Q22" s="579"/>
      <c r="R22" s="414">
        <v>0</v>
      </c>
      <c r="S22" s="716"/>
      <c r="T22" s="716"/>
      <c r="U22" s="414">
        <v>9</v>
      </c>
      <c r="V22" s="414"/>
      <c r="W22" s="716"/>
      <c r="X22" s="716"/>
      <c r="Y22" s="716">
        <v>9</v>
      </c>
      <c r="Z22" s="716"/>
      <c r="AA22" s="273"/>
      <c r="AB22" s="795"/>
      <c r="AC22" s="800"/>
      <c r="AD22" s="579"/>
      <c r="AE22" s="716"/>
      <c r="AF22" s="716">
        <v>9</v>
      </c>
      <c r="AG22" s="716"/>
      <c r="AH22" s="716"/>
    </row>
    <row r="23" spans="1:34">
      <c r="A23" s="716"/>
      <c r="B23" s="716" t="s">
        <v>440</v>
      </c>
      <c r="C23" s="716"/>
      <c r="D23" s="414"/>
      <c r="E23" s="414">
        <v>5</v>
      </c>
      <c r="F23" s="716"/>
      <c r="G23" s="414">
        <v>0</v>
      </c>
      <c r="H23" s="716"/>
      <c r="I23" s="716"/>
      <c r="J23" s="414"/>
      <c r="K23" s="414">
        <v>5</v>
      </c>
      <c r="L23" s="716"/>
      <c r="M23" s="579"/>
      <c r="N23" s="579"/>
      <c r="O23" s="579">
        <v>2</v>
      </c>
      <c r="P23" s="183"/>
      <c r="Q23" s="579"/>
      <c r="R23" s="414">
        <v>0</v>
      </c>
      <c r="S23" s="716"/>
      <c r="T23" s="716"/>
      <c r="U23" s="414"/>
      <c r="V23" s="414">
        <v>5</v>
      </c>
      <c r="W23" s="716"/>
      <c r="X23" s="716"/>
      <c r="Y23" s="716"/>
      <c r="Z23" s="716">
        <v>2</v>
      </c>
      <c r="AA23" s="273"/>
      <c r="AB23" s="795"/>
      <c r="AC23" s="797"/>
      <c r="AD23" s="799"/>
      <c r="AE23" s="716"/>
      <c r="AF23" s="716"/>
      <c r="AG23" s="716">
        <v>5</v>
      </c>
      <c r="AH23" s="716"/>
    </row>
    <row r="24" spans="1:34" ht="16.5" thickBot="1">
      <c r="A24" s="770"/>
      <c r="B24" s="770"/>
      <c r="C24" s="770"/>
      <c r="D24" s="769"/>
      <c r="E24" s="769"/>
      <c r="F24" s="770"/>
      <c r="G24" s="778"/>
      <c r="H24" s="770"/>
      <c r="I24" s="770"/>
      <c r="J24" s="769"/>
      <c r="K24" s="769"/>
      <c r="L24" s="770"/>
      <c r="M24" s="769"/>
      <c r="N24" s="769"/>
      <c r="O24" s="769"/>
      <c r="P24" s="742"/>
      <c r="Q24" s="769"/>
      <c r="R24" s="778"/>
      <c r="S24" s="770"/>
      <c r="T24" s="770"/>
      <c r="U24" s="769"/>
      <c r="V24" s="769"/>
      <c r="W24" s="770"/>
      <c r="X24" s="770"/>
      <c r="Y24" s="770"/>
      <c r="Z24" s="770"/>
      <c r="AA24" s="771"/>
      <c r="AB24" s="733"/>
      <c r="AC24" s="801"/>
      <c r="AD24" s="802"/>
      <c r="AE24" s="770"/>
      <c r="AF24" s="770"/>
      <c r="AG24" s="770"/>
      <c r="AH24" s="770"/>
    </row>
    <row r="25" spans="1:34" ht="16.5" thickBot="1">
      <c r="A25" s="1032" t="s">
        <v>883</v>
      </c>
      <c r="B25" s="1033"/>
      <c r="C25" s="1033"/>
      <c r="D25" s="1033"/>
      <c r="E25" s="1033"/>
      <c r="F25" s="763">
        <f>SUM(D26:D28)</f>
        <v>26</v>
      </c>
      <c r="G25" s="780"/>
      <c r="H25" s="763">
        <v>0</v>
      </c>
      <c r="I25" s="776"/>
      <c r="J25" s="776"/>
      <c r="K25" s="776"/>
      <c r="L25" s="763">
        <f>SUM(J26:J28)</f>
        <v>26</v>
      </c>
      <c r="M25" s="758"/>
      <c r="N25" s="758"/>
      <c r="O25" s="758"/>
      <c r="P25" s="760">
        <v>26</v>
      </c>
      <c r="Q25" s="758">
        <v>100</v>
      </c>
      <c r="R25" s="780"/>
      <c r="S25" s="763">
        <v>-1</v>
      </c>
      <c r="T25" s="776"/>
      <c r="U25" s="776"/>
      <c r="V25" s="776"/>
      <c r="W25" s="763">
        <f>SUM(U26:U28)</f>
        <v>25</v>
      </c>
      <c r="X25" s="777"/>
      <c r="Y25" s="777"/>
      <c r="Z25" s="777"/>
      <c r="AA25" s="763">
        <v>28</v>
      </c>
      <c r="AB25" s="794">
        <f>SUM(AA25/W25)*100</f>
        <v>112.00000000000001</v>
      </c>
      <c r="AC25" s="803"/>
      <c r="AD25" s="809">
        <v>22</v>
      </c>
      <c r="AE25" s="820"/>
      <c r="AF25" s="820"/>
      <c r="AG25" s="820"/>
      <c r="AH25" s="821">
        <f>SUM(AF26:AF30)</f>
        <v>47</v>
      </c>
    </row>
    <row r="26" spans="1:34">
      <c r="A26" s="746"/>
      <c r="B26" s="779" t="s">
        <v>480</v>
      </c>
      <c r="C26" s="779"/>
      <c r="D26" s="772">
        <v>15</v>
      </c>
      <c r="E26" s="747"/>
      <c r="F26" s="746"/>
      <c r="G26" s="772">
        <v>0</v>
      </c>
      <c r="H26" s="746"/>
      <c r="I26" s="779"/>
      <c r="J26" s="578">
        <v>15</v>
      </c>
      <c r="K26" s="747"/>
      <c r="L26" s="746"/>
      <c r="M26" s="747"/>
      <c r="N26" s="747">
        <v>15</v>
      </c>
      <c r="O26" s="747"/>
      <c r="P26" s="750"/>
      <c r="Q26" s="747"/>
      <c r="R26" s="772">
        <v>-2</v>
      </c>
      <c r="S26" s="746"/>
      <c r="T26" s="779"/>
      <c r="U26" s="578">
        <v>13</v>
      </c>
      <c r="V26" s="747"/>
      <c r="W26" s="746"/>
      <c r="X26" s="746"/>
      <c r="Y26" s="746">
        <v>15</v>
      </c>
      <c r="Z26" s="746"/>
      <c r="AA26" s="751"/>
      <c r="AB26" s="622"/>
      <c r="AC26" s="798"/>
      <c r="AD26" s="747"/>
      <c r="AE26" s="779"/>
      <c r="AF26" s="316">
        <v>13</v>
      </c>
      <c r="AG26" s="746"/>
      <c r="AH26" s="746"/>
    </row>
    <row r="27" spans="1:34">
      <c r="A27" s="716"/>
      <c r="B27" s="722" t="s">
        <v>516</v>
      </c>
      <c r="C27" s="722"/>
      <c r="D27" s="414">
        <v>8</v>
      </c>
      <c r="E27" s="579"/>
      <c r="F27" s="716"/>
      <c r="G27" s="414">
        <v>0</v>
      </c>
      <c r="H27" s="716"/>
      <c r="I27" s="722"/>
      <c r="J27" s="723">
        <v>8</v>
      </c>
      <c r="K27" s="579"/>
      <c r="L27" s="716"/>
      <c r="M27" s="579"/>
      <c r="N27" s="579">
        <v>8</v>
      </c>
      <c r="O27" s="579"/>
      <c r="P27" s="183"/>
      <c r="Q27" s="579"/>
      <c r="R27" s="414">
        <v>1</v>
      </c>
      <c r="S27" s="716"/>
      <c r="T27" s="722"/>
      <c r="U27" s="723">
        <v>9</v>
      </c>
      <c r="V27" s="579"/>
      <c r="W27" s="716"/>
      <c r="X27" s="716"/>
      <c r="Y27" s="716">
        <v>8</v>
      </c>
      <c r="Z27" s="716"/>
      <c r="AA27" s="273"/>
      <c r="AB27" s="795"/>
      <c r="AC27" s="797"/>
      <c r="AD27" s="799"/>
      <c r="AE27" s="722"/>
      <c r="AF27" s="718">
        <v>9</v>
      </c>
      <c r="AG27" s="716"/>
      <c r="AH27" s="716"/>
    </row>
    <row r="28" spans="1:34">
      <c r="A28" s="716"/>
      <c r="B28" s="722" t="s">
        <v>441</v>
      </c>
      <c r="C28" s="722"/>
      <c r="D28" s="414">
        <v>3</v>
      </c>
      <c r="E28" s="579"/>
      <c r="F28" s="716"/>
      <c r="G28" s="414">
        <v>0</v>
      </c>
      <c r="H28" s="716"/>
      <c r="I28" s="722"/>
      <c r="J28" s="723">
        <v>3</v>
      </c>
      <c r="K28" s="579"/>
      <c r="L28" s="716"/>
      <c r="M28" s="579"/>
      <c r="N28" s="579">
        <v>3</v>
      </c>
      <c r="O28" s="579"/>
      <c r="P28" s="183"/>
      <c r="Q28" s="579"/>
      <c r="R28" s="414">
        <v>0</v>
      </c>
      <c r="S28" s="716"/>
      <c r="T28" s="722"/>
      <c r="U28" s="723">
        <v>3</v>
      </c>
      <c r="V28" s="579"/>
      <c r="W28" s="716"/>
      <c r="X28" s="716"/>
      <c r="Y28" s="716">
        <v>3</v>
      </c>
      <c r="Z28" s="716"/>
      <c r="AA28" s="273"/>
      <c r="AB28" s="795"/>
      <c r="AC28" s="800">
        <v>-2</v>
      </c>
      <c r="AD28" s="579"/>
      <c r="AE28" s="722"/>
      <c r="AF28" s="718">
        <v>1</v>
      </c>
      <c r="AG28" s="716"/>
      <c r="AH28" s="716"/>
    </row>
    <row r="29" spans="1:34">
      <c r="A29" s="716"/>
      <c r="B29" s="722" t="s">
        <v>830</v>
      </c>
      <c r="C29" s="722"/>
      <c r="D29" s="579"/>
      <c r="E29" s="579"/>
      <c r="F29" s="716"/>
      <c r="G29" s="414"/>
      <c r="H29" s="716"/>
      <c r="I29" s="722"/>
      <c r="J29" s="579"/>
      <c r="K29" s="579"/>
      <c r="L29" s="716"/>
      <c r="M29" s="579"/>
      <c r="N29" s="579"/>
      <c r="O29" s="579"/>
      <c r="P29" s="183"/>
      <c r="Q29" s="579"/>
      <c r="R29" s="414"/>
      <c r="S29" s="716"/>
      <c r="T29" s="722"/>
      <c r="U29" s="579"/>
      <c r="V29" s="579"/>
      <c r="W29" s="716"/>
      <c r="X29" s="716"/>
      <c r="Y29" s="716">
        <v>2</v>
      </c>
      <c r="Z29" s="716"/>
      <c r="AA29" s="273"/>
      <c r="AB29" s="795"/>
      <c r="AC29" s="797">
        <v>16</v>
      </c>
      <c r="AD29" s="799"/>
      <c r="AE29" s="722"/>
      <c r="AF29" s="716">
        <v>16</v>
      </c>
      <c r="AG29" s="716"/>
      <c r="AH29" s="716"/>
    </row>
    <row r="30" spans="1:34">
      <c r="A30" s="716"/>
      <c r="B30" s="722" t="s">
        <v>831</v>
      </c>
      <c r="C30" s="722"/>
      <c r="D30" s="579"/>
      <c r="E30" s="579"/>
      <c r="F30" s="716"/>
      <c r="G30" s="414"/>
      <c r="H30" s="716"/>
      <c r="I30" s="722"/>
      <c r="J30" s="579"/>
      <c r="K30" s="579"/>
      <c r="L30" s="716"/>
      <c r="M30" s="579"/>
      <c r="N30" s="579"/>
      <c r="O30" s="579"/>
      <c r="P30" s="183"/>
      <c r="Q30" s="579"/>
      <c r="R30" s="414"/>
      <c r="S30" s="716"/>
      <c r="T30" s="722"/>
      <c r="U30" s="579"/>
      <c r="V30" s="579"/>
      <c r="W30" s="716"/>
      <c r="X30" s="716"/>
      <c r="Y30" s="716">
        <v>0</v>
      </c>
      <c r="Z30" s="716"/>
      <c r="AA30" s="273"/>
      <c r="AB30" s="795"/>
      <c r="AC30" s="800">
        <v>8</v>
      </c>
      <c r="AD30" s="579"/>
      <c r="AE30" s="722"/>
      <c r="AF30" s="716">
        <v>8</v>
      </c>
      <c r="AG30" s="716"/>
      <c r="AH30" s="716"/>
    </row>
    <row r="31" spans="1:34" ht="16.5" thickBot="1">
      <c r="A31" s="770"/>
      <c r="B31" s="781"/>
      <c r="C31" s="781"/>
      <c r="D31" s="769"/>
      <c r="E31" s="769"/>
      <c r="F31" s="770"/>
      <c r="G31" s="778"/>
      <c r="H31" s="770"/>
      <c r="I31" s="781"/>
      <c r="J31" s="769"/>
      <c r="K31" s="769"/>
      <c r="L31" s="770"/>
      <c r="M31" s="769"/>
      <c r="N31" s="769"/>
      <c r="O31" s="769"/>
      <c r="P31" s="742"/>
      <c r="Q31" s="769"/>
      <c r="R31" s="778"/>
      <c r="S31" s="770"/>
      <c r="T31" s="781"/>
      <c r="U31" s="769"/>
      <c r="V31" s="769"/>
      <c r="W31" s="770"/>
      <c r="X31" s="770"/>
      <c r="Y31" s="770"/>
      <c r="Z31" s="770"/>
      <c r="AA31" s="771"/>
      <c r="AB31" s="733"/>
      <c r="AC31" s="801"/>
      <c r="AD31" s="802"/>
      <c r="AE31" s="781"/>
      <c r="AF31" s="770"/>
      <c r="AG31" s="770"/>
      <c r="AH31" s="770"/>
    </row>
    <row r="32" spans="1:34" ht="16.5" thickBot="1">
      <c r="A32" s="1032" t="s">
        <v>473</v>
      </c>
      <c r="B32" s="1033"/>
      <c r="C32" s="1033"/>
      <c r="D32" s="1033"/>
      <c r="E32" s="1033"/>
      <c r="F32" s="763">
        <f>SUM(C33+C34+C35+D33+D34+D35+E33+E34+E35)</f>
        <v>17.5</v>
      </c>
      <c r="G32" s="780"/>
      <c r="H32" s="763">
        <v>0</v>
      </c>
      <c r="I32" s="776"/>
      <c r="J32" s="776"/>
      <c r="K32" s="776"/>
      <c r="L32" s="763">
        <f>SUM(I33+I34+I35+J33+J34+J35+K33+K34+K35)+K36</f>
        <v>18.5</v>
      </c>
      <c r="M32" s="758"/>
      <c r="N32" s="758"/>
      <c r="O32" s="758"/>
      <c r="P32" s="760">
        <v>17</v>
      </c>
      <c r="Q32" s="758">
        <v>92</v>
      </c>
      <c r="R32" s="780"/>
      <c r="S32" s="763">
        <v>1.5</v>
      </c>
      <c r="T32" s="776"/>
      <c r="U32" s="776"/>
      <c r="V32" s="776"/>
      <c r="W32" s="763">
        <f>SUM(T33+T34+T35+U33+U34+U35+V33+V34+V35)+V36</f>
        <v>20</v>
      </c>
      <c r="X32" s="777"/>
      <c r="Y32" s="777"/>
      <c r="Z32" s="777"/>
      <c r="AA32" s="763">
        <v>19</v>
      </c>
      <c r="AB32" s="794">
        <f>SUM(AA32/W32)*100</f>
        <v>95</v>
      </c>
      <c r="AC32" s="803"/>
      <c r="AD32" s="809">
        <v>0</v>
      </c>
      <c r="AE32" s="820"/>
      <c r="AF32" s="820"/>
      <c r="AG32" s="820"/>
      <c r="AH32" s="773">
        <f>SUM(AE33+AE34+AE35+AF33+AF34+AF35+AG33+AG34+AG35)+AG36</f>
        <v>20</v>
      </c>
    </row>
    <row r="33" spans="1:34">
      <c r="A33" s="746"/>
      <c r="B33" s="779" t="s">
        <v>522</v>
      </c>
      <c r="C33" s="779"/>
      <c r="D33" s="772">
        <v>0</v>
      </c>
      <c r="E33" s="772">
        <v>6</v>
      </c>
      <c r="F33" s="746"/>
      <c r="G33" s="772">
        <v>0</v>
      </c>
      <c r="H33" s="746"/>
      <c r="I33" s="779"/>
      <c r="J33" s="772">
        <v>0</v>
      </c>
      <c r="K33" s="772">
        <v>6</v>
      </c>
      <c r="L33" s="746"/>
      <c r="M33" s="747"/>
      <c r="N33" s="747"/>
      <c r="O33" s="747">
        <v>6</v>
      </c>
      <c r="P33" s="750"/>
      <c r="Q33" s="747"/>
      <c r="R33" s="772">
        <v>1</v>
      </c>
      <c r="S33" s="746"/>
      <c r="T33" s="779"/>
      <c r="U33" s="772">
        <v>0</v>
      </c>
      <c r="V33" s="772">
        <v>7</v>
      </c>
      <c r="W33" s="746"/>
      <c r="X33" s="746"/>
      <c r="Y33" s="746"/>
      <c r="Z33" s="746">
        <v>6</v>
      </c>
      <c r="AA33" s="751"/>
      <c r="AB33" s="622"/>
      <c r="AC33" s="797"/>
      <c r="AD33" s="799"/>
      <c r="AE33" s="779"/>
      <c r="AF33" s="746">
        <v>0</v>
      </c>
      <c r="AG33" s="746">
        <v>7</v>
      </c>
      <c r="AH33" s="746"/>
    </row>
    <row r="34" spans="1:34">
      <c r="A34" s="716"/>
      <c r="B34" s="722" t="s">
        <v>523</v>
      </c>
      <c r="C34" s="722"/>
      <c r="D34" s="414">
        <v>7</v>
      </c>
      <c r="E34" s="414">
        <v>0</v>
      </c>
      <c r="F34" s="716"/>
      <c r="G34" s="414">
        <v>0</v>
      </c>
      <c r="H34" s="716"/>
      <c r="I34" s="722"/>
      <c r="J34" s="414">
        <v>7</v>
      </c>
      <c r="K34" s="414">
        <v>0</v>
      </c>
      <c r="L34" s="716"/>
      <c r="M34" s="579"/>
      <c r="N34" s="579">
        <v>7</v>
      </c>
      <c r="O34" s="579"/>
      <c r="P34" s="183"/>
      <c r="Q34" s="579"/>
      <c r="R34" s="414">
        <v>0</v>
      </c>
      <c r="S34" s="716"/>
      <c r="T34" s="722"/>
      <c r="U34" s="414">
        <v>7</v>
      </c>
      <c r="V34" s="414">
        <v>0</v>
      </c>
      <c r="W34" s="716"/>
      <c r="X34" s="716"/>
      <c r="Y34" s="716">
        <v>7</v>
      </c>
      <c r="Z34" s="716"/>
      <c r="AA34" s="273"/>
      <c r="AB34" s="795"/>
      <c r="AC34" s="800"/>
      <c r="AD34" s="579"/>
      <c r="AE34" s="722"/>
      <c r="AF34" s="716">
        <v>7</v>
      </c>
      <c r="AG34" s="716">
        <v>0</v>
      </c>
      <c r="AH34" s="716"/>
    </row>
    <row r="35" spans="1:34">
      <c r="A35" s="716"/>
      <c r="B35" s="722" t="s">
        <v>441</v>
      </c>
      <c r="C35" s="722"/>
      <c r="D35" s="414">
        <v>1</v>
      </c>
      <c r="E35" s="414">
        <v>3.5</v>
      </c>
      <c r="F35" s="716"/>
      <c r="G35" s="414">
        <v>0</v>
      </c>
      <c r="H35" s="716"/>
      <c r="I35" s="722"/>
      <c r="J35" s="414">
        <v>1</v>
      </c>
      <c r="K35" s="414">
        <v>3.5</v>
      </c>
      <c r="L35" s="716"/>
      <c r="M35" s="579"/>
      <c r="N35" s="579">
        <v>1</v>
      </c>
      <c r="O35" s="579">
        <v>2</v>
      </c>
      <c r="P35" s="183"/>
      <c r="Q35" s="579"/>
      <c r="R35" s="414">
        <v>0.5</v>
      </c>
      <c r="S35" s="716"/>
      <c r="T35" s="722"/>
      <c r="U35" s="414">
        <v>1</v>
      </c>
      <c r="V35" s="414">
        <v>4</v>
      </c>
      <c r="W35" s="716"/>
      <c r="X35" s="716"/>
      <c r="Y35" s="716">
        <v>1</v>
      </c>
      <c r="Z35" s="716">
        <v>2</v>
      </c>
      <c r="AA35" s="273"/>
      <c r="AB35" s="795"/>
      <c r="AC35" s="797"/>
      <c r="AD35" s="799"/>
      <c r="AE35" s="722"/>
      <c r="AF35" s="716">
        <v>1</v>
      </c>
      <c r="AG35" s="716">
        <v>4</v>
      </c>
      <c r="AH35" s="716"/>
    </row>
    <row r="36" spans="1:34" ht="16.5" thickBot="1">
      <c r="A36" s="770"/>
      <c r="B36" s="765" t="s">
        <v>481</v>
      </c>
      <c r="C36" s="770"/>
      <c r="D36" s="769"/>
      <c r="E36" s="769"/>
      <c r="F36" s="770"/>
      <c r="G36" s="778"/>
      <c r="H36" s="770"/>
      <c r="I36" s="770"/>
      <c r="J36" s="769"/>
      <c r="K36" s="769">
        <v>1</v>
      </c>
      <c r="L36" s="770"/>
      <c r="M36" s="769"/>
      <c r="N36" s="769"/>
      <c r="O36" s="769">
        <v>1</v>
      </c>
      <c r="P36" s="742"/>
      <c r="Q36" s="769"/>
      <c r="R36" s="778"/>
      <c r="S36" s="770"/>
      <c r="T36" s="770"/>
      <c r="U36" s="769"/>
      <c r="V36" s="769">
        <v>1</v>
      </c>
      <c r="W36" s="770"/>
      <c r="X36" s="770"/>
      <c r="Y36" s="770"/>
      <c r="Z36" s="770">
        <v>3</v>
      </c>
      <c r="AA36" s="771"/>
      <c r="AB36" s="733"/>
      <c r="AC36" s="801"/>
      <c r="AD36" s="802"/>
      <c r="AE36" s="770"/>
      <c r="AF36" s="770"/>
      <c r="AG36" s="770">
        <v>1</v>
      </c>
      <c r="AH36" s="770"/>
    </row>
    <row r="37" spans="1:34" ht="16.5" thickBot="1">
      <c r="A37" s="1030" t="s">
        <v>442</v>
      </c>
      <c r="B37" s="1031"/>
      <c r="C37" s="773">
        <f>SUM(C10:C35)</f>
        <v>14</v>
      </c>
      <c r="D37" s="773">
        <f>SUM(D10:D35)</f>
        <v>121</v>
      </c>
      <c r="E37" s="773">
        <f>SUM(E10:E35)</f>
        <v>14.5</v>
      </c>
      <c r="F37" s="773">
        <f>SUM(F8:F36)</f>
        <v>149.5</v>
      </c>
      <c r="G37" s="773">
        <f>SUM(G10:G36)</f>
        <v>0</v>
      </c>
      <c r="H37" s="773">
        <f>SUM(H9:H36)</f>
        <v>0</v>
      </c>
      <c r="I37" s="773">
        <f>SUM(I10:I35)</f>
        <v>14</v>
      </c>
      <c r="J37" s="773">
        <f>SUM(J10:J35)</f>
        <v>241</v>
      </c>
      <c r="K37" s="773">
        <f>SUM(K10:K36)</f>
        <v>15.5</v>
      </c>
      <c r="L37" s="773">
        <f>SUM(L8:L36)</f>
        <v>270.5</v>
      </c>
      <c r="M37" s="760">
        <f>SUM(M9:M36)</f>
        <v>14</v>
      </c>
      <c r="N37" s="760">
        <f>SUM(N9:N36)</f>
        <v>328</v>
      </c>
      <c r="O37" s="760">
        <f>SUM(O9:O36)</f>
        <v>11</v>
      </c>
      <c r="P37" s="760">
        <f>SUM(P9:P36)</f>
        <v>353</v>
      </c>
      <c r="Q37" s="782">
        <v>130</v>
      </c>
      <c r="R37" s="773">
        <f>SUM(R10:R36)</f>
        <v>175</v>
      </c>
      <c r="S37" s="773"/>
      <c r="T37" s="773">
        <f>SUM(T10:T35)</f>
        <v>14</v>
      </c>
      <c r="U37" s="773">
        <f>SUM(U10:U35)</f>
        <v>414.5</v>
      </c>
      <c r="V37" s="773">
        <f>SUM(V10:V36)</f>
        <v>17</v>
      </c>
      <c r="W37" s="773">
        <f>SUM(W8:W36)</f>
        <v>445.5</v>
      </c>
      <c r="X37" s="763">
        <f>SUM(X10:X36)</f>
        <v>14</v>
      </c>
      <c r="Y37" s="763">
        <f>SUM(Y10:Y36)</f>
        <v>357</v>
      </c>
      <c r="Z37" s="763">
        <f>SUM(Z10:Z36)</f>
        <v>13</v>
      </c>
      <c r="AA37" s="763">
        <f>SUM(AA9:AA36)</f>
        <v>384</v>
      </c>
      <c r="AB37" s="796">
        <f>SUM(AA37/W37)*100</f>
        <v>86.195286195286187</v>
      </c>
      <c r="AC37" s="803"/>
      <c r="AD37" s="809">
        <f>SUM(AD9:AD36)</f>
        <v>44</v>
      </c>
      <c r="AE37" s="773">
        <f>SUM(AE10:AE35)</f>
        <v>14</v>
      </c>
      <c r="AF37" s="773">
        <f>SUM(AF10:AF35)</f>
        <v>458.5</v>
      </c>
      <c r="AG37" s="773">
        <f>SUM(AG10:AG36)</f>
        <v>17</v>
      </c>
      <c r="AH37" s="773">
        <f>SUM(AH8:AH36)</f>
        <v>489.5</v>
      </c>
    </row>
    <row r="38" spans="1:34">
      <c r="A38" s="181"/>
      <c r="B38" s="181"/>
      <c r="C38" s="181"/>
    </row>
    <row r="39" spans="1:34">
      <c r="B39" s="859" t="s">
        <v>3</v>
      </c>
    </row>
  </sheetData>
  <mergeCells count="46">
    <mergeCell ref="A37:B37"/>
    <mergeCell ref="A19:E19"/>
    <mergeCell ref="A9:E9"/>
    <mergeCell ref="A25:E25"/>
    <mergeCell ref="A32:E32"/>
    <mergeCell ref="A4:F4"/>
    <mergeCell ref="A5:B5"/>
    <mergeCell ref="C5:F5"/>
    <mergeCell ref="N7:O7"/>
    <mergeCell ref="P7:P8"/>
    <mergeCell ref="A7:B8"/>
    <mergeCell ref="F7:F8"/>
    <mergeCell ref="C7:C8"/>
    <mergeCell ref="D7:E7"/>
    <mergeCell ref="I7:I8"/>
    <mergeCell ref="J7:K7"/>
    <mergeCell ref="L7:L8"/>
    <mergeCell ref="M7:M8"/>
    <mergeCell ref="X7:X8"/>
    <mergeCell ref="Y7:Z7"/>
    <mergeCell ref="AA7:AA8"/>
    <mergeCell ref="R5:S5"/>
    <mergeCell ref="R6:S6"/>
    <mergeCell ref="T5:W5"/>
    <mergeCell ref="T6:W6"/>
    <mergeCell ref="T7:T8"/>
    <mergeCell ref="U7:V7"/>
    <mergeCell ref="W7:W8"/>
    <mergeCell ref="X6:AA6"/>
    <mergeCell ref="M5:P5"/>
    <mergeCell ref="M6:P6"/>
    <mergeCell ref="C6:F6"/>
    <mergeCell ref="I5:L5"/>
    <mergeCell ref="I6:L6"/>
    <mergeCell ref="G6:H6"/>
    <mergeCell ref="G5:H5"/>
    <mergeCell ref="AE7:AE8"/>
    <mergeCell ref="AF7:AG7"/>
    <mergeCell ref="AH7:AH8"/>
    <mergeCell ref="A1:AH2"/>
    <mergeCell ref="A3:AH3"/>
    <mergeCell ref="AC5:AD5"/>
    <mergeCell ref="AC6:AD6"/>
    <mergeCell ref="AE5:AH5"/>
    <mergeCell ref="AE6:AH6"/>
    <mergeCell ref="X5:AA5"/>
  </mergeCells>
  <phoneticPr fontId="4" type="noConversion"/>
  <pageMargins left="0.67" right="0.75" top="1" bottom="1" header="0.5" footer="0.5"/>
  <pageSetup paperSize="9" scale="5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3"/>
  <dimension ref="A1:N24"/>
  <sheetViews>
    <sheetView zoomScaleNormal="100" workbookViewId="0">
      <pane xSplit="1" ySplit="1" topLeftCell="B2" activePane="bottomRight" state="frozen"/>
      <selection activeCell="F1" sqref="F1"/>
      <selection pane="topRight" activeCell="F1" sqref="F1"/>
      <selection pane="bottomLeft" activeCell="F1" sqref="F1"/>
      <selection pane="bottomRight" activeCell="K26" sqref="K26"/>
    </sheetView>
  </sheetViews>
  <sheetFormatPr defaultRowHeight="12.75"/>
  <cols>
    <col min="1" max="1" width="21.28515625" style="180" customWidth="1"/>
    <col min="2" max="5" width="9.140625" style="180"/>
    <col min="6" max="6" width="9.140625" style="879"/>
    <col min="7" max="9" width="9.140625" style="180"/>
    <col min="10" max="10" width="10.42578125" style="180" customWidth="1"/>
    <col min="11" max="11" width="9.140625" style="180"/>
    <col min="12" max="12" width="11.140625" style="180" bestFit="1" customWidth="1"/>
    <col min="13" max="13" width="9.7109375" style="180" bestFit="1" customWidth="1"/>
    <col min="14" max="14" width="11.7109375" style="156" customWidth="1"/>
    <col min="15" max="16384" width="9.140625" style="180"/>
  </cols>
  <sheetData>
    <row r="1" spans="1:14">
      <c r="H1" s="1042" t="s">
        <v>10</v>
      </c>
      <c r="I1" s="1042"/>
      <c r="J1" s="1042"/>
      <c r="K1" s="1042"/>
      <c r="L1" s="1042"/>
      <c r="M1" s="1042"/>
      <c r="N1" s="1042"/>
    </row>
    <row r="3" spans="1:14">
      <c r="A3" s="1041" t="s">
        <v>11</v>
      </c>
      <c r="B3" s="1041"/>
      <c r="C3" s="1041"/>
      <c r="D3" s="1041"/>
      <c r="E3" s="1041"/>
      <c r="F3" s="1041"/>
      <c r="G3" s="1041"/>
      <c r="H3" s="1041"/>
      <c r="I3" s="1041"/>
      <c r="J3" s="1041"/>
      <c r="K3" s="1041"/>
      <c r="L3" s="1041"/>
      <c r="M3" s="1041"/>
      <c r="N3" s="1041"/>
    </row>
    <row r="4" spans="1:14">
      <c r="L4" s="965" t="s">
        <v>103</v>
      </c>
      <c r="M4" s="965"/>
      <c r="N4" s="965"/>
    </row>
    <row r="5" spans="1:14">
      <c r="A5" s="880" t="s">
        <v>258</v>
      </c>
      <c r="B5" s="880" t="s">
        <v>12</v>
      </c>
      <c r="C5" s="880" t="s">
        <v>13</v>
      </c>
      <c r="D5" s="880" t="s">
        <v>14</v>
      </c>
      <c r="E5" s="880" t="s">
        <v>15</v>
      </c>
      <c r="F5" s="881" t="s">
        <v>16</v>
      </c>
      <c r="G5" s="880" t="s">
        <v>17</v>
      </c>
      <c r="H5" s="880" t="s">
        <v>18</v>
      </c>
      <c r="I5" s="880" t="s">
        <v>19</v>
      </c>
      <c r="J5" s="880" t="s">
        <v>20</v>
      </c>
      <c r="K5" s="880" t="s">
        <v>21</v>
      </c>
      <c r="L5" s="880" t="s">
        <v>22</v>
      </c>
      <c r="M5" s="880" t="s">
        <v>23</v>
      </c>
      <c r="N5" s="858" t="s">
        <v>342</v>
      </c>
    </row>
    <row r="6" spans="1:14">
      <c r="A6" s="882" t="s">
        <v>24</v>
      </c>
      <c r="C6" s="579"/>
      <c r="D6" s="579"/>
      <c r="E6" s="579"/>
      <c r="F6" s="883"/>
      <c r="G6" s="579"/>
      <c r="H6" s="579"/>
      <c r="I6" s="579"/>
      <c r="J6" s="579"/>
      <c r="K6" s="579"/>
      <c r="L6" s="579"/>
      <c r="M6" s="579"/>
      <c r="N6" s="183"/>
    </row>
    <row r="7" spans="1:14">
      <c r="A7" s="579" t="s">
        <v>25</v>
      </c>
      <c r="B7" s="883">
        <v>23571</v>
      </c>
      <c r="C7" s="883">
        <v>23571</v>
      </c>
      <c r="D7" s="883">
        <v>229071</v>
      </c>
      <c r="E7" s="883">
        <v>23571</v>
      </c>
      <c r="F7" s="883">
        <v>141071</v>
      </c>
      <c r="G7" s="883">
        <v>23571</v>
      </c>
      <c r="H7" s="883">
        <v>23571</v>
      </c>
      <c r="I7" s="883">
        <v>23571</v>
      </c>
      <c r="J7" s="883">
        <v>232171</v>
      </c>
      <c r="K7" s="883">
        <v>23571</v>
      </c>
      <c r="L7" s="883">
        <v>23571</v>
      </c>
      <c r="M7" s="883">
        <v>141071</v>
      </c>
      <c r="N7" s="184">
        <f>SUM(B7:M7)</f>
        <v>931952</v>
      </c>
    </row>
    <row r="8" spans="1:14">
      <c r="A8" s="579" t="s">
        <v>26</v>
      </c>
      <c r="B8" s="883">
        <v>926</v>
      </c>
      <c r="C8" s="883">
        <v>927</v>
      </c>
      <c r="D8" s="883">
        <v>926</v>
      </c>
      <c r="E8" s="883">
        <v>927</v>
      </c>
      <c r="F8" s="883">
        <v>926</v>
      </c>
      <c r="G8" s="883">
        <v>927</v>
      </c>
      <c r="H8" s="883">
        <v>926</v>
      </c>
      <c r="I8" s="883">
        <v>927</v>
      </c>
      <c r="J8" s="883">
        <v>926</v>
      </c>
      <c r="K8" s="883">
        <v>927</v>
      </c>
      <c r="L8" s="883">
        <v>926</v>
      </c>
      <c r="M8" s="883">
        <v>927</v>
      </c>
      <c r="N8" s="184">
        <f>SUM(B8:M8)</f>
        <v>11118</v>
      </c>
    </row>
    <row r="9" spans="1:14">
      <c r="A9" s="579" t="s">
        <v>27</v>
      </c>
      <c r="B9" s="883">
        <v>26255</v>
      </c>
      <c r="C9" s="883">
        <v>26256</v>
      </c>
      <c r="D9" s="883">
        <v>26255</v>
      </c>
      <c r="E9" s="883">
        <v>26255</v>
      </c>
      <c r="F9" s="883">
        <v>26256</v>
      </c>
      <c r="G9" s="883">
        <v>26256</v>
      </c>
      <c r="H9" s="883">
        <v>26255</v>
      </c>
      <c r="I9" s="883">
        <v>26255</v>
      </c>
      <c r="J9" s="883">
        <v>26256</v>
      </c>
      <c r="K9" s="883">
        <v>26256</v>
      </c>
      <c r="L9" s="883">
        <v>26256</v>
      </c>
      <c r="M9" s="883">
        <v>26256</v>
      </c>
      <c r="N9" s="184">
        <f>SUM(B9:M9)</f>
        <v>315067</v>
      </c>
    </row>
    <row r="10" spans="1:14">
      <c r="A10" s="579" t="s">
        <v>28</v>
      </c>
      <c r="B10" s="883">
        <v>0</v>
      </c>
      <c r="C10" s="883">
        <v>0</v>
      </c>
      <c r="D10" s="883">
        <v>0</v>
      </c>
      <c r="E10" s="883">
        <v>0</v>
      </c>
      <c r="F10" s="883">
        <v>0</v>
      </c>
      <c r="G10" s="883">
        <v>0</v>
      </c>
      <c r="H10" s="883">
        <v>0</v>
      </c>
      <c r="I10" s="883">
        <v>0</v>
      </c>
      <c r="J10" s="883">
        <v>0</v>
      </c>
      <c r="K10" s="883">
        <v>0</v>
      </c>
      <c r="L10" s="883">
        <v>0</v>
      </c>
      <c r="M10" s="883">
        <v>0</v>
      </c>
      <c r="N10" s="184">
        <f>SUM(B10:M10)</f>
        <v>0</v>
      </c>
    </row>
    <row r="11" spans="1:14">
      <c r="A11" s="579" t="s">
        <v>29</v>
      </c>
      <c r="B11" s="883">
        <v>36107</v>
      </c>
      <c r="C11" s="883">
        <v>36108</v>
      </c>
      <c r="D11" s="883">
        <v>36107</v>
      </c>
      <c r="E11" s="883">
        <v>36108</v>
      </c>
      <c r="F11" s="883"/>
      <c r="G11" s="883"/>
      <c r="H11" s="883"/>
      <c r="I11" s="883"/>
      <c r="J11" s="883"/>
      <c r="K11" s="883"/>
      <c r="L11" s="883"/>
      <c r="M11" s="883"/>
      <c r="N11" s="184">
        <f>SUM(B11:M11)</f>
        <v>144430</v>
      </c>
    </row>
    <row r="12" spans="1:14">
      <c r="A12" s="579" t="s">
        <v>30</v>
      </c>
      <c r="B12" s="883">
        <v>1844479</v>
      </c>
      <c r="C12" s="883">
        <v>1834340</v>
      </c>
      <c r="D12" s="883">
        <v>1824203</v>
      </c>
      <c r="E12" s="883">
        <v>1995295</v>
      </c>
      <c r="F12" s="883">
        <v>1962659</v>
      </c>
      <c r="G12" s="883">
        <v>2036089</v>
      </c>
      <c r="H12" s="883">
        <v>1974625</v>
      </c>
      <c r="I12" s="883">
        <v>1928555</v>
      </c>
      <c r="J12" s="883">
        <v>1884486</v>
      </c>
      <c r="K12" s="883">
        <v>1984746</v>
      </c>
      <c r="L12" s="883">
        <v>1918179</v>
      </c>
      <c r="M12" s="883">
        <v>1874110</v>
      </c>
      <c r="N12" s="184"/>
    </row>
    <row r="13" spans="1:14" s="156" customFormat="1">
      <c r="A13" s="183" t="s">
        <v>31</v>
      </c>
      <c r="B13" s="184">
        <f t="shared" ref="B13:N13" si="0">SUM(B7:B12)</f>
        <v>1931338</v>
      </c>
      <c r="C13" s="184">
        <f t="shared" si="0"/>
        <v>1921202</v>
      </c>
      <c r="D13" s="184">
        <f t="shared" si="0"/>
        <v>2116562</v>
      </c>
      <c r="E13" s="184">
        <f t="shared" si="0"/>
        <v>2082156</v>
      </c>
      <c r="F13" s="184">
        <f t="shared" si="0"/>
        <v>2130912</v>
      </c>
      <c r="G13" s="184">
        <f t="shared" si="0"/>
        <v>2086843</v>
      </c>
      <c r="H13" s="184">
        <f t="shared" si="0"/>
        <v>2025377</v>
      </c>
      <c r="I13" s="184">
        <f t="shared" si="0"/>
        <v>1979308</v>
      </c>
      <c r="J13" s="184">
        <f t="shared" si="0"/>
        <v>2143839</v>
      </c>
      <c r="K13" s="184">
        <f t="shared" si="0"/>
        <v>2035500</v>
      </c>
      <c r="L13" s="184">
        <f t="shared" si="0"/>
        <v>1968932</v>
      </c>
      <c r="M13" s="184">
        <f t="shared" si="0"/>
        <v>2042364</v>
      </c>
      <c r="N13" s="184">
        <f t="shared" si="0"/>
        <v>1402567</v>
      </c>
    </row>
    <row r="14" spans="1:14">
      <c r="A14" s="882" t="s">
        <v>32</v>
      </c>
      <c r="B14" s="883"/>
      <c r="C14" s="883"/>
      <c r="D14" s="883"/>
      <c r="E14" s="883"/>
      <c r="F14" s="883"/>
      <c r="G14" s="883"/>
      <c r="H14" s="883"/>
      <c r="I14" s="883"/>
      <c r="J14" s="883"/>
      <c r="K14" s="883"/>
      <c r="L14" s="883"/>
      <c r="M14" s="883"/>
      <c r="N14" s="184"/>
    </row>
    <row r="15" spans="1:14">
      <c r="A15" s="884" t="s">
        <v>33</v>
      </c>
      <c r="B15" s="883">
        <v>64922</v>
      </c>
      <c r="C15" s="883">
        <v>64922</v>
      </c>
      <c r="D15" s="883">
        <v>64922</v>
      </c>
      <c r="E15" s="883">
        <v>64922</v>
      </c>
      <c r="F15" s="883">
        <v>64922</v>
      </c>
      <c r="G15" s="883">
        <v>64922</v>
      </c>
      <c r="H15" s="883">
        <v>64922</v>
      </c>
      <c r="I15" s="883">
        <v>64922</v>
      </c>
      <c r="J15" s="883">
        <v>64922</v>
      </c>
      <c r="K15" s="883">
        <v>64922</v>
      </c>
      <c r="L15" s="883">
        <v>64922</v>
      </c>
      <c r="M15" s="883">
        <v>64927</v>
      </c>
      <c r="N15" s="184">
        <f t="shared" ref="N15:N21" si="1">SUM(B15:M15)</f>
        <v>779069</v>
      </c>
    </row>
    <row r="16" spans="1:14">
      <c r="A16" s="579" t="s">
        <v>34</v>
      </c>
      <c r="B16" s="883">
        <v>30577</v>
      </c>
      <c r="C16" s="883">
        <v>30577</v>
      </c>
      <c r="D16" s="883">
        <v>30577</v>
      </c>
      <c r="E16" s="883">
        <v>30577</v>
      </c>
      <c r="F16" s="883">
        <v>30577</v>
      </c>
      <c r="G16" s="883">
        <v>30577</v>
      </c>
      <c r="H16" s="883">
        <v>30577</v>
      </c>
      <c r="I16" s="883">
        <v>30577</v>
      </c>
      <c r="J16" s="883">
        <v>30577</v>
      </c>
      <c r="K16" s="883">
        <v>30577</v>
      </c>
      <c r="L16" s="883">
        <v>30577</v>
      </c>
      <c r="M16" s="883">
        <v>30580</v>
      </c>
      <c r="N16" s="184">
        <f t="shared" si="1"/>
        <v>366927</v>
      </c>
    </row>
    <row r="17" spans="1:14">
      <c r="A17" s="579" t="s">
        <v>35</v>
      </c>
      <c r="B17" s="883"/>
      <c r="C17" s="883"/>
      <c r="D17" s="883">
        <v>64270</v>
      </c>
      <c r="E17" s="883">
        <v>22500</v>
      </c>
      <c r="F17" s="883"/>
      <c r="G17" s="883">
        <v>17395</v>
      </c>
      <c r="H17" s="883"/>
      <c r="I17" s="885"/>
      <c r="J17" s="883">
        <v>64270</v>
      </c>
      <c r="K17" s="883">
        <v>22500</v>
      </c>
      <c r="L17" s="883"/>
      <c r="M17" s="883">
        <v>17394</v>
      </c>
      <c r="N17" s="184">
        <f t="shared" si="1"/>
        <v>208329</v>
      </c>
    </row>
    <row r="18" spans="1:14">
      <c r="A18" s="579" t="s">
        <v>36</v>
      </c>
      <c r="B18" s="883"/>
      <c r="C18" s="883"/>
      <c r="D18" s="883"/>
      <c r="E18" s="883"/>
      <c r="F18" s="883">
        <v>414</v>
      </c>
      <c r="G18" s="883"/>
      <c r="H18" s="883"/>
      <c r="I18" s="883"/>
      <c r="J18" s="883"/>
      <c r="K18" s="883"/>
      <c r="L18" s="883"/>
      <c r="M18" s="883"/>
      <c r="N18" s="184">
        <f t="shared" si="1"/>
        <v>414</v>
      </c>
    </row>
    <row r="19" spans="1:14">
      <c r="A19" s="886" t="s">
        <v>37</v>
      </c>
      <c r="B19" s="883"/>
      <c r="C19" s="883"/>
      <c r="D19" s="883"/>
      <c r="E19" s="883"/>
      <c r="F19" s="883"/>
      <c r="G19" s="883"/>
      <c r="H19" s="883">
        <v>2000</v>
      </c>
      <c r="I19" s="883"/>
      <c r="J19" s="883"/>
      <c r="K19" s="883"/>
      <c r="L19" s="883"/>
      <c r="M19" s="883"/>
      <c r="N19" s="184">
        <f t="shared" si="1"/>
        <v>2000</v>
      </c>
    </row>
    <row r="20" spans="1:14">
      <c r="A20" s="886" t="s">
        <v>38</v>
      </c>
      <c r="B20" s="883"/>
      <c r="C20" s="883">
        <v>158</v>
      </c>
      <c r="D20" s="883"/>
      <c r="E20" s="883"/>
      <c r="F20" s="883"/>
      <c r="G20" s="883"/>
      <c r="H20" s="883"/>
      <c r="I20" s="883"/>
      <c r="J20" s="883"/>
      <c r="K20" s="883"/>
      <c r="L20" s="883"/>
      <c r="M20" s="883"/>
      <c r="N20" s="184">
        <f t="shared" si="1"/>
        <v>158</v>
      </c>
    </row>
    <row r="21" spans="1:14">
      <c r="A21" s="579" t="s">
        <v>39</v>
      </c>
      <c r="B21" s="883"/>
      <c r="C21" s="883"/>
      <c r="D21" s="883"/>
      <c r="E21" s="883"/>
      <c r="F21" s="883"/>
      <c r="G21" s="883"/>
      <c r="H21" s="883"/>
      <c r="I21" s="883"/>
      <c r="J21" s="883"/>
      <c r="K21" s="883"/>
      <c r="L21" s="883"/>
      <c r="M21" s="883">
        <v>45670</v>
      </c>
      <c r="N21" s="184">
        <f t="shared" si="1"/>
        <v>45670</v>
      </c>
    </row>
    <row r="22" spans="1:14" s="156" customFormat="1">
      <c r="A22" s="183" t="s">
        <v>40</v>
      </c>
      <c r="B22" s="184">
        <f t="shared" ref="B22:N22" si="2">SUM(B15:B21)</f>
        <v>95499</v>
      </c>
      <c r="C22" s="184">
        <f t="shared" si="2"/>
        <v>95657</v>
      </c>
      <c r="D22" s="184">
        <f t="shared" si="2"/>
        <v>159769</v>
      </c>
      <c r="E22" s="184">
        <f t="shared" si="2"/>
        <v>117999</v>
      </c>
      <c r="F22" s="184">
        <f t="shared" si="2"/>
        <v>95913</v>
      </c>
      <c r="G22" s="184">
        <f t="shared" si="2"/>
        <v>112894</v>
      </c>
      <c r="H22" s="184">
        <f t="shared" si="2"/>
        <v>97499</v>
      </c>
      <c r="I22" s="184">
        <f t="shared" si="2"/>
        <v>95499</v>
      </c>
      <c r="J22" s="184">
        <f t="shared" si="2"/>
        <v>159769</v>
      </c>
      <c r="K22" s="184">
        <f t="shared" si="2"/>
        <v>117999</v>
      </c>
      <c r="L22" s="184">
        <f t="shared" si="2"/>
        <v>95499</v>
      </c>
      <c r="M22" s="184">
        <f t="shared" si="2"/>
        <v>158571</v>
      </c>
      <c r="N22" s="184">
        <f t="shared" si="2"/>
        <v>1402567</v>
      </c>
    </row>
    <row r="23" spans="1:14" s="156" customFormat="1">
      <c r="A23" s="183" t="s">
        <v>41</v>
      </c>
      <c r="B23" s="184">
        <f t="shared" ref="B23:N23" si="3">SUM(B13-B22)</f>
        <v>1835839</v>
      </c>
      <c r="C23" s="184">
        <f t="shared" si="3"/>
        <v>1825545</v>
      </c>
      <c r="D23" s="184">
        <f t="shared" si="3"/>
        <v>1956793</v>
      </c>
      <c r="E23" s="184">
        <f t="shared" si="3"/>
        <v>1964157</v>
      </c>
      <c r="F23" s="184">
        <f t="shared" si="3"/>
        <v>2034999</v>
      </c>
      <c r="G23" s="184">
        <f t="shared" si="3"/>
        <v>1973949</v>
      </c>
      <c r="H23" s="184">
        <f t="shared" si="3"/>
        <v>1927878</v>
      </c>
      <c r="I23" s="184">
        <f t="shared" si="3"/>
        <v>1883809</v>
      </c>
      <c r="J23" s="184">
        <f t="shared" si="3"/>
        <v>1984070</v>
      </c>
      <c r="K23" s="184">
        <f t="shared" si="3"/>
        <v>1917501</v>
      </c>
      <c r="L23" s="184">
        <f t="shared" si="3"/>
        <v>1873433</v>
      </c>
      <c r="M23" s="184">
        <f t="shared" si="3"/>
        <v>1883793</v>
      </c>
      <c r="N23" s="184">
        <f t="shared" si="3"/>
        <v>0</v>
      </c>
    </row>
    <row r="24" spans="1:14">
      <c r="C24" s="180" t="s">
        <v>155</v>
      </c>
    </row>
  </sheetData>
  <mergeCells count="3">
    <mergeCell ref="A3:N3"/>
    <mergeCell ref="H1:N1"/>
    <mergeCell ref="L4:N4"/>
  </mergeCells>
  <phoneticPr fontId="13" type="noConversion"/>
  <printOptions horizontalCentered="1" verticalCentered="1"/>
  <pageMargins left="0.16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21"/>
  <dimension ref="A1:K46"/>
  <sheetViews>
    <sheetView view="pageBreakPreview" topLeftCell="A31" zoomScale="60" zoomScaleNormal="125" workbookViewId="0">
      <selection activeCell="A46" sqref="A46"/>
    </sheetView>
  </sheetViews>
  <sheetFormatPr defaultColWidth="9.5703125" defaultRowHeight="11.25"/>
  <cols>
    <col min="1" max="1" width="27.140625" style="684" bestFit="1" customWidth="1"/>
    <col min="2" max="2" width="12.42578125" style="684" bestFit="1" customWidth="1"/>
    <col min="3" max="4" width="11.140625" style="684" customWidth="1"/>
    <col min="5" max="5" width="11.85546875" style="684" customWidth="1"/>
    <col min="6" max="6" width="12.7109375" style="688" bestFit="1" customWidth="1"/>
    <col min="7" max="16384" width="9.5703125" style="684"/>
  </cols>
  <sheetData>
    <row r="1" spans="1:11" ht="12.75" customHeight="1">
      <c r="B1" s="1043" t="s">
        <v>0</v>
      </c>
      <c r="C1" s="1043"/>
      <c r="D1" s="1043"/>
      <c r="E1" s="1043"/>
      <c r="F1" s="1043"/>
      <c r="G1" s="686"/>
      <c r="H1" s="686"/>
      <c r="I1" s="687"/>
      <c r="J1" s="687"/>
      <c r="K1" s="687"/>
    </row>
    <row r="2" spans="1:11" ht="12.75" customHeight="1">
      <c r="E2" s="685"/>
      <c r="F2" s="685"/>
      <c r="G2" s="685"/>
      <c r="H2" s="685"/>
      <c r="I2" s="687"/>
      <c r="J2" s="687"/>
      <c r="K2" s="687"/>
    </row>
    <row r="3" spans="1:11" ht="12.75" customHeight="1">
      <c r="E3" s="685"/>
      <c r="F3" s="685"/>
      <c r="G3" s="685"/>
      <c r="H3" s="685"/>
      <c r="I3" s="687"/>
      <c r="J3" s="687"/>
      <c r="K3" s="687"/>
    </row>
    <row r="4" spans="1:11" s="688" customFormat="1">
      <c r="A4" s="1046" t="s">
        <v>833</v>
      </c>
      <c r="B4" s="1046"/>
      <c r="C4" s="1046"/>
      <c r="D4" s="1046"/>
      <c r="E4" s="1046"/>
      <c r="F4" s="1046"/>
    </row>
    <row r="5" spans="1:11" ht="11.25" customHeight="1">
      <c r="E5" s="1047" t="s">
        <v>103</v>
      </c>
      <c r="F5" s="1047"/>
    </row>
    <row r="6" spans="1:11" ht="48.75" customHeight="1">
      <c r="A6" s="1049" t="s">
        <v>778</v>
      </c>
      <c r="B6" s="1044" t="s">
        <v>779</v>
      </c>
      <c r="C6" s="1044" t="s">
        <v>780</v>
      </c>
      <c r="D6" s="1044" t="s">
        <v>885</v>
      </c>
      <c r="E6" s="1049" t="s">
        <v>473</v>
      </c>
      <c r="F6" s="1048" t="s">
        <v>781</v>
      </c>
    </row>
    <row r="7" spans="1:11" ht="22.5" customHeight="1">
      <c r="A7" s="1050"/>
      <c r="B7" s="1045"/>
      <c r="C7" s="1045"/>
      <c r="D7" s="1045"/>
      <c r="E7" s="1050"/>
      <c r="F7" s="1048"/>
    </row>
    <row r="8" spans="1:11">
      <c r="A8" s="689" t="s">
        <v>782</v>
      </c>
      <c r="B8" s="690">
        <v>367955</v>
      </c>
      <c r="C8" s="690">
        <v>220986</v>
      </c>
      <c r="D8" s="690">
        <v>64921</v>
      </c>
      <c r="E8" s="690">
        <v>40412</v>
      </c>
      <c r="F8" s="691">
        <f t="shared" ref="F8:F15" si="0">SUM(B8+C8+D8+E8)</f>
        <v>694274</v>
      </c>
    </row>
    <row r="9" spans="1:11">
      <c r="A9" s="689" t="s">
        <v>783</v>
      </c>
      <c r="B9" s="690">
        <v>60723</v>
      </c>
      <c r="C9" s="690">
        <v>58136</v>
      </c>
      <c r="D9" s="690">
        <v>16991</v>
      </c>
      <c r="E9" s="690">
        <v>10780</v>
      </c>
      <c r="F9" s="691">
        <f t="shared" si="0"/>
        <v>146630</v>
      </c>
    </row>
    <row r="10" spans="1:11">
      <c r="A10" s="689" t="s">
        <v>397</v>
      </c>
      <c r="B10" s="690">
        <v>1124627</v>
      </c>
      <c r="C10" s="690">
        <v>137125</v>
      </c>
      <c r="D10" s="690">
        <v>19359</v>
      </c>
      <c r="E10" s="690">
        <v>36912</v>
      </c>
      <c r="F10" s="691">
        <f t="shared" si="0"/>
        <v>1318023</v>
      </c>
    </row>
    <row r="11" spans="1:11">
      <c r="A11" s="692" t="s">
        <v>784</v>
      </c>
      <c r="B11" s="693">
        <v>177537</v>
      </c>
      <c r="C11" s="693">
        <v>0</v>
      </c>
      <c r="D11" s="693">
        <v>5163</v>
      </c>
      <c r="E11" s="690">
        <v>0</v>
      </c>
      <c r="F11" s="691">
        <f t="shared" si="0"/>
        <v>182700</v>
      </c>
    </row>
    <row r="12" spans="1:11">
      <c r="A12" s="692" t="s">
        <v>223</v>
      </c>
      <c r="B12" s="693">
        <v>224473</v>
      </c>
      <c r="C12" s="693">
        <v>406</v>
      </c>
      <c r="D12" s="693">
        <v>0</v>
      </c>
      <c r="E12" s="690">
        <v>0</v>
      </c>
      <c r="F12" s="691">
        <f t="shared" si="0"/>
        <v>224879</v>
      </c>
    </row>
    <row r="13" spans="1:11">
      <c r="A13" s="692" t="s">
        <v>785</v>
      </c>
      <c r="B13" s="693">
        <v>48337</v>
      </c>
      <c r="C13" s="693">
        <v>84780</v>
      </c>
      <c r="D13" s="693">
        <v>0</v>
      </c>
      <c r="E13" s="690">
        <v>0</v>
      </c>
      <c r="F13" s="691">
        <f t="shared" si="0"/>
        <v>133117</v>
      </c>
    </row>
    <row r="14" spans="1:11">
      <c r="A14" s="692" t="s">
        <v>786</v>
      </c>
      <c r="B14" s="693">
        <v>0</v>
      </c>
      <c r="C14" s="693">
        <v>0</v>
      </c>
      <c r="D14" s="693">
        <v>0</v>
      </c>
      <c r="E14" s="690">
        <v>0</v>
      </c>
      <c r="F14" s="691">
        <f t="shared" si="0"/>
        <v>0</v>
      </c>
    </row>
    <row r="15" spans="1:11" ht="12" thickBot="1">
      <c r="A15" s="694" t="s">
        <v>229</v>
      </c>
      <c r="B15" s="695">
        <v>19809</v>
      </c>
      <c r="C15" s="695">
        <v>0</v>
      </c>
      <c r="D15" s="695">
        <v>0</v>
      </c>
      <c r="E15" s="695">
        <v>0</v>
      </c>
      <c r="F15" s="696">
        <f t="shared" si="0"/>
        <v>19809</v>
      </c>
    </row>
    <row r="16" spans="1:11" ht="12" thickBot="1">
      <c r="A16" s="697" t="s">
        <v>787</v>
      </c>
      <c r="B16" s="698">
        <f>SUM(B8:B15)</f>
        <v>2023461</v>
      </c>
      <c r="C16" s="698">
        <f>SUM(C8:C15)</f>
        <v>501433</v>
      </c>
      <c r="D16" s="698">
        <f>SUM(D8:D15)</f>
        <v>106434</v>
      </c>
      <c r="E16" s="698">
        <f>SUM(E8:E15)</f>
        <v>88104</v>
      </c>
      <c r="F16" s="698">
        <f>SUM(F8:F15)</f>
        <v>2719432</v>
      </c>
    </row>
    <row r="17" spans="1:6">
      <c r="A17" s="699" t="s">
        <v>788</v>
      </c>
      <c r="B17" s="700">
        <v>211960</v>
      </c>
      <c r="C17" s="700">
        <v>0</v>
      </c>
      <c r="D17" s="693">
        <v>0</v>
      </c>
      <c r="E17" s="690">
        <v>0</v>
      </c>
      <c r="F17" s="691">
        <f t="shared" ref="F17:F24" si="1">SUM(B17+C17+D17+E17)</f>
        <v>211960</v>
      </c>
    </row>
    <row r="18" spans="1:6">
      <c r="A18" s="689" t="s">
        <v>789</v>
      </c>
      <c r="B18" s="690">
        <v>52500</v>
      </c>
      <c r="C18" s="690">
        <v>0</v>
      </c>
      <c r="D18" s="693">
        <v>0</v>
      </c>
      <c r="E18" s="690">
        <v>0</v>
      </c>
      <c r="F18" s="691">
        <f t="shared" si="1"/>
        <v>52500</v>
      </c>
    </row>
    <row r="19" spans="1:6">
      <c r="A19" s="689" t="s">
        <v>790</v>
      </c>
      <c r="B19" s="690">
        <v>18038</v>
      </c>
      <c r="C19" s="690">
        <v>0</v>
      </c>
      <c r="D19" s="693">
        <v>0</v>
      </c>
      <c r="E19" s="690">
        <v>0</v>
      </c>
      <c r="F19" s="691">
        <f t="shared" si="1"/>
        <v>18038</v>
      </c>
    </row>
    <row r="20" spans="1:6">
      <c r="A20" s="689" t="s">
        <v>791</v>
      </c>
      <c r="B20" s="690">
        <v>8036</v>
      </c>
      <c r="C20" s="690">
        <v>0</v>
      </c>
      <c r="D20" s="693">
        <v>0</v>
      </c>
      <c r="E20" s="690">
        <v>0</v>
      </c>
      <c r="F20" s="691">
        <f t="shared" si="1"/>
        <v>8036</v>
      </c>
    </row>
    <row r="21" spans="1:6">
      <c r="A21" s="689" t="s">
        <v>792</v>
      </c>
      <c r="B21" s="690">
        <v>45104</v>
      </c>
      <c r="C21" s="701">
        <v>0</v>
      </c>
      <c r="D21" s="690">
        <v>0</v>
      </c>
      <c r="E21" s="702">
        <v>0</v>
      </c>
      <c r="F21" s="691">
        <f t="shared" si="1"/>
        <v>45104</v>
      </c>
    </row>
    <row r="22" spans="1:6">
      <c r="A22" s="689" t="s">
        <v>793</v>
      </c>
      <c r="B22" s="690">
        <v>7407</v>
      </c>
      <c r="C22" s="690">
        <v>0</v>
      </c>
      <c r="D22" s="700">
        <v>0</v>
      </c>
      <c r="E22" s="690">
        <v>0</v>
      </c>
      <c r="F22" s="691">
        <f t="shared" si="1"/>
        <v>7407</v>
      </c>
    </row>
    <row r="23" spans="1:6">
      <c r="A23" s="692" t="s">
        <v>794</v>
      </c>
      <c r="B23" s="693">
        <v>3131197</v>
      </c>
      <c r="C23" s="693">
        <v>8162</v>
      </c>
      <c r="D23" s="693">
        <v>236</v>
      </c>
      <c r="E23" s="690">
        <v>1256</v>
      </c>
      <c r="F23" s="691">
        <f t="shared" si="1"/>
        <v>3140851</v>
      </c>
    </row>
    <row r="24" spans="1:6" ht="12" thickBot="1">
      <c r="A24" s="692" t="s">
        <v>795</v>
      </c>
      <c r="B24" s="695">
        <v>1142345</v>
      </c>
      <c r="C24" s="695">
        <v>0</v>
      </c>
      <c r="D24" s="695">
        <v>0</v>
      </c>
      <c r="E24" s="695">
        <v>0</v>
      </c>
      <c r="F24" s="696">
        <f t="shared" si="1"/>
        <v>1142345</v>
      </c>
    </row>
    <row r="25" spans="1:6" ht="12" thickBot="1">
      <c r="A25" s="703" t="s">
        <v>796</v>
      </c>
      <c r="B25" s="704">
        <f>SUM(B17:B24)</f>
        <v>4616587</v>
      </c>
      <c r="C25" s="704">
        <f>SUM(C17:C24)</f>
        <v>8162</v>
      </c>
      <c r="D25" s="704">
        <f>SUM(D17:D24)</f>
        <v>236</v>
      </c>
      <c r="E25" s="704">
        <f>SUM(E17:E24)</f>
        <v>1256</v>
      </c>
      <c r="F25" s="704">
        <f>SUM(F17:F24)</f>
        <v>4626241</v>
      </c>
    </row>
    <row r="26" spans="1:6" ht="12" thickBot="1">
      <c r="A26" s="703" t="s">
        <v>797</v>
      </c>
      <c r="B26" s="705">
        <f>B16+B25</f>
        <v>6640048</v>
      </c>
      <c r="C26" s="705">
        <f>SUM(C25,C16)</f>
        <v>509595</v>
      </c>
      <c r="D26" s="705">
        <f>SUM(D25,D16)</f>
        <v>106670</v>
      </c>
      <c r="E26" s="705">
        <f>SUM(E25,E16)</f>
        <v>89360</v>
      </c>
      <c r="F26" s="705">
        <f>SUM(F25,F16)</f>
        <v>7345673</v>
      </c>
    </row>
    <row r="27" spans="1:6">
      <c r="A27" s="699" t="s">
        <v>417</v>
      </c>
      <c r="B27" s="700">
        <v>765060</v>
      </c>
      <c r="C27" s="700">
        <v>17787</v>
      </c>
      <c r="D27" s="700">
        <v>2339</v>
      </c>
      <c r="E27" s="690">
        <v>5500</v>
      </c>
      <c r="F27" s="691">
        <f t="shared" ref="F27:F41" si="2">SUM(B27+C27+D27+E27)</f>
        <v>790686</v>
      </c>
    </row>
    <row r="28" spans="1:6">
      <c r="A28" s="699" t="s">
        <v>798</v>
      </c>
      <c r="B28" s="700">
        <v>426947</v>
      </c>
      <c r="C28" s="700">
        <v>27683</v>
      </c>
      <c r="D28" s="700">
        <v>0</v>
      </c>
      <c r="E28" s="690">
        <v>23786</v>
      </c>
      <c r="F28" s="691">
        <f t="shared" si="2"/>
        <v>478416</v>
      </c>
    </row>
    <row r="29" spans="1:6">
      <c r="A29" s="699" t="s">
        <v>799</v>
      </c>
      <c r="B29" s="700">
        <v>8449</v>
      </c>
      <c r="C29" s="700">
        <v>0</v>
      </c>
      <c r="D29" s="700">
        <v>100</v>
      </c>
      <c r="E29" s="690">
        <v>0</v>
      </c>
      <c r="F29" s="691">
        <f t="shared" si="2"/>
        <v>8549</v>
      </c>
    </row>
    <row r="30" spans="1:6">
      <c r="A30" s="689" t="s">
        <v>800</v>
      </c>
      <c r="B30" s="690">
        <v>39000</v>
      </c>
      <c r="C30" s="690">
        <v>0</v>
      </c>
      <c r="D30" s="700">
        <v>0</v>
      </c>
      <c r="E30" s="690">
        <v>0</v>
      </c>
      <c r="F30" s="691">
        <f t="shared" si="2"/>
        <v>39000</v>
      </c>
    </row>
    <row r="31" spans="1:6">
      <c r="A31" s="689" t="s">
        <v>801</v>
      </c>
      <c r="B31" s="690">
        <v>1860387</v>
      </c>
      <c r="C31" s="690">
        <v>34246</v>
      </c>
      <c r="D31" s="700">
        <v>9723</v>
      </c>
      <c r="E31" s="690">
        <v>1198</v>
      </c>
      <c r="F31" s="691">
        <f t="shared" si="2"/>
        <v>1905554</v>
      </c>
    </row>
    <row r="32" spans="1:6">
      <c r="A32" s="689" t="s">
        <v>802</v>
      </c>
      <c r="B32" s="690">
        <v>2614690</v>
      </c>
      <c r="C32" s="690">
        <v>0</v>
      </c>
      <c r="D32" s="700">
        <v>0</v>
      </c>
      <c r="E32" s="690">
        <v>0</v>
      </c>
      <c r="F32" s="691">
        <f t="shared" si="2"/>
        <v>2614690</v>
      </c>
    </row>
    <row r="33" spans="1:6">
      <c r="A33" s="689" t="s">
        <v>803</v>
      </c>
      <c r="B33" s="690">
        <v>500</v>
      </c>
      <c r="C33" s="690">
        <v>0</v>
      </c>
      <c r="D33" s="700">
        <v>0</v>
      </c>
      <c r="E33" s="690">
        <v>0</v>
      </c>
      <c r="F33" s="691">
        <f t="shared" si="2"/>
        <v>500</v>
      </c>
    </row>
    <row r="34" spans="1:6">
      <c r="A34" s="689" t="s">
        <v>804</v>
      </c>
      <c r="B34" s="690">
        <v>56796</v>
      </c>
      <c r="C34" s="690">
        <v>0</v>
      </c>
      <c r="D34" s="700">
        <v>0</v>
      </c>
      <c r="E34" s="690">
        <v>0</v>
      </c>
      <c r="F34" s="691">
        <f t="shared" si="2"/>
        <v>56796</v>
      </c>
    </row>
    <row r="35" spans="1:6">
      <c r="A35" s="689" t="s">
        <v>805</v>
      </c>
      <c r="B35" s="690">
        <v>5046</v>
      </c>
      <c r="C35" s="690">
        <v>0</v>
      </c>
      <c r="D35" s="700">
        <v>0</v>
      </c>
      <c r="E35" s="690">
        <v>0</v>
      </c>
      <c r="F35" s="691">
        <f t="shared" si="2"/>
        <v>5046</v>
      </c>
    </row>
    <row r="36" spans="1:6">
      <c r="A36" s="689" t="s">
        <v>806</v>
      </c>
      <c r="B36" s="690">
        <v>609299</v>
      </c>
      <c r="C36" s="690">
        <v>0</v>
      </c>
      <c r="D36" s="700">
        <v>0</v>
      </c>
      <c r="E36" s="690">
        <v>0</v>
      </c>
      <c r="F36" s="691">
        <v>609299</v>
      </c>
    </row>
    <row r="37" spans="1:6">
      <c r="A37" s="689" t="s">
        <v>807</v>
      </c>
      <c r="B37" s="690">
        <v>42000</v>
      </c>
      <c r="C37" s="690">
        <v>0</v>
      </c>
      <c r="D37" s="700">
        <v>0</v>
      </c>
      <c r="E37" s="690">
        <v>0</v>
      </c>
      <c r="F37" s="691">
        <f t="shared" si="2"/>
        <v>42000</v>
      </c>
    </row>
    <row r="38" spans="1:6">
      <c r="A38" s="689" t="s">
        <v>808</v>
      </c>
      <c r="B38" s="690">
        <v>0</v>
      </c>
      <c r="C38" s="690">
        <v>0</v>
      </c>
      <c r="D38" s="700">
        <v>0</v>
      </c>
      <c r="E38" s="690">
        <v>0</v>
      </c>
      <c r="F38" s="691">
        <f t="shared" si="2"/>
        <v>0</v>
      </c>
    </row>
    <row r="39" spans="1:6">
      <c r="A39" s="689" t="s">
        <v>809</v>
      </c>
      <c r="B39" s="690">
        <v>153724</v>
      </c>
      <c r="C39" s="690">
        <v>0</v>
      </c>
      <c r="D39" s="700">
        <v>0</v>
      </c>
      <c r="E39" s="690">
        <v>0</v>
      </c>
      <c r="F39" s="691">
        <f t="shared" si="2"/>
        <v>153724</v>
      </c>
    </row>
    <row r="40" spans="1:6" s="855" customFormat="1" ht="12" thickBot="1">
      <c r="A40" s="852" t="s">
        <v>810</v>
      </c>
      <c r="B40" s="853">
        <v>372524</v>
      </c>
      <c r="C40" s="853">
        <v>167757</v>
      </c>
      <c r="D40" s="853">
        <v>65151</v>
      </c>
      <c r="E40" s="853">
        <v>35981</v>
      </c>
      <c r="F40" s="854">
        <f t="shared" si="2"/>
        <v>641413</v>
      </c>
    </row>
    <row r="41" spans="1:6" s="707" customFormat="1" ht="12" thickBot="1">
      <c r="A41" s="706" t="s">
        <v>811</v>
      </c>
      <c r="B41" s="705">
        <f>SUM(B27:B40)</f>
        <v>6954422</v>
      </c>
      <c r="C41" s="705">
        <f>SUM(C27:C40)</f>
        <v>247473</v>
      </c>
      <c r="D41" s="705">
        <f>SUM(D27:D40)</f>
        <v>77313</v>
      </c>
      <c r="E41" s="705">
        <f>SUM(E27:E40)</f>
        <v>66465</v>
      </c>
      <c r="F41" s="705">
        <f t="shared" si="2"/>
        <v>7345673</v>
      </c>
    </row>
    <row r="42" spans="1:6" s="709" customFormat="1" ht="12" customHeight="1">
      <c r="A42" s="699" t="s">
        <v>812</v>
      </c>
      <c r="B42" s="700">
        <f>SUM(B26-B27-B28-B35-B29-B30-B31-B32-B33-B34-B36-B37-B38-B39)</f>
        <v>58150</v>
      </c>
      <c r="C42" s="700">
        <f>SUM(C26-C27-C28-C35-C29-C30-C31-C32-C33-C34-C36-C37-C38-C39)</f>
        <v>429879</v>
      </c>
      <c r="D42" s="700">
        <f>SUM(D26-D27-D28-D35-D29-D30-D31-D32-D33-D34-D36-D37-D38-D39)</f>
        <v>94508</v>
      </c>
      <c r="E42" s="700">
        <f>SUM(E26-E27-E28-E35-E29-E30-E31-E32-E33-E34-E36-E37-E38-E39)</f>
        <v>58876</v>
      </c>
      <c r="F42" s="708"/>
    </row>
    <row r="43" spans="1:6">
      <c r="A43" s="699" t="s">
        <v>813</v>
      </c>
      <c r="B43" s="700">
        <f>SUM(B42-B40)</f>
        <v>-314374</v>
      </c>
      <c r="C43" s="700">
        <f>SUM(C42-C40)</f>
        <v>262122</v>
      </c>
      <c r="D43" s="700">
        <f>SUM(D42-D40)</f>
        <v>29357</v>
      </c>
      <c r="E43" s="700">
        <f>SUM(E42-E40)</f>
        <v>22895</v>
      </c>
      <c r="F43" s="710"/>
    </row>
    <row r="44" spans="1:6">
      <c r="A44" s="689" t="s">
        <v>814</v>
      </c>
      <c r="B44" s="711">
        <f>SUM(B43/B26)</f>
        <v>-4.7345139673689106E-2</v>
      </c>
      <c r="C44" s="711">
        <f>SUM(C43/C26)</f>
        <v>0.51437317870073296</v>
      </c>
      <c r="D44" s="711">
        <f>SUM(D43/D26)</f>
        <v>0.2752132745851692</v>
      </c>
      <c r="E44" s="711">
        <f>SUM(E43/E26)</f>
        <v>0.25621083258728738</v>
      </c>
      <c r="F44" s="710"/>
    </row>
    <row r="46" spans="1:6" ht="13.5">
      <c r="A46" s="859" t="s">
        <v>3</v>
      </c>
      <c r="B46" s="712"/>
      <c r="C46" s="712"/>
      <c r="D46" s="712"/>
    </row>
  </sheetData>
  <mergeCells count="9">
    <mergeCell ref="B1:F1"/>
    <mergeCell ref="D6:D7"/>
    <mergeCell ref="A4:F4"/>
    <mergeCell ref="E5:F5"/>
    <mergeCell ref="F6:F7"/>
    <mergeCell ref="A6:A7"/>
    <mergeCell ref="C6:C7"/>
    <mergeCell ref="B6:B7"/>
    <mergeCell ref="E6:E7"/>
  </mergeCells>
  <phoneticPr fontId="13" type="noConversion"/>
  <printOptions horizontalCentered="1" verticalCentered="1"/>
  <pageMargins left="0.23622047244094491" right="0.23622047244094491" top="0.23622047244094491" bottom="0.35433070866141736" header="0.31496062992125984" footer="0.35433070866141736"/>
  <pageSetup paperSize="9" orientation="portrait" horizontalDpi="4294967293" vertic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25"/>
  <dimension ref="A1:H177"/>
  <sheetViews>
    <sheetView view="pageBreakPreview" topLeftCell="A119" zoomScale="75" zoomScaleNormal="75" zoomScaleSheetLayoutView="75" workbookViewId="0">
      <selection activeCell="C142" sqref="C142"/>
    </sheetView>
  </sheetViews>
  <sheetFormatPr defaultColWidth="8.85546875" defaultRowHeight="15.75"/>
  <cols>
    <col min="1" max="1" width="2.28515625" style="185" customWidth="1"/>
    <col min="2" max="2" width="3.7109375" style="185" customWidth="1"/>
    <col min="3" max="3" width="102.7109375" style="195" customWidth="1"/>
    <col min="4" max="4" width="13.7109375" style="501" customWidth="1"/>
    <col min="5" max="5" width="17.7109375" style="199" customWidth="1"/>
    <col min="6" max="6" width="5.7109375" style="185" customWidth="1"/>
    <col min="7" max="7" width="16" style="499" customWidth="1"/>
    <col min="8" max="8" width="14.7109375" style="185" customWidth="1"/>
    <col min="9" max="9" width="12.28515625" style="185" bestFit="1" customWidth="1"/>
    <col min="10" max="10" width="8.85546875" style="185" customWidth="1"/>
    <col min="11" max="12" width="11.28515625" style="185" bestFit="1" customWidth="1"/>
    <col min="13" max="16384" width="8.85546875" style="185"/>
  </cols>
  <sheetData>
    <row r="1" spans="1:7" ht="18.75">
      <c r="C1" s="1051" t="s">
        <v>1</v>
      </c>
      <c r="D1" s="1051"/>
      <c r="E1" s="1051"/>
    </row>
    <row r="3" spans="1:7">
      <c r="B3" s="1052" t="s">
        <v>482</v>
      </c>
      <c r="C3" s="1052"/>
      <c r="D3" s="1052"/>
      <c r="E3" s="1052"/>
      <c r="F3" s="186"/>
      <c r="G3" s="500"/>
    </row>
    <row r="4" spans="1:7">
      <c r="B4" s="493"/>
      <c r="C4" s="493"/>
      <c r="E4" s="502"/>
      <c r="F4" s="186"/>
      <c r="G4" s="500"/>
    </row>
    <row r="5" spans="1:7">
      <c r="B5" s="493"/>
      <c r="C5" s="493"/>
      <c r="E5" s="502"/>
      <c r="F5" s="186"/>
      <c r="G5" s="500"/>
    </row>
    <row r="6" spans="1:7">
      <c r="B6" s="187"/>
      <c r="C6" s="187"/>
      <c r="E6" s="503" t="s">
        <v>443</v>
      </c>
      <c r="F6" s="186"/>
      <c r="G6" s="500"/>
    </row>
    <row r="7" spans="1:7" s="505" customFormat="1">
      <c r="A7" s="1053" t="s">
        <v>483</v>
      </c>
      <c r="B7" s="1054"/>
      <c r="C7" s="1054"/>
      <c r="D7" s="504"/>
      <c r="E7" s="189">
        <v>45670000</v>
      </c>
      <c r="G7" s="506"/>
    </row>
    <row r="8" spans="1:7" s="190" customFormat="1">
      <c r="A8" s="188"/>
      <c r="B8" s="282"/>
      <c r="C8" s="282"/>
      <c r="D8" s="504"/>
      <c r="E8" s="189"/>
      <c r="G8" s="507"/>
    </row>
    <row r="9" spans="1:7" s="190" customFormat="1">
      <c r="A9" s="188" t="s">
        <v>529</v>
      </c>
      <c r="B9" s="282"/>
      <c r="C9" s="282"/>
      <c r="D9" s="504"/>
      <c r="E9" s="189">
        <v>367499</v>
      </c>
      <c r="G9" s="507"/>
    </row>
    <row r="10" spans="1:7" s="190" customFormat="1" hidden="1">
      <c r="A10" s="191"/>
      <c r="B10" s="192" t="s">
        <v>530</v>
      </c>
      <c r="C10" s="394"/>
      <c r="D10" s="504">
        <v>367499</v>
      </c>
      <c r="E10" s="193"/>
      <c r="G10" s="507"/>
    </row>
    <row r="11" spans="1:7" s="190" customFormat="1">
      <c r="A11" s="188"/>
      <c r="B11" s="282"/>
      <c r="C11" s="282"/>
      <c r="D11" s="504"/>
      <c r="E11" s="189"/>
      <c r="G11" s="507"/>
    </row>
    <row r="12" spans="1:7" s="190" customFormat="1">
      <c r="A12" s="188" t="s">
        <v>593</v>
      </c>
      <c r="B12" s="282"/>
      <c r="C12" s="282"/>
      <c r="D12" s="504"/>
      <c r="E12" s="189">
        <f>SUM(E13:E34)</f>
        <v>1022429158</v>
      </c>
      <c r="G12" s="507"/>
    </row>
    <row r="13" spans="1:7" hidden="1">
      <c r="A13" s="191"/>
      <c r="B13" s="192" t="s">
        <v>643</v>
      </c>
      <c r="C13" s="192"/>
      <c r="D13" s="504"/>
      <c r="E13" s="193">
        <v>1200456686</v>
      </c>
    </row>
    <row r="14" spans="1:7" s="190" customFormat="1" hidden="1">
      <c r="A14" s="393"/>
      <c r="B14" s="508" t="s">
        <v>644</v>
      </c>
      <c r="C14" s="509"/>
      <c r="D14" s="510"/>
      <c r="E14" s="511">
        <v>1000000</v>
      </c>
      <c r="G14" s="507"/>
    </row>
    <row r="15" spans="1:7" s="190" customFormat="1" hidden="1">
      <c r="A15" s="512"/>
      <c r="B15" s="513" t="s">
        <v>698</v>
      </c>
      <c r="C15" s="513"/>
      <c r="D15" s="514"/>
      <c r="E15" s="193">
        <f>12995482-187365</f>
        <v>12808117</v>
      </c>
      <c r="G15" s="507"/>
    </row>
    <row r="16" spans="1:7" s="574" customFormat="1" hidden="1">
      <c r="A16" s="512"/>
      <c r="B16" s="513" t="s">
        <v>699</v>
      </c>
      <c r="C16" s="513"/>
      <c r="D16" s="514"/>
      <c r="E16" s="193">
        <v>26860000</v>
      </c>
      <c r="G16" s="575"/>
    </row>
    <row r="17" spans="1:7" s="190" customFormat="1" hidden="1">
      <c r="A17" s="515"/>
      <c r="B17" s="513" t="s">
        <v>645</v>
      </c>
      <c r="C17" s="513"/>
      <c r="D17" s="514"/>
      <c r="E17" s="193">
        <v>28143218</v>
      </c>
      <c r="G17" s="507"/>
    </row>
    <row r="18" spans="1:7" s="190" customFormat="1" hidden="1">
      <c r="A18" s="393"/>
      <c r="B18" s="516" t="s">
        <v>646</v>
      </c>
      <c r="C18" s="509"/>
      <c r="D18" s="510"/>
      <c r="E18" s="517">
        <v>639650</v>
      </c>
      <c r="G18" s="507"/>
    </row>
    <row r="19" spans="1:7" s="190" customFormat="1" hidden="1">
      <c r="A19" s="393"/>
      <c r="B19" s="516" t="s">
        <v>647</v>
      </c>
      <c r="C19" s="509"/>
      <c r="D19" s="510"/>
      <c r="E19" s="511">
        <v>-988945</v>
      </c>
      <c r="G19" s="507" t="s">
        <v>748</v>
      </c>
    </row>
    <row r="20" spans="1:7" s="190" customFormat="1" hidden="1">
      <c r="A20" s="393"/>
      <c r="B20" s="516" t="s">
        <v>648</v>
      </c>
      <c r="C20" s="509"/>
      <c r="D20" s="510"/>
      <c r="E20" s="517">
        <v>-891540</v>
      </c>
      <c r="G20" s="507"/>
    </row>
    <row r="21" spans="1:7" s="190" customFormat="1" hidden="1">
      <c r="A21" s="393"/>
      <c r="B21" s="516" t="s">
        <v>649</v>
      </c>
      <c r="C21" s="509"/>
      <c r="D21" s="510"/>
      <c r="E21" s="511">
        <v>-4762500</v>
      </c>
      <c r="G21" s="507" t="s">
        <v>749</v>
      </c>
    </row>
    <row r="22" spans="1:7" s="190" customFormat="1" hidden="1">
      <c r="A22" s="393"/>
      <c r="B22" s="516" t="s">
        <v>650</v>
      </c>
      <c r="C22" s="509"/>
      <c r="D22" s="510"/>
      <c r="E22" s="517">
        <v>-5067300</v>
      </c>
      <c r="G22" s="507" t="s">
        <v>750</v>
      </c>
    </row>
    <row r="23" spans="1:7" s="190" customFormat="1" hidden="1">
      <c r="A23" s="393"/>
      <c r="B23" s="516" t="s">
        <v>651</v>
      </c>
      <c r="C23" s="509"/>
      <c r="D23" s="510"/>
      <c r="E23" s="511">
        <v>-44514085</v>
      </c>
      <c r="G23" s="507" t="s">
        <v>751</v>
      </c>
    </row>
    <row r="24" spans="1:7" s="190" customFormat="1" hidden="1">
      <c r="A24" s="393"/>
      <c r="B24" s="516" t="s">
        <v>652</v>
      </c>
      <c r="C24" s="509"/>
      <c r="D24" s="510"/>
      <c r="E24" s="511">
        <v>-5588000</v>
      </c>
      <c r="G24" s="507" t="s">
        <v>750</v>
      </c>
    </row>
    <row r="25" spans="1:7" s="190" customFormat="1" hidden="1">
      <c r="A25" s="515"/>
      <c r="B25" s="518" t="s">
        <v>653</v>
      </c>
      <c r="C25" s="519"/>
      <c r="D25" s="520"/>
      <c r="E25" s="521">
        <v>-278500</v>
      </c>
      <c r="G25" s="507" t="s">
        <v>752</v>
      </c>
    </row>
    <row r="26" spans="1:7" s="190" customFormat="1" hidden="1">
      <c r="A26" s="522"/>
      <c r="B26" s="513" t="s">
        <v>654</v>
      </c>
      <c r="C26" s="513"/>
      <c r="D26" s="514"/>
      <c r="E26" s="523">
        <v>-15818052</v>
      </c>
      <c r="G26" s="507" t="s">
        <v>753</v>
      </c>
    </row>
    <row r="27" spans="1:7" s="190" customFormat="1" hidden="1">
      <c r="A27" s="524"/>
      <c r="B27" s="513" t="s">
        <v>655</v>
      </c>
      <c r="C27" s="513"/>
      <c r="D27" s="514"/>
      <c r="E27" s="193">
        <v>-746447</v>
      </c>
      <c r="G27" s="507" t="s">
        <v>753</v>
      </c>
    </row>
    <row r="28" spans="1:7" s="190" customFormat="1" hidden="1">
      <c r="A28" s="191"/>
      <c r="B28" s="516" t="s">
        <v>656</v>
      </c>
      <c r="C28" s="192"/>
      <c r="D28" s="510"/>
      <c r="E28" s="511">
        <v>-1963436</v>
      </c>
      <c r="F28" s="185"/>
      <c r="G28" s="507" t="s">
        <v>754</v>
      </c>
    </row>
    <row r="29" spans="1:7" s="190" customFormat="1" hidden="1">
      <c r="A29" s="524"/>
      <c r="B29" s="516" t="s">
        <v>657</v>
      </c>
      <c r="C29" s="516"/>
      <c r="D29" s="514"/>
      <c r="E29" s="193">
        <v>-12880155</v>
      </c>
      <c r="G29" s="507" t="s">
        <v>755</v>
      </c>
    </row>
    <row r="30" spans="1:7" s="190" customFormat="1" hidden="1">
      <c r="A30" s="525"/>
      <c r="B30" s="513" t="s">
        <v>658</v>
      </c>
      <c r="C30" s="513"/>
      <c r="D30" s="526"/>
      <c r="E30" s="193">
        <v>-3900000</v>
      </c>
      <c r="G30" s="507" t="s">
        <v>756</v>
      </c>
    </row>
    <row r="31" spans="1:7" s="190" customFormat="1" hidden="1">
      <c r="A31" s="525"/>
      <c r="B31" s="516" t="s">
        <v>659</v>
      </c>
      <c r="C31" s="513"/>
      <c r="D31" s="526"/>
      <c r="E31" s="193">
        <v>-147190353</v>
      </c>
      <c r="G31" s="507" t="s">
        <v>750</v>
      </c>
    </row>
    <row r="32" spans="1:7" s="574" customFormat="1" hidden="1">
      <c r="A32" s="512"/>
      <c r="B32" s="516" t="s">
        <v>660</v>
      </c>
      <c r="C32" s="516"/>
      <c r="D32" s="510"/>
      <c r="E32" s="193">
        <v>-400000</v>
      </c>
      <c r="G32" s="575" t="s">
        <v>753</v>
      </c>
    </row>
    <row r="33" spans="1:7" s="574" customFormat="1" hidden="1">
      <c r="A33" s="525"/>
      <c r="B33" s="516" t="s">
        <v>661</v>
      </c>
      <c r="C33" s="516"/>
      <c r="D33" s="526"/>
      <c r="E33" s="193">
        <v>-1320800</v>
      </c>
      <c r="G33" s="575" t="s">
        <v>753</v>
      </c>
    </row>
    <row r="34" spans="1:7" s="574" customFormat="1" hidden="1">
      <c r="A34" s="525"/>
      <c r="B34" s="516" t="s">
        <v>662</v>
      </c>
      <c r="C34" s="516"/>
      <c r="D34" s="510"/>
      <c r="E34" s="193">
        <v>-1168400</v>
      </c>
      <c r="G34" s="575" t="s">
        <v>753</v>
      </c>
    </row>
    <row r="35" spans="1:7" s="190" customFormat="1" hidden="1">
      <c r="A35" s="188" t="s">
        <v>705</v>
      </c>
      <c r="B35" s="282"/>
      <c r="C35" s="282"/>
      <c r="D35" s="504"/>
      <c r="E35" s="189">
        <f>E7+E9+E12</f>
        <v>1068466657</v>
      </c>
      <c r="G35" s="507"/>
    </row>
    <row r="36" spans="1:7" s="190" customFormat="1">
      <c r="A36" s="188"/>
      <c r="B36" s="282"/>
      <c r="C36" s="282"/>
      <c r="D36" s="504"/>
      <c r="E36" s="189"/>
      <c r="G36" s="507"/>
    </row>
    <row r="37" spans="1:7" s="190" customFormat="1">
      <c r="A37" s="188" t="s">
        <v>747</v>
      </c>
      <c r="B37" s="282"/>
      <c r="C37" s="282"/>
      <c r="D37" s="504"/>
      <c r="E37" s="189">
        <f>SUM(D38:D42)</f>
        <v>78870352</v>
      </c>
      <c r="G37" s="507"/>
    </row>
    <row r="38" spans="1:7" s="190" customFormat="1" hidden="1">
      <c r="A38" s="188"/>
      <c r="B38" s="192" t="s">
        <v>769</v>
      </c>
      <c r="C38" s="282"/>
      <c r="D38" s="504">
        <v>-12829518</v>
      </c>
      <c r="E38" s="189"/>
      <c r="G38" s="507"/>
    </row>
    <row r="39" spans="1:7" s="190" customFormat="1" hidden="1">
      <c r="A39" s="188"/>
      <c r="B39" s="192" t="s">
        <v>776</v>
      </c>
      <c r="C39" s="282"/>
      <c r="D39" s="504">
        <v>98000685</v>
      </c>
      <c r="E39" s="189"/>
      <c r="G39" s="507"/>
    </row>
    <row r="40" spans="1:7" s="190" customFormat="1" hidden="1">
      <c r="A40" s="188"/>
      <c r="B40" s="516" t="s">
        <v>657</v>
      </c>
      <c r="C40" s="282"/>
      <c r="D40" s="504">
        <v>-5679777</v>
      </c>
      <c r="E40" s="189"/>
      <c r="G40" s="507"/>
    </row>
    <row r="41" spans="1:7" s="190" customFormat="1" hidden="1">
      <c r="A41" s="188"/>
      <c r="B41" s="537" t="s">
        <v>680</v>
      </c>
      <c r="C41" s="282"/>
      <c r="D41" s="504">
        <v>-170255</v>
      </c>
      <c r="E41" s="189"/>
      <c r="G41" s="507"/>
    </row>
    <row r="42" spans="1:7" s="190" customFormat="1" hidden="1">
      <c r="A42" s="188"/>
      <c r="B42" s="192" t="s">
        <v>770</v>
      </c>
      <c r="C42" s="282"/>
      <c r="D42" s="504">
        <v>-450783</v>
      </c>
      <c r="E42" s="189"/>
      <c r="G42" s="507"/>
    </row>
    <row r="43" spans="1:7" s="190" customFormat="1" hidden="1">
      <c r="A43" s="188" t="s">
        <v>771</v>
      </c>
      <c r="B43" s="192"/>
      <c r="C43" s="282"/>
      <c r="D43" s="504"/>
      <c r="E43" s="189">
        <f>E7+E9+E12+E37</f>
        <v>1147337009</v>
      </c>
      <c r="G43" s="507"/>
    </row>
    <row r="44" spans="1:7" s="190" customFormat="1">
      <c r="A44" s="188"/>
      <c r="B44" s="192"/>
      <c r="C44" s="282"/>
      <c r="D44" s="504"/>
      <c r="E44" s="189"/>
      <c r="G44" s="507"/>
    </row>
    <row r="45" spans="1:7" s="190" customFormat="1">
      <c r="A45" s="188" t="s">
        <v>90</v>
      </c>
      <c r="B45" s="192"/>
      <c r="C45" s="282"/>
      <c r="D45" s="504"/>
      <c r="E45" s="189"/>
      <c r="G45" s="507"/>
    </row>
    <row r="46" spans="1:7" s="190" customFormat="1">
      <c r="A46" s="188"/>
      <c r="B46" s="192" t="s">
        <v>858</v>
      </c>
      <c r="C46" s="282"/>
      <c r="D46" s="504"/>
      <c r="E46" s="193">
        <v>24000000</v>
      </c>
      <c r="G46" s="507"/>
    </row>
    <row r="47" spans="1:7" s="190" customFormat="1">
      <c r="A47" s="827"/>
      <c r="B47" s="828" t="s">
        <v>859</v>
      </c>
      <c r="C47" s="829"/>
      <c r="D47" s="528"/>
      <c r="E47" s="542">
        <v>7221000</v>
      </c>
      <c r="F47" s="831"/>
      <c r="G47" s="507"/>
    </row>
    <row r="48" spans="1:7" s="190" customFormat="1">
      <c r="A48" s="194"/>
      <c r="B48" s="509" t="s">
        <v>767</v>
      </c>
      <c r="C48" s="677"/>
      <c r="D48" s="510"/>
      <c r="E48" s="511">
        <v>-2000000</v>
      </c>
      <c r="F48" s="831"/>
      <c r="G48" s="507"/>
    </row>
    <row r="49" spans="1:7" s="190" customFormat="1">
      <c r="A49" s="512"/>
      <c r="B49" s="518" t="s">
        <v>686</v>
      </c>
      <c r="C49" s="519"/>
      <c r="D49" s="520"/>
      <c r="E49" s="521">
        <v>-901700</v>
      </c>
      <c r="F49" s="831"/>
      <c r="G49" s="507"/>
    </row>
    <row r="50" spans="1:7" s="190" customFormat="1">
      <c r="A50" s="512"/>
      <c r="B50" s="518" t="s">
        <v>685</v>
      </c>
      <c r="C50" s="519"/>
      <c r="D50" s="520"/>
      <c r="E50" s="521">
        <v>-400050</v>
      </c>
      <c r="F50" s="831"/>
      <c r="G50" s="507"/>
    </row>
    <row r="51" spans="1:7" s="190" customFormat="1">
      <c r="A51" s="512"/>
      <c r="B51" s="518" t="s">
        <v>684</v>
      </c>
      <c r="C51" s="519"/>
      <c r="D51" s="520"/>
      <c r="E51" s="521">
        <v>-927100</v>
      </c>
      <c r="F51" s="831"/>
      <c r="G51" s="507"/>
    </row>
    <row r="52" spans="1:7" s="190" customFormat="1">
      <c r="A52" s="512"/>
      <c r="B52" s="518" t="s">
        <v>683</v>
      </c>
      <c r="C52" s="519"/>
      <c r="D52" s="520"/>
      <c r="E52" s="521">
        <v>-996950</v>
      </c>
      <c r="F52" s="831"/>
      <c r="G52" s="507"/>
    </row>
    <row r="53" spans="1:7" s="190" customFormat="1">
      <c r="A53" s="512"/>
      <c r="B53" s="518" t="s">
        <v>682</v>
      </c>
      <c r="C53" s="519"/>
      <c r="D53" s="520"/>
      <c r="E53" s="521">
        <v>-980440</v>
      </c>
      <c r="F53" s="831"/>
      <c r="G53" s="507"/>
    </row>
    <row r="54" spans="1:7">
      <c r="A54" s="191"/>
      <c r="B54" s="516" t="s">
        <v>878</v>
      </c>
      <c r="C54" s="829"/>
      <c r="D54" s="528"/>
      <c r="E54" s="542">
        <v>-1381709</v>
      </c>
      <c r="F54" s="831"/>
    </row>
    <row r="55" spans="1:7">
      <c r="A55" s="512"/>
      <c r="B55" s="537" t="s">
        <v>680</v>
      </c>
      <c r="C55" s="516"/>
      <c r="D55" s="528"/>
      <c r="E55" s="542">
        <v>-472059</v>
      </c>
      <c r="F55" s="831"/>
    </row>
    <row r="56" spans="1:7">
      <c r="A56" s="679"/>
      <c r="B56" s="680" t="s">
        <v>868</v>
      </c>
      <c r="C56" s="677"/>
      <c r="D56" s="510"/>
      <c r="E56" s="542">
        <v>-2171700</v>
      </c>
    </row>
    <row r="57" spans="1:7">
      <c r="A57" s="191"/>
      <c r="B57" s="516" t="s">
        <v>881</v>
      </c>
      <c r="C57" s="509"/>
      <c r="D57" s="510"/>
      <c r="E57" s="542">
        <v>-508000</v>
      </c>
    </row>
    <row r="58" spans="1:7">
      <c r="A58" s="837"/>
      <c r="B58" s="519" t="s">
        <v>92</v>
      </c>
      <c r="C58" s="509"/>
      <c r="D58" s="510"/>
      <c r="E58" s="542">
        <v>2500000</v>
      </c>
    </row>
    <row r="59" spans="1:7">
      <c r="A59" s="837"/>
      <c r="B59" s="516" t="s">
        <v>665</v>
      </c>
      <c r="C59" s="836"/>
      <c r="D59" s="528"/>
      <c r="E59" s="511">
        <v>-27973620</v>
      </c>
      <c r="F59" s="831"/>
    </row>
    <row r="60" spans="1:7" s="190" customFormat="1">
      <c r="A60" s="844" t="s">
        <v>94</v>
      </c>
      <c r="B60" s="845"/>
      <c r="C60" s="835"/>
      <c r="D60" s="832"/>
      <c r="E60" s="846">
        <v>1142344681</v>
      </c>
      <c r="F60" s="833"/>
      <c r="G60" s="507"/>
    </row>
    <row r="61" spans="1:7" s="190" customFormat="1">
      <c r="A61" s="827"/>
      <c r="B61" s="828"/>
      <c r="C61" s="836"/>
      <c r="D61" s="528"/>
      <c r="E61" s="830"/>
      <c r="F61" s="831"/>
      <c r="G61" s="507"/>
    </row>
    <row r="62" spans="1:7" s="190" customFormat="1">
      <c r="A62" s="188" t="s">
        <v>663</v>
      </c>
      <c r="B62" s="282"/>
      <c r="C62" s="282"/>
      <c r="D62" s="504"/>
      <c r="E62" s="189">
        <f>SUM(E63:E140)</f>
        <v>1136760194</v>
      </c>
      <c r="G62" s="507"/>
    </row>
    <row r="63" spans="1:7" s="190" customFormat="1">
      <c r="A63" s="512"/>
      <c r="B63" s="516" t="s">
        <v>664</v>
      </c>
      <c r="C63" s="527"/>
      <c r="D63" s="528"/>
      <c r="E63" s="193">
        <f>45670000-988945+28143218-12829518</f>
        <v>59994755</v>
      </c>
      <c r="G63" s="507"/>
    </row>
    <row r="64" spans="1:7" s="190" customFormat="1">
      <c r="A64" s="512"/>
      <c r="B64" s="516" t="s">
        <v>665</v>
      </c>
      <c r="C64" s="516"/>
      <c r="D64" s="510"/>
      <c r="E64" s="193">
        <v>42310995</v>
      </c>
      <c r="G64" s="507"/>
    </row>
    <row r="65" spans="1:8" s="190" customFormat="1">
      <c r="A65" s="512"/>
      <c r="B65" s="516" t="s">
        <v>666</v>
      </c>
      <c r="C65" s="516"/>
      <c r="D65" s="510"/>
      <c r="E65" s="193">
        <f>150000000-891540-147190353</f>
        <v>1918107</v>
      </c>
      <c r="G65" s="507"/>
    </row>
    <row r="66" spans="1:8" s="190" customFormat="1">
      <c r="A66" s="512"/>
      <c r="B66" s="516" t="s">
        <v>667</v>
      </c>
      <c r="C66" s="516"/>
      <c r="D66" s="510"/>
      <c r="E66" s="193">
        <v>621397248</v>
      </c>
      <c r="G66" s="507"/>
    </row>
    <row r="67" spans="1:8" s="190" customFormat="1">
      <c r="A67" s="512"/>
      <c r="B67" s="516"/>
      <c r="C67" s="527" t="s">
        <v>668</v>
      </c>
      <c r="D67" s="529">
        <v>15000000</v>
      </c>
      <c r="E67" s="530"/>
      <c r="G67" s="507"/>
    </row>
    <row r="68" spans="1:8" s="190" customFormat="1">
      <c r="A68" s="188"/>
      <c r="B68" s="516"/>
      <c r="C68" s="527" t="s">
        <v>669</v>
      </c>
      <c r="D68" s="531">
        <v>7600000</v>
      </c>
      <c r="E68" s="532"/>
      <c r="G68" s="507"/>
      <c r="H68" s="507"/>
    </row>
    <row r="69" spans="1:8" s="190" customFormat="1">
      <c r="A69" s="188"/>
      <c r="B69" s="516"/>
      <c r="C69" s="527" t="s">
        <v>670</v>
      </c>
      <c r="D69" s="529">
        <f>603700000-103700000-5588000</f>
        <v>494412000</v>
      </c>
      <c r="E69" s="532"/>
      <c r="G69" s="507"/>
    </row>
    <row r="70" spans="1:8" s="833" customFormat="1">
      <c r="A70" s="838"/>
      <c r="B70" s="527" t="s">
        <v>93</v>
      </c>
      <c r="C70" s="836"/>
      <c r="D70" s="529">
        <v>4375000</v>
      </c>
      <c r="E70" s="839"/>
      <c r="G70" s="834"/>
    </row>
    <row r="71" spans="1:8" s="833" customFormat="1">
      <c r="A71" s="842"/>
      <c r="B71" s="527"/>
      <c r="C71" s="527" t="s">
        <v>671</v>
      </c>
      <c r="D71" s="843">
        <v>16675248</v>
      </c>
      <c r="E71" s="532"/>
      <c r="G71" s="834"/>
    </row>
    <row r="72" spans="1:8">
      <c r="A72" s="191"/>
      <c r="B72" s="516"/>
      <c r="C72" s="527" t="s">
        <v>860</v>
      </c>
      <c r="D72" s="531">
        <v>16256000</v>
      </c>
      <c r="E72" s="532"/>
    </row>
    <row r="73" spans="1:8">
      <c r="A73" s="191"/>
      <c r="B73" s="516"/>
      <c r="C73" s="527" t="s">
        <v>98</v>
      </c>
      <c r="D73" s="531">
        <v>1905000</v>
      </c>
      <c r="E73" s="532"/>
    </row>
    <row r="74" spans="1:8" s="190" customFormat="1">
      <c r="A74" s="188"/>
      <c r="B74" s="516"/>
      <c r="C74" s="527" t="s">
        <v>757</v>
      </c>
      <c r="D74" s="531">
        <v>12954000</v>
      </c>
      <c r="E74" s="532"/>
      <c r="G74" s="507"/>
    </row>
    <row r="75" spans="1:8" s="190" customFormat="1">
      <c r="A75" s="188"/>
      <c r="B75" s="516"/>
      <c r="C75" s="527" t="s">
        <v>772</v>
      </c>
      <c r="D75" s="531">
        <v>1286891</v>
      </c>
      <c r="E75" s="532"/>
      <c r="G75" s="507"/>
    </row>
    <row r="76" spans="1:8" s="190" customFormat="1">
      <c r="A76" s="188"/>
      <c r="B76" s="516"/>
      <c r="C76" s="527" t="s">
        <v>773</v>
      </c>
      <c r="D76" s="531">
        <v>2565400</v>
      </c>
      <c r="E76" s="532"/>
      <c r="G76" s="507"/>
    </row>
    <row r="77" spans="1:8" s="190" customFormat="1">
      <c r="A77" s="188"/>
      <c r="B77" s="516"/>
      <c r="C77" s="527" t="s">
        <v>774</v>
      </c>
      <c r="D77" s="531">
        <v>1663700</v>
      </c>
      <c r="E77" s="532"/>
      <c r="G77" s="507"/>
    </row>
    <row r="78" spans="1:8" s="190" customFormat="1">
      <c r="A78" s="188"/>
      <c r="B78" s="516"/>
      <c r="C78" s="527" t="s">
        <v>861</v>
      </c>
      <c r="D78" s="531">
        <v>1441450</v>
      </c>
      <c r="E78" s="532"/>
      <c r="G78" s="507"/>
    </row>
    <row r="79" spans="1:8" s="190" customFormat="1">
      <c r="A79" s="188"/>
      <c r="B79" s="516"/>
      <c r="C79" s="527" t="s">
        <v>862</v>
      </c>
      <c r="D79" s="531">
        <v>996950</v>
      </c>
      <c r="E79" s="532"/>
      <c r="G79" s="507"/>
    </row>
    <row r="80" spans="1:8" s="190" customFormat="1">
      <c r="A80" s="188"/>
      <c r="B80" s="516"/>
      <c r="C80" s="527" t="s">
        <v>863</v>
      </c>
      <c r="D80" s="531">
        <v>825500</v>
      </c>
      <c r="E80" s="532"/>
      <c r="G80" s="507"/>
    </row>
    <row r="81" spans="1:8" s="190" customFormat="1">
      <c r="A81" s="188"/>
      <c r="B81" s="516"/>
      <c r="C81" s="527" t="s">
        <v>775</v>
      </c>
      <c r="D81" s="531">
        <v>1066800</v>
      </c>
      <c r="E81" s="532"/>
      <c r="G81" s="507"/>
    </row>
    <row r="82" spans="1:8" s="190" customFormat="1">
      <c r="A82" s="188"/>
      <c r="B82" s="516"/>
      <c r="C82" s="527" t="s">
        <v>91</v>
      </c>
      <c r="D82" s="531">
        <v>6652260</v>
      </c>
      <c r="E82" s="532"/>
      <c r="G82" s="507"/>
    </row>
    <row r="83" spans="1:8" s="190" customFormat="1">
      <c r="A83" s="188"/>
      <c r="B83" s="516"/>
      <c r="C83" s="527" t="s">
        <v>864</v>
      </c>
      <c r="D83" s="531">
        <v>5168900</v>
      </c>
      <c r="E83" s="532"/>
      <c r="G83" s="507"/>
    </row>
    <row r="84" spans="1:8" s="190" customFormat="1">
      <c r="A84" s="188"/>
      <c r="B84" s="516"/>
      <c r="C84" s="527" t="s">
        <v>97</v>
      </c>
      <c r="D84" s="531">
        <v>2393950</v>
      </c>
      <c r="E84" s="532"/>
      <c r="G84" s="507"/>
    </row>
    <row r="85" spans="1:8">
      <c r="A85" s="191"/>
      <c r="B85" s="516"/>
      <c r="C85" s="527" t="s">
        <v>99</v>
      </c>
      <c r="D85" s="531">
        <v>12000000</v>
      </c>
      <c r="E85" s="532"/>
    </row>
    <row r="86" spans="1:8" s="190" customFormat="1">
      <c r="A86" s="188"/>
      <c r="B86" s="516"/>
      <c r="C86" s="527" t="s">
        <v>672</v>
      </c>
      <c r="D86" s="528">
        <v>55369447</v>
      </c>
      <c r="E86" s="193"/>
      <c r="G86" s="507"/>
      <c r="H86" s="507"/>
    </row>
    <row r="87" spans="1:8">
      <c r="A87" s="525"/>
      <c r="B87" s="533" t="s">
        <v>673</v>
      </c>
      <c r="C87" s="198"/>
      <c r="D87" s="520"/>
      <c r="E87" s="392">
        <f>7162353-746447</f>
        <v>6415906</v>
      </c>
    </row>
    <row r="88" spans="1:8">
      <c r="A88" s="525"/>
      <c r="B88" s="516" t="s">
        <v>674</v>
      </c>
      <c r="C88" s="516"/>
      <c r="D88" s="841"/>
      <c r="E88" s="534">
        <f>997394+7080142+2306967+1893800</f>
        <v>12278303</v>
      </c>
    </row>
    <row r="89" spans="1:8">
      <c r="A89" s="525"/>
      <c r="B89" s="516" t="s">
        <v>675</v>
      </c>
      <c r="C89" s="516"/>
      <c r="D89" s="841"/>
      <c r="E89" s="535">
        <f>6801351+18715009+6004204+4911555</f>
        <v>36432119</v>
      </c>
    </row>
    <row r="90" spans="1:8">
      <c r="A90" s="847"/>
      <c r="B90" s="1055" t="s">
        <v>676</v>
      </c>
      <c r="C90" s="1055"/>
      <c r="D90" s="536"/>
      <c r="E90" s="521">
        <f>717136+201630+1879867+1009806+123720-917625</f>
        <v>3014534</v>
      </c>
    </row>
    <row r="91" spans="1:8">
      <c r="A91" s="525"/>
      <c r="B91" s="513" t="s">
        <v>677</v>
      </c>
      <c r="C91" s="513"/>
      <c r="D91" s="514"/>
      <c r="E91" s="193">
        <v>2700000</v>
      </c>
    </row>
    <row r="92" spans="1:8">
      <c r="A92" s="525"/>
      <c r="B92" s="513" t="s">
        <v>95</v>
      </c>
      <c r="C92" s="513"/>
      <c r="D92" s="514"/>
      <c r="E92" s="193">
        <f>12995482-187365</f>
        <v>12808117</v>
      </c>
    </row>
    <row r="93" spans="1:8" s="533" customFormat="1">
      <c r="A93" s="525"/>
      <c r="B93" s="513" t="s">
        <v>96</v>
      </c>
      <c r="C93" s="513"/>
      <c r="D93" s="514"/>
      <c r="E93" s="193">
        <v>26860000</v>
      </c>
      <c r="G93" s="199"/>
    </row>
    <row r="94" spans="1:8">
      <c r="A94" s="525"/>
      <c r="B94" s="513" t="s">
        <v>678</v>
      </c>
      <c r="C94" s="513"/>
      <c r="D94" s="514"/>
      <c r="E94" s="193">
        <v>60000</v>
      </c>
    </row>
    <row r="95" spans="1:8">
      <c r="A95" s="525"/>
      <c r="B95" s="516" t="s">
        <v>679</v>
      </c>
      <c r="C95" s="516"/>
      <c r="D95" s="510"/>
      <c r="E95" s="193">
        <v>10000000</v>
      </c>
    </row>
    <row r="96" spans="1:8">
      <c r="A96" s="525"/>
      <c r="B96" s="537" t="s">
        <v>680</v>
      </c>
      <c r="C96" s="516"/>
      <c r="D96" s="510"/>
      <c r="E96" s="193">
        <v>35703484</v>
      </c>
    </row>
    <row r="97" spans="1:7">
      <c r="A97" s="525"/>
      <c r="B97" s="518" t="s">
        <v>681</v>
      </c>
      <c r="C97" s="519"/>
      <c r="D97" s="520"/>
      <c r="E97" s="521">
        <v>10000000</v>
      </c>
    </row>
    <row r="98" spans="1:7">
      <c r="A98" s="848"/>
      <c r="B98" s="197" t="s">
        <v>687</v>
      </c>
      <c r="C98" s="198"/>
      <c r="D98" s="538"/>
      <c r="E98" s="392">
        <v>1437640</v>
      </c>
    </row>
    <row r="99" spans="1:7">
      <c r="A99" s="191"/>
      <c r="B99" s="516" t="s">
        <v>688</v>
      </c>
      <c r="C99" s="192"/>
      <c r="D99" s="510"/>
      <c r="E99" s="511">
        <v>1154000</v>
      </c>
    </row>
    <row r="100" spans="1:7">
      <c r="A100" s="191"/>
      <c r="B100" s="519" t="s">
        <v>689</v>
      </c>
      <c r="C100" s="192"/>
      <c r="D100" s="510"/>
      <c r="E100" s="517">
        <v>2344000</v>
      </c>
    </row>
    <row r="101" spans="1:7">
      <c r="A101" s="191"/>
      <c r="B101" s="516" t="s">
        <v>690</v>
      </c>
      <c r="C101" s="192"/>
      <c r="D101" s="510"/>
      <c r="E101" s="511">
        <v>2032000</v>
      </c>
    </row>
    <row r="102" spans="1:7">
      <c r="A102" s="191"/>
      <c r="B102" s="516" t="s">
        <v>691</v>
      </c>
      <c r="C102" s="192"/>
      <c r="D102" s="510"/>
      <c r="E102" s="517">
        <v>1778000</v>
      </c>
    </row>
    <row r="103" spans="1:7" s="851" customFormat="1">
      <c r="A103" s="191"/>
      <c r="B103" s="516" t="s">
        <v>692</v>
      </c>
      <c r="C103" s="192"/>
      <c r="D103" s="510"/>
      <c r="E103" s="539">
        <v>1524000</v>
      </c>
      <c r="F103" s="849"/>
      <c r="G103" s="850"/>
    </row>
    <row r="104" spans="1:7">
      <c r="A104" s="194"/>
      <c r="B104" s="516" t="s">
        <v>693</v>
      </c>
      <c r="C104" s="509"/>
      <c r="D104" s="510"/>
      <c r="E104" s="511">
        <v>122708</v>
      </c>
    </row>
    <row r="105" spans="1:7">
      <c r="A105" s="194"/>
      <c r="B105" s="516" t="s">
        <v>694</v>
      </c>
      <c r="C105" s="509"/>
      <c r="D105" s="510"/>
      <c r="E105" s="517">
        <v>14932560</v>
      </c>
    </row>
    <row r="106" spans="1:7" s="533" customFormat="1">
      <c r="A106" s="576"/>
      <c r="B106" s="516" t="s">
        <v>662</v>
      </c>
      <c r="C106" s="516"/>
      <c r="D106" s="510"/>
      <c r="E106" s="193">
        <f>8287702-1168400</f>
        <v>7119302</v>
      </c>
      <c r="G106" s="199"/>
    </row>
    <row r="107" spans="1:7">
      <c r="A107" s="194"/>
      <c r="B107" s="516" t="s">
        <v>695</v>
      </c>
      <c r="C107" s="509"/>
      <c r="D107" s="510"/>
      <c r="E107" s="517">
        <v>7599998</v>
      </c>
    </row>
    <row r="108" spans="1:7">
      <c r="A108" s="194"/>
      <c r="B108" s="516" t="s">
        <v>696</v>
      </c>
      <c r="C108" s="509"/>
      <c r="D108" s="510"/>
      <c r="E108" s="511">
        <v>7534656</v>
      </c>
    </row>
    <row r="109" spans="1:7" s="533" customFormat="1">
      <c r="A109" s="576"/>
      <c r="B109" s="516" t="s">
        <v>661</v>
      </c>
      <c r="C109" s="516"/>
      <c r="D109" s="510"/>
      <c r="E109" s="193">
        <f>8169021-1320800</f>
        <v>6848221</v>
      </c>
      <c r="G109" s="199"/>
    </row>
    <row r="110" spans="1:7">
      <c r="A110" s="194"/>
      <c r="B110" s="516" t="s">
        <v>697</v>
      </c>
      <c r="C110" s="509"/>
      <c r="D110" s="510"/>
      <c r="E110" s="511">
        <v>2497869</v>
      </c>
    </row>
    <row r="111" spans="1:7">
      <c r="A111" s="194"/>
      <c r="B111" s="516" t="s">
        <v>758</v>
      </c>
      <c r="C111" s="509"/>
      <c r="D111" s="510"/>
      <c r="E111" s="542">
        <v>1425600</v>
      </c>
    </row>
    <row r="112" spans="1:7">
      <c r="A112" s="194"/>
      <c r="B112" s="516" t="s">
        <v>759</v>
      </c>
      <c r="C112" s="509"/>
      <c r="D112" s="510"/>
      <c r="E112" s="542">
        <v>3000000</v>
      </c>
    </row>
    <row r="113" spans="1:5">
      <c r="A113" s="194"/>
      <c r="B113" s="509" t="s">
        <v>760</v>
      </c>
      <c r="C113" s="509"/>
      <c r="D113" s="510"/>
      <c r="E113" s="542">
        <v>8000000</v>
      </c>
    </row>
    <row r="114" spans="1:5">
      <c r="A114" s="194"/>
      <c r="B114" s="509" t="s">
        <v>761</v>
      </c>
      <c r="C114" s="509"/>
      <c r="D114" s="510"/>
      <c r="E114" s="542">
        <v>6351053</v>
      </c>
    </row>
    <row r="115" spans="1:5">
      <c r="A115" s="194"/>
      <c r="B115" s="516" t="s">
        <v>762</v>
      </c>
      <c r="C115" s="509"/>
      <c r="D115" s="510"/>
      <c r="E115" s="542">
        <v>9462159</v>
      </c>
    </row>
    <row r="116" spans="1:5">
      <c r="A116" s="194"/>
      <c r="B116" s="509" t="s">
        <v>763</v>
      </c>
      <c r="C116" s="677"/>
      <c r="D116" s="510"/>
      <c r="E116" s="542">
        <v>1000000</v>
      </c>
    </row>
    <row r="117" spans="1:5">
      <c r="A117" s="194"/>
      <c r="B117" s="509" t="s">
        <v>764</v>
      </c>
      <c r="C117" s="677"/>
      <c r="D117" s="510"/>
      <c r="E117" s="542">
        <v>4787861</v>
      </c>
    </row>
    <row r="118" spans="1:5">
      <c r="A118" s="194"/>
      <c r="B118" s="509" t="s">
        <v>765</v>
      </c>
      <c r="C118" s="677"/>
      <c r="D118" s="510"/>
      <c r="E118" s="542">
        <v>384048</v>
      </c>
    </row>
    <row r="119" spans="1:5">
      <c r="A119" s="194"/>
      <c r="B119" s="509" t="s">
        <v>766</v>
      </c>
      <c r="C119" s="677"/>
      <c r="D119" s="510"/>
      <c r="E119" s="542">
        <v>111111</v>
      </c>
    </row>
    <row r="120" spans="1:5">
      <c r="A120" s="194"/>
      <c r="B120" s="192" t="s">
        <v>776</v>
      </c>
      <c r="C120" s="192"/>
      <c r="D120" s="510"/>
      <c r="E120" s="681">
        <v>98000685</v>
      </c>
    </row>
    <row r="121" spans="1:5">
      <c r="A121" s="191"/>
      <c r="B121" s="516" t="s">
        <v>877</v>
      </c>
      <c r="C121" s="677"/>
      <c r="D121" s="510"/>
      <c r="E121" s="517">
        <v>24000000</v>
      </c>
    </row>
    <row r="122" spans="1:5">
      <c r="A122" s="191"/>
      <c r="B122" s="516" t="s">
        <v>865</v>
      </c>
      <c r="C122" s="185"/>
      <c r="D122" s="194"/>
      <c r="E122" s="840">
        <v>13666616</v>
      </c>
    </row>
    <row r="123" spans="1:5">
      <c r="A123" s="191"/>
      <c r="B123" s="516" t="s">
        <v>880</v>
      </c>
      <c r="C123" s="509"/>
      <c r="D123" s="510"/>
      <c r="E123" s="542">
        <v>90000</v>
      </c>
    </row>
    <row r="124" spans="1:5">
      <c r="A124" s="191"/>
      <c r="B124" s="516" t="s">
        <v>882</v>
      </c>
      <c r="C124" s="509"/>
      <c r="D124" s="510"/>
      <c r="E124" s="542">
        <v>317500</v>
      </c>
    </row>
    <row r="125" spans="1:5">
      <c r="A125" s="679"/>
      <c r="B125" s="680" t="s">
        <v>768</v>
      </c>
      <c r="C125" s="185"/>
      <c r="D125" s="510"/>
      <c r="E125" s="542">
        <v>1932242</v>
      </c>
    </row>
    <row r="126" spans="1:5">
      <c r="A126" s="679"/>
      <c r="B126" s="680" t="s">
        <v>866</v>
      </c>
      <c r="C126" s="677"/>
      <c r="D126" s="510"/>
      <c r="E126" s="542">
        <v>8946900</v>
      </c>
    </row>
    <row r="127" spans="1:5">
      <c r="A127" s="679"/>
      <c r="B127" s="680" t="s">
        <v>867</v>
      </c>
      <c r="C127" s="677"/>
      <c r="D127" s="510"/>
      <c r="E127" s="542">
        <v>1512000</v>
      </c>
    </row>
    <row r="128" spans="1:5">
      <c r="A128" s="679"/>
      <c r="B128" s="680" t="s">
        <v>869</v>
      </c>
      <c r="C128" s="677"/>
      <c r="D128" s="510"/>
      <c r="E128" s="542">
        <v>7221000</v>
      </c>
    </row>
    <row r="129" spans="1:8">
      <c r="A129" s="679"/>
      <c r="B129" s="680"/>
      <c r="C129" s="195" t="s">
        <v>870</v>
      </c>
      <c r="D129" s="510">
        <v>1200000</v>
      </c>
      <c r="E129" s="542"/>
    </row>
    <row r="130" spans="1:8">
      <c r="A130" s="679"/>
      <c r="B130" s="680"/>
      <c r="C130" s="677" t="s">
        <v>871</v>
      </c>
      <c r="D130" s="510">
        <v>1000000</v>
      </c>
      <c r="E130" s="542"/>
    </row>
    <row r="131" spans="1:8">
      <c r="A131" s="679"/>
      <c r="B131" s="680"/>
      <c r="C131" s="195" t="s">
        <v>872</v>
      </c>
      <c r="D131" s="510">
        <v>600000</v>
      </c>
      <c r="E131" s="542"/>
    </row>
    <row r="132" spans="1:8">
      <c r="A132" s="679"/>
      <c r="B132" s="680"/>
      <c r="C132" s="677" t="s">
        <v>873</v>
      </c>
      <c r="D132" s="510">
        <v>1400000</v>
      </c>
      <c r="E132" s="542"/>
    </row>
    <row r="133" spans="1:8">
      <c r="A133" s="679"/>
      <c r="B133" s="680"/>
      <c r="C133" s="195" t="s">
        <v>874</v>
      </c>
      <c r="D133" s="510">
        <v>1421000</v>
      </c>
      <c r="E133" s="542"/>
    </row>
    <row r="134" spans="1:8">
      <c r="A134" s="679"/>
      <c r="B134" s="680"/>
      <c r="C134" s="677" t="s">
        <v>875</v>
      </c>
      <c r="D134" s="510">
        <v>1000000</v>
      </c>
      <c r="E134" s="542"/>
    </row>
    <row r="135" spans="1:8">
      <c r="A135" s="679"/>
      <c r="B135" s="680"/>
      <c r="C135" s="677" t="s">
        <v>876</v>
      </c>
      <c r="D135" s="510">
        <v>600000</v>
      </c>
      <c r="E135" s="542"/>
    </row>
    <row r="136" spans="1:8">
      <c r="A136" s="191"/>
      <c r="B136" s="516" t="s">
        <v>879</v>
      </c>
      <c r="C136" s="509"/>
      <c r="D136" s="510"/>
      <c r="E136" s="542">
        <v>60000</v>
      </c>
    </row>
    <row r="137" spans="1:8">
      <c r="A137" s="191"/>
      <c r="B137" s="509" t="s">
        <v>102</v>
      </c>
      <c r="D137" s="510"/>
      <c r="E137" s="542">
        <v>618563</v>
      </c>
    </row>
    <row r="138" spans="1:8">
      <c r="A138" s="191"/>
      <c r="B138" s="509" t="s">
        <v>100</v>
      </c>
      <c r="C138" s="677"/>
      <c r="D138" s="510"/>
      <c r="E138" s="542">
        <v>4045735</v>
      </c>
    </row>
    <row r="139" spans="1:8">
      <c r="A139" s="191"/>
      <c r="B139" s="509" t="s">
        <v>101</v>
      </c>
      <c r="C139" s="677"/>
      <c r="D139" s="510"/>
      <c r="E139" s="542">
        <v>508599</v>
      </c>
    </row>
    <row r="140" spans="1:8">
      <c r="A140" s="191"/>
      <c r="B140" s="509" t="s">
        <v>92</v>
      </c>
      <c r="D140" s="510"/>
      <c r="E140" s="542">
        <v>2500000</v>
      </c>
    </row>
    <row r="141" spans="1:8" s="190" customFormat="1">
      <c r="A141" s="540" t="s">
        <v>531</v>
      </c>
      <c r="B141" s="541"/>
      <c r="C141" s="541"/>
      <c r="D141" s="543"/>
      <c r="E141" s="189">
        <f>E60-E62</f>
        <v>5584487</v>
      </c>
      <c r="F141" s="544"/>
      <c r="G141" s="507"/>
      <c r="H141" s="507"/>
    </row>
    <row r="142" spans="1:8" s="190" customFormat="1">
      <c r="A142" s="544"/>
      <c r="B142" s="544"/>
      <c r="C142" s="859" t="s">
        <v>3</v>
      </c>
      <c r="D142" s="545"/>
      <c r="E142" s="678"/>
      <c r="F142" s="544"/>
      <c r="G142" s="507"/>
    </row>
    <row r="143" spans="1:8" s="190" customFormat="1">
      <c r="A143" s="195"/>
      <c r="B143" s="195"/>
      <c r="C143" s="195"/>
      <c r="D143" s="501"/>
      <c r="E143" s="196"/>
      <c r="F143" s="195"/>
      <c r="G143" s="499"/>
      <c r="H143" s="185"/>
    </row>
    <row r="144" spans="1:8">
      <c r="A144" s="195"/>
      <c r="B144" s="195"/>
      <c r="E144" s="196"/>
      <c r="F144" s="195"/>
    </row>
    <row r="145" spans="1:6">
      <c r="A145" s="195"/>
      <c r="B145" s="195"/>
      <c r="E145" s="196"/>
      <c r="F145" s="195"/>
    </row>
    <row r="146" spans="1:6">
      <c r="A146" s="195"/>
      <c r="B146" s="195"/>
      <c r="E146" s="196"/>
      <c r="F146" s="195"/>
    </row>
    <row r="147" spans="1:6">
      <c r="A147" s="195"/>
      <c r="B147" s="195"/>
      <c r="E147" s="196"/>
      <c r="F147" s="195"/>
    </row>
    <row r="148" spans="1:6">
      <c r="A148" s="195"/>
      <c r="B148" s="195"/>
      <c r="E148" s="196"/>
      <c r="F148" s="195"/>
    </row>
    <row r="149" spans="1:6">
      <c r="A149" s="195"/>
      <c r="B149" s="195"/>
      <c r="E149" s="196"/>
      <c r="F149" s="195"/>
    </row>
    <row r="150" spans="1:6">
      <c r="A150" s="195"/>
      <c r="B150" s="195"/>
      <c r="E150" s="196"/>
      <c r="F150" s="195"/>
    </row>
    <row r="151" spans="1:6">
      <c r="A151" s="195"/>
      <c r="B151" s="195"/>
      <c r="E151" s="196"/>
      <c r="F151" s="195"/>
    </row>
    <row r="152" spans="1:6">
      <c r="A152" s="195"/>
      <c r="B152" s="195"/>
      <c r="E152" s="196"/>
      <c r="F152" s="195"/>
    </row>
    <row r="153" spans="1:6">
      <c r="A153" s="195"/>
      <c r="B153" s="195"/>
      <c r="E153" s="196"/>
      <c r="F153" s="195"/>
    </row>
    <row r="154" spans="1:6">
      <c r="A154" s="195"/>
      <c r="B154" s="195"/>
      <c r="E154" s="196"/>
      <c r="F154" s="195"/>
    </row>
    <row r="155" spans="1:6">
      <c r="A155" s="195"/>
      <c r="B155" s="195"/>
      <c r="E155" s="196"/>
      <c r="F155" s="195"/>
    </row>
    <row r="156" spans="1:6">
      <c r="A156" s="195"/>
      <c r="B156" s="195"/>
      <c r="E156" s="196"/>
      <c r="F156" s="195"/>
    </row>
    <row r="157" spans="1:6">
      <c r="A157" s="195"/>
      <c r="B157" s="195"/>
      <c r="E157" s="196"/>
      <c r="F157" s="195"/>
    </row>
    <row r="158" spans="1:6">
      <c r="A158" s="195"/>
      <c r="B158" s="195"/>
      <c r="E158" s="196"/>
      <c r="F158" s="195"/>
    </row>
    <row r="159" spans="1:6">
      <c r="A159" s="195"/>
      <c r="B159" s="195"/>
      <c r="E159" s="196"/>
      <c r="F159" s="195"/>
    </row>
    <row r="160" spans="1:6">
      <c r="A160" s="195"/>
      <c r="B160" s="195"/>
      <c r="E160" s="196"/>
      <c r="F160" s="195"/>
    </row>
    <row r="161" spans="1:8">
      <c r="A161" s="195"/>
      <c r="B161" s="195"/>
      <c r="E161" s="196"/>
      <c r="F161" s="195"/>
    </row>
    <row r="162" spans="1:8">
      <c r="A162" s="195"/>
      <c r="B162" s="195"/>
      <c r="E162" s="196"/>
      <c r="F162" s="195"/>
    </row>
    <row r="163" spans="1:8">
      <c r="A163" s="195"/>
      <c r="B163" s="195"/>
      <c r="E163" s="196"/>
      <c r="F163" s="195"/>
    </row>
    <row r="164" spans="1:8">
      <c r="A164" s="195"/>
      <c r="B164" s="195"/>
      <c r="E164" s="196"/>
      <c r="F164" s="195"/>
    </row>
    <row r="165" spans="1:8">
      <c r="A165" s="195"/>
      <c r="B165" s="195"/>
      <c r="E165" s="196"/>
      <c r="F165" s="195"/>
    </row>
    <row r="166" spans="1:8">
      <c r="A166" s="195"/>
      <c r="B166" s="195"/>
      <c r="E166" s="196"/>
      <c r="F166" s="195"/>
    </row>
    <row r="167" spans="1:8">
      <c r="A167" s="195"/>
      <c r="B167" s="195"/>
      <c r="E167" s="196"/>
      <c r="F167" s="195"/>
    </row>
    <row r="168" spans="1:8">
      <c r="A168" s="544"/>
      <c r="B168" s="544"/>
      <c r="C168" s="544"/>
      <c r="D168" s="545"/>
      <c r="E168" s="546"/>
      <c r="F168" s="544"/>
      <c r="G168" s="507"/>
      <c r="H168" s="190"/>
    </row>
    <row r="177" spans="1:8" s="190" customFormat="1">
      <c r="A177" s="185"/>
      <c r="B177" s="185"/>
      <c r="C177" s="195"/>
      <c r="D177" s="501"/>
      <c r="E177" s="199"/>
      <c r="F177" s="185"/>
      <c r="G177" s="499"/>
      <c r="H177" s="185"/>
    </row>
  </sheetData>
  <mergeCells count="4">
    <mergeCell ref="C1:E1"/>
    <mergeCell ref="B3:E3"/>
    <mergeCell ref="A7:C7"/>
    <mergeCell ref="B90:C90"/>
  </mergeCells>
  <phoneticPr fontId="13" type="noConversion"/>
  <printOptions horizontalCentered="1"/>
  <pageMargins left="0.15748031496062992" right="0.86" top="0.53" bottom="0.59" header="0.43307086614173229" footer="0.28999999999999998"/>
  <pageSetup paperSize="8" scale="43" orientation="portrait" r:id="rId1"/>
  <headerFooter alignWithMargins="0">
    <oddFooter>&amp;P. oldal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17"/>
  <dimension ref="A1:E33"/>
  <sheetViews>
    <sheetView view="pageBreakPreview" zoomScale="60" zoomScaleNormal="60" workbookViewId="0">
      <selection activeCell="B38" sqref="B38"/>
    </sheetView>
  </sheetViews>
  <sheetFormatPr defaultRowHeight="20.25"/>
  <cols>
    <col min="1" max="1" width="2.7109375" style="200" customWidth="1"/>
    <col min="2" max="2" width="101.42578125" style="200" customWidth="1"/>
    <col min="3" max="3" width="22.42578125" style="202" customWidth="1"/>
    <col min="4" max="4" width="10.140625" style="180" bestFit="1" customWidth="1"/>
    <col min="5" max="5" width="11.7109375" style="180" bestFit="1" customWidth="1"/>
    <col min="6" max="16384" width="9.140625" style="180"/>
  </cols>
  <sheetData>
    <row r="1" spans="1:5" ht="20.45" customHeight="1">
      <c r="A1" s="476"/>
      <c r="B1" s="1059" t="s">
        <v>2</v>
      </c>
      <c r="C1" s="1059"/>
      <c r="D1" s="283"/>
    </row>
    <row r="2" spans="1:5" ht="20.45" customHeight="1">
      <c r="A2" s="476"/>
      <c r="B2" s="477"/>
      <c r="C2" s="477"/>
    </row>
    <row r="3" spans="1:5" ht="15">
      <c r="A3" s="476"/>
      <c r="B3" s="478"/>
      <c r="C3" s="479"/>
    </row>
    <row r="4" spans="1:5" ht="15.75">
      <c r="A4" s="476"/>
      <c r="B4" s="1056" t="s">
        <v>484</v>
      </c>
      <c r="C4" s="1056"/>
      <c r="D4" s="201"/>
      <c r="E4" s="201"/>
    </row>
    <row r="5" spans="1:5" ht="15.75">
      <c r="A5" s="476"/>
      <c r="B5" s="480"/>
      <c r="C5" s="480"/>
      <c r="D5" s="201"/>
      <c r="E5" s="201"/>
    </row>
    <row r="6" spans="1:5" ht="15.75">
      <c r="A6" s="476"/>
      <c r="B6" s="480"/>
      <c r="C6" s="480"/>
      <c r="D6" s="201"/>
      <c r="E6" s="201"/>
    </row>
    <row r="7" spans="1:5" ht="15.75">
      <c r="A7" s="476"/>
      <c r="B7" s="481"/>
      <c r="C7" s="480"/>
      <c r="D7" s="201"/>
      <c r="E7" s="201"/>
    </row>
    <row r="8" spans="1:5" ht="15.75">
      <c r="A8" s="476"/>
      <c r="B8" s="480"/>
      <c r="C8" s="482" t="s">
        <v>443</v>
      </c>
      <c r="D8" s="153"/>
      <c r="E8" s="153"/>
    </row>
    <row r="9" spans="1:5" ht="34.15" customHeight="1">
      <c r="A9" s="1057" t="s">
        <v>444</v>
      </c>
      <c r="B9" s="1058"/>
      <c r="C9" s="483">
        <v>0</v>
      </c>
    </row>
    <row r="10" spans="1:5" s="156" customFormat="1" ht="15.75">
      <c r="A10" s="445"/>
      <c r="B10" s="484"/>
      <c r="C10" s="318"/>
    </row>
    <row r="11" spans="1:5" s="156" customFormat="1" ht="15.75">
      <c r="A11" s="445" t="s">
        <v>529</v>
      </c>
      <c r="B11" s="484"/>
      <c r="C11" s="318">
        <f>C12</f>
        <v>362293</v>
      </c>
    </row>
    <row r="12" spans="1:5" s="156" customFormat="1" ht="15.75" hidden="1">
      <c r="A12" s="444"/>
      <c r="B12" s="485" t="s">
        <v>532</v>
      </c>
      <c r="C12" s="321">
        <v>362293</v>
      </c>
    </row>
    <row r="13" spans="1:5" s="156" customFormat="1" ht="15.75">
      <c r="A13" s="444"/>
      <c r="B13" s="485"/>
      <c r="C13" s="321"/>
    </row>
    <row r="14" spans="1:5" s="156" customFormat="1" ht="15.75">
      <c r="A14" s="444" t="s">
        <v>593</v>
      </c>
      <c r="B14" s="485"/>
      <c r="C14" s="321">
        <f>C15+C16</f>
        <v>34505449</v>
      </c>
    </row>
    <row r="15" spans="1:5" s="156" customFormat="1" ht="15.75" hidden="1">
      <c r="A15" s="444"/>
      <c r="B15" s="577" t="s">
        <v>594</v>
      </c>
      <c r="C15" s="578">
        <v>13267310</v>
      </c>
    </row>
    <row r="16" spans="1:5" s="156" customFormat="1" ht="15.75" hidden="1">
      <c r="A16" s="444"/>
      <c r="B16" s="577" t="s">
        <v>701</v>
      </c>
      <c r="C16" s="578">
        <v>21238139</v>
      </c>
    </row>
    <row r="17" spans="1:3" s="156" customFormat="1" ht="15.75">
      <c r="A17" s="444"/>
      <c r="B17" s="577"/>
      <c r="C17" s="578"/>
    </row>
    <row r="18" spans="1:3" s="156" customFormat="1" ht="15.75">
      <c r="A18" s="444" t="s">
        <v>747</v>
      </c>
      <c r="B18" s="577"/>
      <c r="C18" s="321">
        <f>C19</f>
        <v>-4017139</v>
      </c>
    </row>
    <row r="19" spans="1:3" s="156" customFormat="1" ht="15.75" hidden="1">
      <c r="A19" s="444"/>
      <c r="B19" s="577" t="s">
        <v>701</v>
      </c>
      <c r="C19" s="578">
        <v>-4017139</v>
      </c>
    </row>
    <row r="20" spans="1:3" s="156" customFormat="1" ht="15.75">
      <c r="A20" s="444"/>
      <c r="B20" s="577"/>
      <c r="C20" s="578"/>
    </row>
    <row r="21" spans="1:3" s="156" customFormat="1" ht="15.75">
      <c r="A21" s="444" t="s">
        <v>855</v>
      </c>
      <c r="B21" s="577"/>
      <c r="C21" s="321">
        <f>C22+C23</f>
        <v>-11040792</v>
      </c>
    </row>
    <row r="22" spans="1:3" s="156" customFormat="1" ht="15">
      <c r="A22" s="269"/>
      <c r="B22" s="478" t="s">
        <v>849</v>
      </c>
      <c r="C22" s="822">
        <v>-7221000</v>
      </c>
    </row>
    <row r="23" spans="1:3" s="156" customFormat="1" ht="15">
      <c r="A23" s="824"/>
      <c r="B23" s="825" t="s">
        <v>852</v>
      </c>
      <c r="C23" s="723">
        <v>-3819792</v>
      </c>
    </row>
    <row r="24" spans="1:3" s="156" customFormat="1" ht="15.75">
      <c r="A24" s="444"/>
      <c r="B24" s="577"/>
      <c r="C24" s="578"/>
    </row>
    <row r="25" spans="1:3" s="156" customFormat="1" ht="15.75">
      <c r="A25" s="444" t="s">
        <v>856</v>
      </c>
      <c r="B25" s="485"/>
      <c r="C25" s="321">
        <f>C9+C11+C14+C18+C21</f>
        <v>19809811</v>
      </c>
    </row>
    <row r="26" spans="1:3" s="150" customFormat="1" ht="12.75"/>
    <row r="27" spans="1:3" ht="15.75">
      <c r="A27" s="441" t="s">
        <v>857</v>
      </c>
      <c r="B27" s="823"/>
      <c r="C27" s="623">
        <f>C28+C29+C30</f>
        <v>-1077657</v>
      </c>
    </row>
    <row r="28" spans="1:3" ht="15">
      <c r="A28" s="824"/>
      <c r="B28" s="825" t="s">
        <v>850</v>
      </c>
      <c r="C28" s="723">
        <v>-72250</v>
      </c>
    </row>
    <row r="29" spans="1:3" ht="15">
      <c r="A29" s="824"/>
      <c r="B29" s="825" t="s">
        <v>851</v>
      </c>
      <c r="C29" s="723">
        <v>-60000</v>
      </c>
    </row>
    <row r="30" spans="1:3" ht="15">
      <c r="A30" s="826"/>
      <c r="B30" s="577" t="s">
        <v>853</v>
      </c>
      <c r="C30" s="578">
        <v>-945407</v>
      </c>
    </row>
    <row r="31" spans="1:3" s="476" customFormat="1" ht="15.6" customHeight="1">
      <c r="A31" s="444" t="s">
        <v>854</v>
      </c>
      <c r="B31" s="485"/>
      <c r="C31" s="321">
        <f>C25+C27</f>
        <v>18732154</v>
      </c>
    </row>
    <row r="33" spans="2:2">
      <c r="B33" s="859" t="s">
        <v>3</v>
      </c>
    </row>
  </sheetData>
  <mergeCells count="3">
    <mergeCell ref="B4:C4"/>
    <mergeCell ref="A9:B9"/>
    <mergeCell ref="B1:C1"/>
  </mergeCells>
  <phoneticPr fontId="13" type="noConversion"/>
  <printOptions horizontalCentered="1"/>
  <pageMargins left="0.35" right="0.28000000000000003" top="1.1299999999999999" bottom="0.47" header="0.94" footer="0.51181102362204722"/>
  <pageSetup paperSize="9"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J17"/>
  <sheetViews>
    <sheetView zoomScaleNormal="100" workbookViewId="0">
      <selection activeCell="E2" sqref="E2:J2"/>
    </sheetView>
  </sheetViews>
  <sheetFormatPr defaultRowHeight="12.75"/>
  <cols>
    <col min="1" max="1" width="10.7109375" style="887" customWidth="1"/>
    <col min="2" max="2" width="47.140625" style="887" customWidth="1"/>
    <col min="3" max="3" width="13.28515625" style="887" customWidth="1"/>
    <col min="4" max="4" width="11.42578125" style="887" customWidth="1"/>
    <col min="5" max="6" width="11.5703125" style="888" customWidth="1"/>
    <col min="7" max="8" width="12.28515625" style="887" customWidth="1"/>
    <col min="9" max="9" width="14.28515625" style="887" customWidth="1"/>
    <col min="10" max="10" width="11.42578125" style="887" customWidth="1"/>
    <col min="11" max="16384" width="9.140625" style="887"/>
  </cols>
  <sheetData>
    <row r="2" spans="1:10">
      <c r="E2" s="1063" t="s">
        <v>42</v>
      </c>
      <c r="F2" s="1063"/>
      <c r="G2" s="1063"/>
      <c r="H2" s="1063"/>
      <c r="I2" s="1063"/>
      <c r="J2" s="1063"/>
    </row>
    <row r="3" spans="1:10">
      <c r="A3" s="1060" t="s">
        <v>43</v>
      </c>
      <c r="B3" s="1060"/>
      <c r="C3" s="1060"/>
      <c r="D3" s="1060"/>
      <c r="E3" s="1060"/>
      <c r="F3" s="1060"/>
      <c r="G3" s="1060"/>
      <c r="H3" s="1060"/>
      <c r="I3" s="1060"/>
      <c r="J3" s="1060"/>
    </row>
    <row r="4" spans="1:10">
      <c r="G4" s="1064" t="s">
        <v>103</v>
      </c>
      <c r="H4" s="1064"/>
      <c r="I4" s="1064"/>
      <c r="J4" s="1064"/>
    </row>
    <row r="5" spans="1:10" s="891" customFormat="1" ht="76.5">
      <c r="A5" s="889" t="s">
        <v>44</v>
      </c>
      <c r="B5" s="889" t="s">
        <v>45</v>
      </c>
      <c r="C5" s="889" t="s">
        <v>46</v>
      </c>
      <c r="D5" s="889" t="s">
        <v>47</v>
      </c>
      <c r="E5" s="890" t="s">
        <v>48</v>
      </c>
      <c r="F5" s="890" t="s">
        <v>49</v>
      </c>
      <c r="G5" s="889" t="s">
        <v>50</v>
      </c>
      <c r="H5" s="889" t="s">
        <v>51</v>
      </c>
      <c r="I5" s="889" t="s">
        <v>52</v>
      </c>
      <c r="J5" s="889" t="s">
        <v>53</v>
      </c>
    </row>
    <row r="6" spans="1:10" ht="27" customHeight="1">
      <c r="A6" s="892" t="s">
        <v>54</v>
      </c>
      <c r="B6" s="892" t="s">
        <v>55</v>
      </c>
      <c r="C6" s="893">
        <v>189526</v>
      </c>
      <c r="D6" s="893">
        <v>0</v>
      </c>
      <c r="E6" s="894">
        <v>0</v>
      </c>
      <c r="F6" s="894">
        <v>0</v>
      </c>
      <c r="G6" s="893">
        <v>0</v>
      </c>
      <c r="H6" s="893"/>
      <c r="I6" s="893">
        <v>189526</v>
      </c>
      <c r="J6" s="893">
        <v>189526</v>
      </c>
    </row>
    <row r="7" spans="1:10" ht="25.9" customHeight="1">
      <c r="A7" s="892" t="s">
        <v>56</v>
      </c>
      <c r="B7" s="892" t="s">
        <v>57</v>
      </c>
      <c r="C7" s="893">
        <v>1451862</v>
      </c>
      <c r="D7" s="893">
        <v>217779</v>
      </c>
      <c r="E7" s="894">
        <v>120147</v>
      </c>
      <c r="F7" s="894">
        <v>66081</v>
      </c>
      <c r="G7" s="893">
        <v>119779</v>
      </c>
      <c r="H7" s="893">
        <v>64310</v>
      </c>
      <c r="I7" s="893">
        <v>1234083</v>
      </c>
      <c r="J7" s="893">
        <v>1451862</v>
      </c>
    </row>
    <row r="8" spans="1:10" ht="38.25">
      <c r="A8" s="892" t="s">
        <v>58</v>
      </c>
      <c r="B8" s="892" t="s">
        <v>59</v>
      </c>
      <c r="C8" s="893">
        <v>914084</v>
      </c>
      <c r="D8" s="893">
        <v>184683</v>
      </c>
      <c r="E8" s="894">
        <v>158947</v>
      </c>
      <c r="F8" s="894">
        <v>0</v>
      </c>
      <c r="G8" s="893">
        <v>0</v>
      </c>
      <c r="H8" s="893">
        <v>6047</v>
      </c>
      <c r="I8" s="893">
        <v>729401</v>
      </c>
      <c r="J8" s="893">
        <v>914084</v>
      </c>
    </row>
    <row r="9" spans="1:10" ht="43.9" customHeight="1">
      <c r="A9" s="892" t="s">
        <v>60</v>
      </c>
      <c r="B9" s="892" t="s">
        <v>74</v>
      </c>
      <c r="C9" s="893">
        <v>32111</v>
      </c>
      <c r="D9" s="893">
        <v>3211</v>
      </c>
      <c r="E9" s="894">
        <v>2957</v>
      </c>
      <c r="F9" s="894">
        <v>0</v>
      </c>
      <c r="G9" s="893">
        <v>0</v>
      </c>
      <c r="H9" s="893">
        <v>0</v>
      </c>
      <c r="I9" s="893">
        <v>28900</v>
      </c>
      <c r="J9" s="893">
        <v>32111</v>
      </c>
    </row>
    <row r="10" spans="1:10" ht="49.5">
      <c r="A10" s="892" t="s">
        <v>61</v>
      </c>
      <c r="B10" s="892" t="s">
        <v>75</v>
      </c>
      <c r="C10" s="893">
        <v>0</v>
      </c>
      <c r="D10" s="893">
        <v>0</v>
      </c>
      <c r="E10" s="894">
        <v>683</v>
      </c>
      <c r="F10" s="894">
        <v>0</v>
      </c>
      <c r="G10" s="893">
        <v>0</v>
      </c>
      <c r="H10" s="893">
        <v>0</v>
      </c>
      <c r="I10" s="893">
        <v>0</v>
      </c>
      <c r="J10" s="893">
        <v>0</v>
      </c>
    </row>
    <row r="11" spans="1:10" ht="38.25">
      <c r="A11" s="892" t="s">
        <v>62</v>
      </c>
      <c r="B11" s="892" t="s">
        <v>63</v>
      </c>
      <c r="C11" s="893">
        <v>395883</v>
      </c>
      <c r="D11" s="893">
        <v>51637</v>
      </c>
      <c r="E11" s="894">
        <v>47527</v>
      </c>
      <c r="F11" s="894">
        <v>0</v>
      </c>
      <c r="G11" s="893">
        <v>0</v>
      </c>
      <c r="H11" s="893">
        <v>0</v>
      </c>
      <c r="I11" s="893">
        <v>344246</v>
      </c>
      <c r="J11" s="893">
        <v>395883</v>
      </c>
    </row>
    <row r="12" spans="1:10" ht="51">
      <c r="A12" s="892" t="s">
        <v>64</v>
      </c>
      <c r="B12" s="892" t="s">
        <v>76</v>
      </c>
      <c r="C12" s="893">
        <v>169447</v>
      </c>
      <c r="D12" s="893">
        <v>36346</v>
      </c>
      <c r="E12" s="894">
        <v>36346</v>
      </c>
      <c r="F12" s="894">
        <v>0</v>
      </c>
      <c r="G12" s="893">
        <v>0</v>
      </c>
      <c r="H12" s="893">
        <v>0</v>
      </c>
      <c r="I12" s="893">
        <v>133101</v>
      </c>
      <c r="J12" s="893">
        <v>169447</v>
      </c>
    </row>
    <row r="13" spans="1:10" ht="25.5">
      <c r="A13" s="892" t="s">
        <v>65</v>
      </c>
      <c r="B13" s="892" t="s">
        <v>66</v>
      </c>
      <c r="C13" s="893">
        <v>126243</v>
      </c>
      <c r="D13" s="893">
        <v>6312</v>
      </c>
      <c r="E13" s="894">
        <v>6202</v>
      </c>
      <c r="F13" s="894">
        <v>0</v>
      </c>
      <c r="G13" s="893">
        <v>0</v>
      </c>
      <c r="H13" s="893">
        <v>0</v>
      </c>
      <c r="I13" s="893">
        <v>119931</v>
      </c>
      <c r="J13" s="893">
        <v>126243</v>
      </c>
    </row>
    <row r="14" spans="1:10" ht="25.5">
      <c r="A14" s="892" t="s">
        <v>67</v>
      </c>
      <c r="B14" s="892" t="s">
        <v>68</v>
      </c>
      <c r="C14" s="893">
        <v>732656</v>
      </c>
      <c r="D14" s="893">
        <v>109898</v>
      </c>
      <c r="E14" s="894">
        <v>45385</v>
      </c>
      <c r="F14" s="894">
        <v>0</v>
      </c>
      <c r="G14" s="893">
        <v>0</v>
      </c>
      <c r="H14" s="893">
        <v>0</v>
      </c>
      <c r="I14" s="893">
        <v>622758</v>
      </c>
      <c r="J14" s="893">
        <v>732656</v>
      </c>
    </row>
    <row r="15" spans="1:10" ht="51">
      <c r="A15" s="895" t="s">
        <v>69</v>
      </c>
      <c r="B15" s="896" t="s">
        <v>70</v>
      </c>
      <c r="C15" s="893">
        <v>20361</v>
      </c>
      <c r="D15" s="893">
        <v>3054</v>
      </c>
      <c r="E15" s="894">
        <v>3054</v>
      </c>
      <c r="F15" s="894">
        <v>0</v>
      </c>
      <c r="G15" s="893">
        <v>0</v>
      </c>
      <c r="H15" s="893">
        <v>0</v>
      </c>
      <c r="I15" s="893">
        <v>17307</v>
      </c>
      <c r="J15" s="893">
        <v>20361</v>
      </c>
    </row>
    <row r="16" spans="1:10" ht="25.5">
      <c r="A16" s="895" t="s">
        <v>71</v>
      </c>
      <c r="B16" s="892" t="s">
        <v>72</v>
      </c>
      <c r="C16" s="893">
        <v>1937897</v>
      </c>
      <c r="D16" s="893">
        <v>315683</v>
      </c>
      <c r="E16" s="894">
        <v>114368</v>
      </c>
      <c r="F16" s="894">
        <v>0</v>
      </c>
      <c r="G16" s="893">
        <v>0</v>
      </c>
      <c r="H16" s="893">
        <v>0</v>
      </c>
      <c r="I16" s="893">
        <v>1622213</v>
      </c>
      <c r="J16" s="893">
        <v>1937897</v>
      </c>
    </row>
    <row r="17" spans="1:10">
      <c r="A17" s="1061" t="s">
        <v>73</v>
      </c>
      <c r="B17" s="1062"/>
      <c r="C17" s="897">
        <f t="shared" ref="C17:J17" si="0">SUM(C6:C16)</f>
        <v>5970070</v>
      </c>
      <c r="D17" s="897">
        <f t="shared" si="0"/>
        <v>928603</v>
      </c>
      <c r="E17" s="897">
        <f t="shared" si="0"/>
        <v>535616</v>
      </c>
      <c r="F17" s="897">
        <f t="shared" si="0"/>
        <v>66081</v>
      </c>
      <c r="G17" s="897">
        <f t="shared" si="0"/>
        <v>119779</v>
      </c>
      <c r="H17" s="897">
        <f t="shared" si="0"/>
        <v>70357</v>
      </c>
      <c r="I17" s="897">
        <f t="shared" si="0"/>
        <v>5041466</v>
      </c>
      <c r="J17" s="897">
        <f t="shared" si="0"/>
        <v>5970070</v>
      </c>
    </row>
  </sheetData>
  <mergeCells count="4">
    <mergeCell ref="A3:J3"/>
    <mergeCell ref="A17:B17"/>
    <mergeCell ref="E2:J2"/>
    <mergeCell ref="G4:J4"/>
  </mergeCells>
  <phoneticPr fontId="1" type="noConversion"/>
  <printOptions horizontalCentered="1" verticalCentered="1"/>
  <pageMargins left="0.39370078740157483" right="0.39370078740157483" top="0.78740157480314965" bottom="0.39370078740157483" header="1.0629921259842521" footer="0.51181102362204722"/>
  <pageSetup paperSize="9" scale="8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Munka18"/>
  <dimension ref="A1:C14"/>
  <sheetViews>
    <sheetView workbookViewId="0">
      <selection activeCell="C16" sqref="C16"/>
    </sheetView>
  </sheetViews>
  <sheetFormatPr defaultRowHeight="12.75"/>
  <cols>
    <col min="1" max="1" width="35.7109375" style="873" customWidth="1"/>
    <col min="2" max="2" width="47.28515625" style="873" customWidth="1"/>
    <col min="3" max="3" width="18.140625" style="873" customWidth="1"/>
    <col min="4" max="16384" width="9.140625" style="873"/>
  </cols>
  <sheetData>
    <row r="1" spans="1:3">
      <c r="C1" s="857" t="s">
        <v>77</v>
      </c>
    </row>
    <row r="4" spans="1:3" ht="15.75">
      <c r="A4" s="993" t="s">
        <v>78</v>
      </c>
      <c r="B4" s="993"/>
      <c r="C4" s="993"/>
    </row>
    <row r="5" spans="1:3" ht="15.75">
      <c r="A5" s="1065" t="s">
        <v>347</v>
      </c>
      <c r="B5" s="1065"/>
      <c r="C5" s="1065"/>
    </row>
    <row r="8" spans="1:3">
      <c r="C8" s="898" t="s">
        <v>103</v>
      </c>
    </row>
    <row r="9" spans="1:3" ht="38.25">
      <c r="A9" s="899" t="s">
        <v>79</v>
      </c>
      <c r="B9" s="899" t="s">
        <v>80</v>
      </c>
      <c r="C9" s="899" t="s">
        <v>81</v>
      </c>
    </row>
    <row r="10" spans="1:3" s="150" customFormat="1">
      <c r="A10" s="900" t="s">
        <v>82</v>
      </c>
      <c r="B10" s="900" t="s">
        <v>377</v>
      </c>
      <c r="C10" s="900" t="s">
        <v>378</v>
      </c>
    </row>
    <row r="11" spans="1:3">
      <c r="A11" s="901" t="s">
        <v>83</v>
      </c>
      <c r="B11" s="902" t="s">
        <v>84</v>
      </c>
      <c r="C11" s="903">
        <v>10355</v>
      </c>
    </row>
    <row r="12" spans="1:3">
      <c r="A12" s="901" t="s">
        <v>85</v>
      </c>
      <c r="B12" s="902" t="s">
        <v>86</v>
      </c>
      <c r="C12" s="904">
        <v>13491</v>
      </c>
    </row>
    <row r="13" spans="1:3" ht="31.5">
      <c r="A13" s="905" t="s">
        <v>87</v>
      </c>
      <c r="B13" s="906" t="s">
        <v>88</v>
      </c>
      <c r="C13" s="907">
        <v>1182</v>
      </c>
    </row>
    <row r="14" spans="1:3">
      <c r="A14" s="908"/>
      <c r="B14" s="909" t="s">
        <v>89</v>
      </c>
      <c r="C14" s="910">
        <f>SUM(C11:C13)</f>
        <v>25028</v>
      </c>
    </row>
  </sheetData>
  <mergeCells count="2">
    <mergeCell ref="A4:C4"/>
    <mergeCell ref="A5:C5"/>
  </mergeCells>
  <phoneticPr fontId="13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9"/>
  <dimension ref="A1:AL179"/>
  <sheetViews>
    <sheetView view="pageBreakPreview" topLeftCell="A37" zoomScale="75" zoomScaleNormal="100" zoomScaleSheetLayoutView="75" workbookViewId="0">
      <selection activeCell="A54" sqref="A54"/>
    </sheetView>
  </sheetViews>
  <sheetFormatPr defaultRowHeight="15"/>
  <cols>
    <col min="1" max="1" width="2.85546875" style="104" customWidth="1"/>
    <col min="2" max="2" width="3.140625" style="104" customWidth="1"/>
    <col min="3" max="3" width="4.5703125" style="104" customWidth="1"/>
    <col min="4" max="4" width="4" style="104" customWidth="1"/>
    <col min="5" max="5" width="3.42578125" style="104" customWidth="1"/>
    <col min="6" max="6" width="2.7109375" style="105" customWidth="1"/>
    <col min="7" max="7" width="3.28515625" style="105" customWidth="1"/>
    <col min="8" max="8" width="3.140625" style="105" customWidth="1"/>
    <col min="9" max="9" width="4.85546875" style="105" customWidth="1"/>
    <col min="10" max="10" width="2.42578125" style="105" customWidth="1"/>
    <col min="11" max="11" width="2.85546875" style="105" customWidth="1"/>
    <col min="12" max="12" width="52.5703125" style="105" customWidth="1"/>
    <col min="13" max="13" width="14.7109375" style="106" customWidth="1"/>
    <col min="14" max="14" width="10.5703125" style="106" hidden="1" customWidth="1"/>
    <col min="15" max="15" width="12.28515625" style="106" hidden="1" customWidth="1"/>
    <col min="16" max="16" width="11.7109375" style="106" hidden="1" customWidth="1"/>
    <col min="17" max="17" width="9.140625" style="106" hidden="1" customWidth="1"/>
    <col min="18" max="19" width="12.28515625" style="488" hidden="1" customWidth="1"/>
    <col min="20" max="20" width="9.140625" style="106" hidden="1" customWidth="1"/>
    <col min="21" max="21" width="9.140625" style="617" hidden="1" customWidth="1"/>
    <col min="22" max="22" width="11.7109375" style="106" hidden="1" customWidth="1"/>
    <col min="23" max="23" width="11" style="106" customWidth="1"/>
    <col min="24" max="24" width="10.7109375" style="106" hidden="1" customWidth="1"/>
    <col min="25" max="25" width="6.28515625" style="106" hidden="1" customWidth="1"/>
    <col min="26" max="26" width="10.7109375" style="106" customWidth="1"/>
    <col min="27" max="27" width="12.28515625" style="106" customWidth="1"/>
    <col min="28" max="16384" width="9.140625" style="105"/>
  </cols>
  <sheetData>
    <row r="1" spans="1:38" ht="15" customHeight="1">
      <c r="L1" s="920" t="s">
        <v>888</v>
      </c>
      <c r="M1" s="920"/>
      <c r="N1" s="921"/>
      <c r="O1" s="921"/>
      <c r="P1" s="913"/>
      <c r="Q1" s="913"/>
      <c r="R1" s="913"/>
      <c r="S1" s="913"/>
      <c r="T1" s="913"/>
      <c r="U1" s="913"/>
      <c r="V1" s="913"/>
      <c r="W1" s="913"/>
      <c r="X1" s="913"/>
      <c r="Y1" s="913"/>
      <c r="Z1" s="913"/>
      <c r="AA1" s="913"/>
    </row>
    <row r="3" spans="1:38" ht="15.75">
      <c r="A3" s="919" t="s">
        <v>350</v>
      </c>
      <c r="B3" s="919"/>
      <c r="C3" s="919"/>
      <c r="D3" s="919"/>
      <c r="E3" s="919"/>
      <c r="F3" s="919"/>
      <c r="G3" s="919"/>
      <c r="H3" s="919"/>
      <c r="I3" s="919"/>
      <c r="J3" s="919"/>
      <c r="K3" s="919"/>
      <c r="L3" s="919"/>
      <c r="M3" s="913"/>
      <c r="N3" s="913"/>
      <c r="O3" s="913"/>
      <c r="P3" s="913"/>
      <c r="Q3" s="913"/>
      <c r="R3" s="913"/>
      <c r="S3" s="913"/>
      <c r="T3" s="913"/>
      <c r="U3" s="913"/>
      <c r="V3" s="913"/>
      <c r="W3" s="913"/>
      <c r="X3" s="913"/>
      <c r="Y3" s="913"/>
      <c r="Z3" s="913"/>
      <c r="AA3" s="913"/>
    </row>
    <row r="4" spans="1:38" ht="15.7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284"/>
      <c r="N4" s="291"/>
      <c r="O4" s="291"/>
    </row>
    <row r="5" spans="1:38" ht="15.75">
      <c r="L5" s="917" t="s">
        <v>103</v>
      </c>
      <c r="M5" s="917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8"/>
      <c r="Z5" s="918"/>
      <c r="AA5" s="918"/>
    </row>
    <row r="6" spans="1:38" ht="95.25">
      <c r="A6" s="108" t="s">
        <v>104</v>
      </c>
      <c r="B6" s="108" t="s">
        <v>105</v>
      </c>
      <c r="C6" s="108" t="s">
        <v>106</v>
      </c>
      <c r="D6" s="108" t="s">
        <v>107</v>
      </c>
      <c r="E6" s="108" t="s">
        <v>108</v>
      </c>
      <c r="F6" s="108" t="s">
        <v>109</v>
      </c>
      <c r="G6" s="108" t="s">
        <v>110</v>
      </c>
      <c r="H6" s="108" t="s">
        <v>111</v>
      </c>
      <c r="I6" s="108" t="s">
        <v>112</v>
      </c>
      <c r="J6" s="108" t="s">
        <v>113</v>
      </c>
      <c r="K6" s="108" t="s">
        <v>114</v>
      </c>
      <c r="L6" s="651" t="s">
        <v>115</v>
      </c>
      <c r="M6" s="652" t="s">
        <v>528</v>
      </c>
      <c r="N6" s="652" t="s">
        <v>432</v>
      </c>
      <c r="O6" s="653" t="s">
        <v>259</v>
      </c>
      <c r="P6" s="128" t="s">
        <v>547</v>
      </c>
      <c r="Q6" s="128" t="s">
        <v>548</v>
      </c>
      <c r="R6" s="654" t="s">
        <v>432</v>
      </c>
      <c r="S6" s="654" t="s">
        <v>592</v>
      </c>
      <c r="T6" s="128" t="s">
        <v>706</v>
      </c>
      <c r="U6" s="650" t="s">
        <v>548</v>
      </c>
      <c r="V6" s="670" t="s">
        <v>432</v>
      </c>
      <c r="W6" s="670" t="s">
        <v>732</v>
      </c>
      <c r="X6" s="713" t="s">
        <v>815</v>
      </c>
      <c r="Y6" s="713" t="s">
        <v>260</v>
      </c>
      <c r="Z6" s="713" t="s">
        <v>432</v>
      </c>
      <c r="AA6" s="713" t="s">
        <v>832</v>
      </c>
    </row>
    <row r="7" spans="1:38" s="7" customFormat="1">
      <c r="A7" s="130" t="s">
        <v>376</v>
      </c>
      <c r="B7" s="130" t="s">
        <v>377</v>
      </c>
      <c r="C7" s="130" t="s">
        <v>378</v>
      </c>
      <c r="D7" s="130" t="s">
        <v>379</v>
      </c>
      <c r="E7" s="130" t="s">
        <v>380</v>
      </c>
      <c r="F7" s="130" t="s">
        <v>381</v>
      </c>
      <c r="G7" s="130" t="s">
        <v>382</v>
      </c>
      <c r="H7" s="130" t="s">
        <v>383</v>
      </c>
      <c r="I7" s="130" t="s">
        <v>384</v>
      </c>
      <c r="J7" s="130" t="s">
        <v>385</v>
      </c>
      <c r="K7" s="130" t="s">
        <v>386</v>
      </c>
      <c r="L7" s="130" t="s">
        <v>387</v>
      </c>
      <c r="M7" s="131" t="s">
        <v>388</v>
      </c>
      <c r="N7" s="285" t="s">
        <v>389</v>
      </c>
      <c r="O7" s="285" t="s">
        <v>389</v>
      </c>
      <c r="P7" s="131" t="s">
        <v>390</v>
      </c>
      <c r="Q7" s="131" t="s">
        <v>546</v>
      </c>
      <c r="R7" s="489" t="s">
        <v>390</v>
      </c>
      <c r="S7" s="489" t="s">
        <v>389</v>
      </c>
      <c r="T7" s="131" t="s">
        <v>390</v>
      </c>
      <c r="U7" s="581" t="s">
        <v>546</v>
      </c>
      <c r="V7" s="131" t="s">
        <v>390</v>
      </c>
      <c r="W7" s="131" t="s">
        <v>389</v>
      </c>
      <c r="X7" s="131" t="s">
        <v>390</v>
      </c>
      <c r="Y7" s="131" t="s">
        <v>546</v>
      </c>
      <c r="Z7" s="131" t="s">
        <v>390</v>
      </c>
      <c r="AA7" s="786" t="s">
        <v>546</v>
      </c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</row>
    <row r="8" spans="1:38">
      <c r="A8" s="104" t="s">
        <v>117</v>
      </c>
      <c r="G8" s="105" t="s">
        <v>118</v>
      </c>
      <c r="N8" s="110"/>
      <c r="O8" s="110"/>
      <c r="P8" s="110"/>
      <c r="Q8" s="110"/>
      <c r="R8" s="490"/>
      <c r="S8" s="490"/>
      <c r="T8" s="110"/>
      <c r="U8" s="618"/>
      <c r="V8" s="110"/>
      <c r="W8" s="110"/>
      <c r="X8" s="110"/>
      <c r="Y8" s="110"/>
      <c r="Z8" s="110"/>
      <c r="AA8" s="110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</row>
    <row r="9" spans="1:38">
      <c r="D9" s="104" t="s">
        <v>117</v>
      </c>
      <c r="J9" s="105" t="s">
        <v>218</v>
      </c>
    </row>
    <row r="10" spans="1:38">
      <c r="E10" s="109" t="s">
        <v>152</v>
      </c>
      <c r="K10" s="105" t="s">
        <v>219</v>
      </c>
      <c r="M10" s="106">
        <v>66514</v>
      </c>
      <c r="N10" s="106">
        <v>0</v>
      </c>
      <c r="O10" s="106">
        <f t="shared" ref="O10:O19" si="0">M10+N10</f>
        <v>66514</v>
      </c>
      <c r="P10" s="106">
        <v>44363</v>
      </c>
      <c r="Q10" s="106">
        <f>SUM(P10/O10)*100</f>
        <v>66.697236671978828</v>
      </c>
      <c r="R10" s="488">
        <v>267485</v>
      </c>
      <c r="S10" s="488">
        <f>O10+R10</f>
        <v>333999</v>
      </c>
      <c r="T10" s="106">
        <v>132025</v>
      </c>
      <c r="U10" s="617">
        <f>SUM(T10/S10)*100</f>
        <v>39.528561462758873</v>
      </c>
      <c r="V10" s="106">
        <v>188</v>
      </c>
      <c r="W10" s="106">
        <f>S10+V10</f>
        <v>334187</v>
      </c>
      <c r="X10" s="110">
        <v>216096</v>
      </c>
      <c r="Y10" s="110">
        <f>SUM(X10/W10)*100</f>
        <v>64.663197551071704</v>
      </c>
      <c r="Z10" s="106">
        <v>33768</v>
      </c>
      <c r="AA10" s="106">
        <f>W10+Z10</f>
        <v>367955</v>
      </c>
    </row>
    <row r="11" spans="1:38">
      <c r="E11" s="109" t="s">
        <v>156</v>
      </c>
      <c r="K11" s="105" t="s">
        <v>490</v>
      </c>
      <c r="M11" s="106">
        <v>17959</v>
      </c>
      <c r="N11" s="106">
        <v>0</v>
      </c>
      <c r="O11" s="106">
        <f t="shared" si="0"/>
        <v>17959</v>
      </c>
      <c r="P11" s="106">
        <v>8663</v>
      </c>
      <c r="Q11" s="106">
        <f t="shared" ref="Q11:Q53" si="1">SUM(P11/O11)*100</f>
        <v>48.237652430536222</v>
      </c>
      <c r="R11" s="488">
        <v>35104</v>
      </c>
      <c r="S11" s="488">
        <f t="shared" ref="S11:S52" si="2">O11+R11</f>
        <v>53063</v>
      </c>
      <c r="T11" s="110">
        <v>22196</v>
      </c>
      <c r="U11" s="617">
        <f t="shared" ref="U11:U53" si="3">SUM(T11/S11)*100</f>
        <v>41.829523396717114</v>
      </c>
      <c r="V11" s="106">
        <v>35</v>
      </c>
      <c r="W11" s="106">
        <f>S11+V11</f>
        <v>53098</v>
      </c>
      <c r="X11" s="110">
        <v>35812</v>
      </c>
      <c r="Y11" s="110">
        <f t="shared" ref="Y11:Y53" si="4">SUM(X11/W11)*100</f>
        <v>67.445101510414702</v>
      </c>
      <c r="Z11" s="106">
        <v>7625</v>
      </c>
      <c r="AA11" s="106">
        <f t="shared" ref="AA11:AA53" si="5">W11+Z11</f>
        <v>60723</v>
      </c>
    </row>
    <row r="12" spans="1:38">
      <c r="E12" s="109" t="s">
        <v>220</v>
      </c>
      <c r="K12" s="105" t="s">
        <v>221</v>
      </c>
      <c r="M12" s="106">
        <v>239881</v>
      </c>
      <c r="N12" s="106">
        <v>0</v>
      </c>
      <c r="O12" s="106">
        <f t="shared" si="0"/>
        <v>239881</v>
      </c>
      <c r="P12" s="106">
        <v>124979</v>
      </c>
      <c r="Q12" s="106">
        <f t="shared" si="1"/>
        <v>52.100416456493015</v>
      </c>
      <c r="R12" s="488">
        <v>252460</v>
      </c>
      <c r="S12" s="488">
        <f t="shared" si="2"/>
        <v>492341</v>
      </c>
      <c r="T12" s="110">
        <v>226688</v>
      </c>
      <c r="U12" s="617">
        <f t="shared" si="3"/>
        <v>46.042884911067731</v>
      </c>
      <c r="V12" s="106">
        <v>125112</v>
      </c>
      <c r="W12" s="106">
        <f>S12+V12</f>
        <v>617453</v>
      </c>
      <c r="X12" s="110">
        <v>567488</v>
      </c>
      <c r="Y12" s="110">
        <f t="shared" si="4"/>
        <v>91.907886106310926</v>
      </c>
      <c r="Z12" s="106">
        <v>507174</v>
      </c>
      <c r="AA12" s="106">
        <f t="shared" si="5"/>
        <v>1124627</v>
      </c>
    </row>
    <row r="13" spans="1:38">
      <c r="E13" s="109" t="s">
        <v>230</v>
      </c>
      <c r="K13" s="105" t="s">
        <v>485</v>
      </c>
      <c r="M13" s="106">
        <v>0</v>
      </c>
      <c r="N13" s="106">
        <v>0</v>
      </c>
      <c r="O13" s="106">
        <f t="shared" si="0"/>
        <v>0</v>
      </c>
      <c r="P13" s="106">
        <v>0</v>
      </c>
      <c r="Q13" s="106">
        <v>0</v>
      </c>
      <c r="R13" s="488">
        <v>0</v>
      </c>
      <c r="S13" s="488">
        <f t="shared" si="2"/>
        <v>0</v>
      </c>
      <c r="T13" s="110">
        <v>0</v>
      </c>
      <c r="U13" s="617">
        <v>0</v>
      </c>
      <c r="V13" s="106">
        <v>0</v>
      </c>
      <c r="W13" s="106">
        <f t="shared" ref="W13:W53" si="6">S13+V13</f>
        <v>0</v>
      </c>
      <c r="X13" s="110">
        <v>0</v>
      </c>
      <c r="Y13" s="110">
        <v>0</v>
      </c>
      <c r="Z13" s="106">
        <v>0</v>
      </c>
      <c r="AA13" s="106">
        <f t="shared" si="5"/>
        <v>0</v>
      </c>
    </row>
    <row r="14" spans="1:38">
      <c r="E14" s="109" t="s">
        <v>162</v>
      </c>
      <c r="K14" s="105" t="s">
        <v>222</v>
      </c>
      <c r="M14" s="106">
        <v>45885</v>
      </c>
      <c r="N14" s="106">
        <v>0</v>
      </c>
      <c r="O14" s="106">
        <f t="shared" si="0"/>
        <v>45885</v>
      </c>
      <c r="P14" s="106">
        <v>657</v>
      </c>
      <c r="Q14" s="106">
        <f t="shared" si="1"/>
        <v>1.4318404707420727</v>
      </c>
      <c r="R14" s="488">
        <v>15494</v>
      </c>
      <c r="S14" s="488">
        <f t="shared" si="2"/>
        <v>61379</v>
      </c>
      <c r="T14" s="110">
        <v>36569</v>
      </c>
      <c r="U14" s="617">
        <f t="shared" si="3"/>
        <v>59.579009107349421</v>
      </c>
      <c r="V14" s="106">
        <v>128758</v>
      </c>
      <c r="W14" s="106">
        <f t="shared" si="6"/>
        <v>190137</v>
      </c>
      <c r="X14" s="110">
        <v>96959</v>
      </c>
      <c r="Y14" s="110">
        <f t="shared" si="4"/>
        <v>50.994283069576149</v>
      </c>
      <c r="Z14" s="106">
        <v>-12600</v>
      </c>
      <c r="AA14" s="106">
        <f t="shared" si="5"/>
        <v>177537</v>
      </c>
    </row>
    <row r="15" spans="1:38">
      <c r="E15" s="109" t="s">
        <v>163</v>
      </c>
      <c r="K15" s="105" t="s">
        <v>223</v>
      </c>
      <c r="M15" s="106">
        <v>189482</v>
      </c>
      <c r="N15" s="106">
        <v>0</v>
      </c>
      <c r="O15" s="106">
        <f t="shared" si="0"/>
        <v>189482</v>
      </c>
      <c r="P15" s="106">
        <v>31810</v>
      </c>
      <c r="Q15" s="106">
        <f t="shared" si="1"/>
        <v>16.787874309960841</v>
      </c>
      <c r="R15" s="488">
        <v>23642</v>
      </c>
      <c r="S15" s="488">
        <f t="shared" si="2"/>
        <v>213124</v>
      </c>
      <c r="T15" s="110">
        <v>77403</v>
      </c>
      <c r="U15" s="617">
        <f t="shared" si="3"/>
        <v>36.318293575571033</v>
      </c>
      <c r="V15" s="106">
        <v>1094</v>
      </c>
      <c r="W15" s="106">
        <f t="shared" si="6"/>
        <v>214218</v>
      </c>
      <c r="X15" s="110">
        <v>146353</v>
      </c>
      <c r="Y15" s="110">
        <f t="shared" si="4"/>
        <v>68.319655677860865</v>
      </c>
      <c r="Z15" s="106">
        <v>10255</v>
      </c>
      <c r="AA15" s="106">
        <f t="shared" si="5"/>
        <v>224473</v>
      </c>
    </row>
    <row r="16" spans="1:38">
      <c r="E16" s="109" t="s">
        <v>224</v>
      </c>
      <c r="K16" s="105" t="s">
        <v>225</v>
      </c>
      <c r="M16" s="106">
        <v>37937</v>
      </c>
      <c r="N16" s="106">
        <v>3493</v>
      </c>
      <c r="O16" s="106">
        <f t="shared" si="0"/>
        <v>41430</v>
      </c>
      <c r="P16" s="106">
        <v>12287</v>
      </c>
      <c r="Q16" s="106">
        <f t="shared" si="1"/>
        <v>29.657253198165577</v>
      </c>
      <c r="R16" s="488">
        <v>1039</v>
      </c>
      <c r="S16" s="488">
        <f t="shared" si="2"/>
        <v>42469</v>
      </c>
      <c r="T16" s="110">
        <v>17240</v>
      </c>
      <c r="U16" s="617">
        <f t="shared" si="3"/>
        <v>40.594315853916974</v>
      </c>
      <c r="V16" s="106">
        <v>4296</v>
      </c>
      <c r="W16" s="106">
        <f t="shared" si="6"/>
        <v>46765</v>
      </c>
      <c r="X16" s="110">
        <v>26992</v>
      </c>
      <c r="Y16" s="110">
        <f t="shared" si="4"/>
        <v>57.718379129691009</v>
      </c>
      <c r="Z16" s="106">
        <v>1572</v>
      </c>
      <c r="AA16" s="106">
        <f t="shared" si="5"/>
        <v>48337</v>
      </c>
    </row>
    <row r="17" spans="1:27">
      <c r="E17" s="109" t="s">
        <v>226</v>
      </c>
      <c r="K17" s="105" t="s">
        <v>227</v>
      </c>
      <c r="M17" s="106">
        <v>52500</v>
      </c>
      <c r="N17" s="106">
        <v>0</v>
      </c>
      <c r="O17" s="106">
        <f t="shared" si="0"/>
        <v>52500</v>
      </c>
      <c r="P17" s="106">
        <v>3999</v>
      </c>
      <c r="Q17" s="106">
        <f t="shared" si="1"/>
        <v>7.6171428571428574</v>
      </c>
      <c r="R17" s="488">
        <v>0</v>
      </c>
      <c r="S17" s="488">
        <f t="shared" si="2"/>
        <v>52500</v>
      </c>
      <c r="T17" s="110">
        <v>17185</v>
      </c>
      <c r="U17" s="617">
        <f t="shared" si="3"/>
        <v>32.733333333333334</v>
      </c>
      <c r="V17" s="106">
        <v>0</v>
      </c>
      <c r="W17" s="106">
        <f t="shared" si="6"/>
        <v>52500</v>
      </c>
      <c r="X17" s="110">
        <v>20511</v>
      </c>
      <c r="Y17" s="110">
        <f t="shared" si="4"/>
        <v>39.068571428571431</v>
      </c>
      <c r="Z17" s="106">
        <v>0</v>
      </c>
      <c r="AA17" s="106">
        <f t="shared" si="5"/>
        <v>52500</v>
      </c>
    </row>
    <row r="18" spans="1:27">
      <c r="E18" s="109" t="s">
        <v>228</v>
      </c>
      <c r="K18" s="105" t="s">
        <v>229</v>
      </c>
      <c r="M18" s="106">
        <v>0</v>
      </c>
      <c r="N18" s="293">
        <v>362</v>
      </c>
      <c r="O18" s="293">
        <f t="shared" si="0"/>
        <v>362</v>
      </c>
      <c r="P18" s="293">
        <v>0</v>
      </c>
      <c r="Q18" s="293">
        <f t="shared" si="1"/>
        <v>0</v>
      </c>
      <c r="R18" s="488">
        <v>34505</v>
      </c>
      <c r="S18" s="488">
        <f t="shared" si="2"/>
        <v>34867</v>
      </c>
      <c r="T18" s="106">
        <v>0</v>
      </c>
      <c r="U18" s="617">
        <f t="shared" si="3"/>
        <v>0</v>
      </c>
      <c r="V18" s="106">
        <v>-4017</v>
      </c>
      <c r="W18" s="106">
        <f t="shared" si="6"/>
        <v>30850</v>
      </c>
      <c r="X18" s="110">
        <v>0</v>
      </c>
      <c r="Y18" s="110">
        <f t="shared" si="4"/>
        <v>0</v>
      </c>
      <c r="Z18" s="106">
        <v>-11041</v>
      </c>
      <c r="AA18" s="106">
        <f t="shared" si="5"/>
        <v>19809</v>
      </c>
    </row>
    <row r="19" spans="1:27" s="114" customFormat="1" ht="15.75">
      <c r="A19" s="111" t="s">
        <v>117</v>
      </c>
      <c r="B19" s="205"/>
      <c r="C19" s="111"/>
      <c r="D19" s="111"/>
      <c r="E19" s="111"/>
      <c r="F19" s="112"/>
      <c r="G19" s="112"/>
      <c r="H19" s="112" t="s">
        <v>489</v>
      </c>
      <c r="I19" s="112"/>
      <c r="J19" s="112"/>
      <c r="K19" s="112"/>
      <c r="L19" s="112"/>
      <c r="M19" s="113">
        <f>SUM(M10:M18)</f>
        <v>650158</v>
      </c>
      <c r="N19" s="231">
        <f>SUM(N10:N18)</f>
        <v>3855</v>
      </c>
      <c r="O19" s="231">
        <f t="shared" si="0"/>
        <v>654013</v>
      </c>
      <c r="P19" s="231">
        <f>SUM(P10:P18)</f>
        <v>226758</v>
      </c>
      <c r="Q19" s="231">
        <f t="shared" si="1"/>
        <v>34.671787869660079</v>
      </c>
      <c r="R19" s="491">
        <f>SUM(R10:R18)</f>
        <v>629729</v>
      </c>
      <c r="S19" s="491">
        <f t="shared" si="2"/>
        <v>1283742</v>
      </c>
      <c r="T19" s="231">
        <f>SUM(T10:T18)</f>
        <v>529306</v>
      </c>
      <c r="U19" s="619">
        <f t="shared" si="3"/>
        <v>41.231493555558671</v>
      </c>
      <c r="V19" s="231">
        <f>SUM(V10:V18)</f>
        <v>255466</v>
      </c>
      <c r="W19" s="231">
        <f t="shared" si="6"/>
        <v>1539208</v>
      </c>
      <c r="X19" s="231">
        <f>SUM(X10:X18)</f>
        <v>1110211</v>
      </c>
      <c r="Y19" s="231">
        <f t="shared" si="4"/>
        <v>72.128718145955588</v>
      </c>
      <c r="Z19" s="231">
        <f>SUM(Z10:Z18)</f>
        <v>536753</v>
      </c>
      <c r="AA19" s="231">
        <f t="shared" si="5"/>
        <v>2075961</v>
      </c>
    </row>
    <row r="20" spans="1:27">
      <c r="A20" s="104" t="s">
        <v>122</v>
      </c>
      <c r="G20" s="105" t="s">
        <v>214</v>
      </c>
      <c r="X20" s="110"/>
      <c r="Y20" s="110"/>
    </row>
    <row r="21" spans="1:27">
      <c r="D21" s="104" t="s">
        <v>117</v>
      </c>
      <c r="J21" s="105" t="s">
        <v>218</v>
      </c>
      <c r="X21" s="110"/>
      <c r="Y21" s="110"/>
    </row>
    <row r="22" spans="1:27">
      <c r="E22" s="109" t="s">
        <v>152</v>
      </c>
      <c r="K22" s="105" t="s">
        <v>219</v>
      </c>
      <c r="M22" s="106">
        <v>196706</v>
      </c>
      <c r="N22" s="106">
        <v>0</v>
      </c>
      <c r="O22" s="106">
        <f t="shared" ref="O22:O28" si="7">M22+N22</f>
        <v>196706</v>
      </c>
      <c r="P22" s="106">
        <v>66540</v>
      </c>
      <c r="Q22" s="106">
        <f t="shared" si="1"/>
        <v>33.82713287850904</v>
      </c>
      <c r="R22" s="488">
        <v>23037</v>
      </c>
      <c r="S22" s="488">
        <f t="shared" si="2"/>
        <v>219743</v>
      </c>
      <c r="T22" s="106">
        <v>104849</v>
      </c>
      <c r="U22" s="617">
        <f t="shared" si="3"/>
        <v>47.714375429478984</v>
      </c>
      <c r="V22" s="106">
        <v>6552</v>
      </c>
      <c r="W22" s="106">
        <f t="shared" si="6"/>
        <v>226295</v>
      </c>
      <c r="X22" s="110">
        <v>150287</v>
      </c>
      <c r="Y22" s="110">
        <f t="shared" si="4"/>
        <v>66.411984356702533</v>
      </c>
      <c r="Z22" s="106">
        <v>-5309</v>
      </c>
      <c r="AA22" s="106">
        <f t="shared" si="5"/>
        <v>220986</v>
      </c>
    </row>
    <row r="23" spans="1:27">
      <c r="E23" s="109" t="s">
        <v>156</v>
      </c>
      <c r="K23" s="105" t="s">
        <v>490</v>
      </c>
      <c r="M23" s="106">
        <v>53125</v>
      </c>
      <c r="N23" s="106">
        <v>0</v>
      </c>
      <c r="O23" s="106">
        <f t="shared" si="7"/>
        <v>53125</v>
      </c>
      <c r="P23" s="106">
        <v>17550</v>
      </c>
      <c r="Q23" s="106">
        <f t="shared" si="1"/>
        <v>33.035294117647055</v>
      </c>
      <c r="R23" s="488">
        <v>6152</v>
      </c>
      <c r="S23" s="488">
        <f t="shared" si="2"/>
        <v>59277</v>
      </c>
      <c r="T23" s="110">
        <v>27380</v>
      </c>
      <c r="U23" s="617">
        <f t="shared" si="3"/>
        <v>46.189921892133547</v>
      </c>
      <c r="V23" s="106">
        <v>1700</v>
      </c>
      <c r="W23" s="106">
        <f t="shared" si="6"/>
        <v>60977</v>
      </c>
      <c r="X23" s="110">
        <v>39152</v>
      </c>
      <c r="Y23" s="110">
        <f t="shared" si="4"/>
        <v>64.207816061793793</v>
      </c>
      <c r="Z23" s="106">
        <v>-2841</v>
      </c>
      <c r="AA23" s="106">
        <f t="shared" si="5"/>
        <v>58136</v>
      </c>
    </row>
    <row r="24" spans="1:27">
      <c r="E24" s="109" t="s">
        <v>220</v>
      </c>
      <c r="K24" s="105" t="s">
        <v>221</v>
      </c>
      <c r="M24" s="106">
        <v>101381</v>
      </c>
      <c r="N24" s="106">
        <v>0</v>
      </c>
      <c r="O24" s="106">
        <f t="shared" si="7"/>
        <v>101381</v>
      </c>
      <c r="P24" s="106">
        <v>33198</v>
      </c>
      <c r="Q24" s="106">
        <f t="shared" si="1"/>
        <v>32.745780767599456</v>
      </c>
      <c r="R24" s="488">
        <v>13042</v>
      </c>
      <c r="S24" s="488">
        <f t="shared" si="2"/>
        <v>114423</v>
      </c>
      <c r="T24" s="110">
        <v>60216</v>
      </c>
      <c r="U24" s="617">
        <f t="shared" si="3"/>
        <v>52.625783277837499</v>
      </c>
      <c r="V24" s="106">
        <v>8273</v>
      </c>
      <c r="W24" s="106">
        <f t="shared" si="6"/>
        <v>122696</v>
      </c>
      <c r="X24" s="110">
        <v>87269</v>
      </c>
      <c r="Y24" s="110">
        <f t="shared" si="4"/>
        <v>71.126198083067095</v>
      </c>
      <c r="Z24" s="106">
        <v>14429</v>
      </c>
      <c r="AA24" s="106">
        <f t="shared" si="5"/>
        <v>137125</v>
      </c>
    </row>
    <row r="25" spans="1:27">
      <c r="E25" s="109" t="s">
        <v>230</v>
      </c>
      <c r="K25" s="105" t="s">
        <v>222</v>
      </c>
      <c r="M25" s="106">
        <v>0</v>
      </c>
      <c r="T25" s="110"/>
      <c r="W25" s="106">
        <v>0</v>
      </c>
      <c r="X25" s="110">
        <v>0</v>
      </c>
      <c r="Y25" s="110">
        <v>0</v>
      </c>
      <c r="Z25" s="106">
        <v>0</v>
      </c>
      <c r="AA25" s="106">
        <f t="shared" si="5"/>
        <v>0</v>
      </c>
    </row>
    <row r="26" spans="1:27">
      <c r="E26" s="109" t="s">
        <v>162</v>
      </c>
      <c r="K26" s="105" t="s">
        <v>223</v>
      </c>
      <c r="M26" s="106">
        <v>0</v>
      </c>
      <c r="N26" s="106">
        <v>0</v>
      </c>
      <c r="O26" s="106">
        <f t="shared" si="7"/>
        <v>0</v>
      </c>
      <c r="P26" s="106">
        <v>574</v>
      </c>
      <c r="Q26" s="106">
        <v>0</v>
      </c>
      <c r="R26" s="488">
        <v>406</v>
      </c>
      <c r="S26" s="488">
        <f t="shared" si="2"/>
        <v>406</v>
      </c>
      <c r="T26" s="110">
        <v>574</v>
      </c>
      <c r="U26" s="617">
        <f t="shared" si="3"/>
        <v>141.37931034482759</v>
      </c>
      <c r="V26" s="106">
        <v>0</v>
      </c>
      <c r="W26" s="106">
        <f t="shared" si="6"/>
        <v>406</v>
      </c>
      <c r="X26" s="110">
        <v>575</v>
      </c>
      <c r="Y26" s="110">
        <f t="shared" si="4"/>
        <v>141.62561576354679</v>
      </c>
      <c r="Z26" s="106">
        <v>0</v>
      </c>
      <c r="AA26" s="106">
        <f t="shared" si="5"/>
        <v>406</v>
      </c>
    </row>
    <row r="27" spans="1:27">
      <c r="E27" s="109" t="s">
        <v>163</v>
      </c>
      <c r="K27" s="105" t="s">
        <v>225</v>
      </c>
      <c r="M27" s="106">
        <v>14967</v>
      </c>
      <c r="N27" s="293">
        <v>20216</v>
      </c>
      <c r="O27" s="293">
        <f t="shared" si="7"/>
        <v>35183</v>
      </c>
      <c r="P27" s="293">
        <v>26974</v>
      </c>
      <c r="Q27" s="293">
        <f t="shared" si="1"/>
        <v>76.667708836654072</v>
      </c>
      <c r="R27" s="488">
        <v>21245</v>
      </c>
      <c r="S27" s="488">
        <f t="shared" si="2"/>
        <v>56428</v>
      </c>
      <c r="T27" s="293">
        <v>44831</v>
      </c>
      <c r="U27" s="617">
        <f t="shared" si="3"/>
        <v>79.448146310342381</v>
      </c>
      <c r="V27" s="106">
        <v>14651</v>
      </c>
      <c r="W27" s="106">
        <f t="shared" si="6"/>
        <v>71079</v>
      </c>
      <c r="X27" s="110">
        <v>62101</v>
      </c>
      <c r="Y27" s="110">
        <f t="shared" si="4"/>
        <v>87.368983806750236</v>
      </c>
      <c r="Z27" s="106">
        <v>13701</v>
      </c>
      <c r="AA27" s="106">
        <f t="shared" si="5"/>
        <v>84780</v>
      </c>
    </row>
    <row r="28" spans="1:27" s="114" customFormat="1" ht="15.75">
      <c r="A28" s="111" t="s">
        <v>122</v>
      </c>
      <c r="B28" s="111"/>
      <c r="C28" s="111"/>
      <c r="D28" s="111"/>
      <c r="E28" s="111"/>
      <c r="F28" s="112"/>
      <c r="G28" s="112"/>
      <c r="H28" s="112" t="s">
        <v>193</v>
      </c>
      <c r="I28" s="112"/>
      <c r="J28" s="112"/>
      <c r="K28" s="112"/>
      <c r="L28" s="112"/>
      <c r="M28" s="113">
        <f>SUM(M22:M27)</f>
        <v>366179</v>
      </c>
      <c r="N28" s="231">
        <f>SUM(N22:N27)</f>
        <v>20216</v>
      </c>
      <c r="O28" s="231">
        <f t="shared" si="7"/>
        <v>386395</v>
      </c>
      <c r="P28" s="231">
        <f>SUM(P22:P27)</f>
        <v>144836</v>
      </c>
      <c r="Q28" s="231">
        <f t="shared" si="1"/>
        <v>37.483921893399241</v>
      </c>
      <c r="R28" s="491">
        <f>SUM(R22:R27)</f>
        <v>63882</v>
      </c>
      <c r="S28" s="491">
        <f t="shared" si="2"/>
        <v>450277</v>
      </c>
      <c r="T28" s="231">
        <f>SUM(T22:T27)</f>
        <v>237850</v>
      </c>
      <c r="U28" s="619">
        <f t="shared" si="3"/>
        <v>52.823040039797718</v>
      </c>
      <c r="V28" s="231">
        <f>SUM(V22:V27)</f>
        <v>31176</v>
      </c>
      <c r="W28" s="231">
        <f t="shared" si="6"/>
        <v>481453</v>
      </c>
      <c r="X28" s="231">
        <f>SUM(X22:X27)</f>
        <v>339384</v>
      </c>
      <c r="Y28" s="231">
        <f t="shared" si="4"/>
        <v>70.491616004054393</v>
      </c>
      <c r="Z28" s="231">
        <f>SUM(Z22:Z27)</f>
        <v>19980</v>
      </c>
      <c r="AA28" s="231">
        <f t="shared" si="5"/>
        <v>501433</v>
      </c>
    </row>
    <row r="29" spans="1:27">
      <c r="A29" s="104" t="s">
        <v>169</v>
      </c>
      <c r="G29" s="105" t="s">
        <v>883</v>
      </c>
      <c r="X29" s="110"/>
      <c r="Y29" s="110"/>
    </row>
    <row r="30" spans="1:27">
      <c r="D30" s="104" t="s">
        <v>117</v>
      </c>
      <c r="J30" s="105" t="s">
        <v>218</v>
      </c>
      <c r="X30" s="110"/>
      <c r="Y30" s="110"/>
    </row>
    <row r="31" spans="1:27">
      <c r="E31" s="104" t="s">
        <v>152</v>
      </c>
      <c r="K31" s="105" t="s">
        <v>219</v>
      </c>
      <c r="M31" s="106">
        <v>49388</v>
      </c>
      <c r="N31" s="106">
        <v>0</v>
      </c>
      <c r="O31" s="106">
        <f>M31+N31</f>
        <v>49388</v>
      </c>
      <c r="P31" s="106">
        <v>12966</v>
      </c>
      <c r="Q31" s="106">
        <f t="shared" si="1"/>
        <v>26.253340892524502</v>
      </c>
      <c r="R31" s="488">
        <v>1753</v>
      </c>
      <c r="S31" s="488">
        <f t="shared" si="2"/>
        <v>51141</v>
      </c>
      <c r="T31" s="106">
        <v>25829</v>
      </c>
      <c r="U31" s="617">
        <f t="shared" si="3"/>
        <v>50.505465282258854</v>
      </c>
      <c r="V31" s="106">
        <v>-655</v>
      </c>
      <c r="W31" s="106">
        <f t="shared" si="6"/>
        <v>50486</v>
      </c>
      <c r="X31" s="110">
        <v>38704</v>
      </c>
      <c r="Y31" s="110">
        <f t="shared" si="4"/>
        <v>76.66283722220021</v>
      </c>
      <c r="Z31" s="106">
        <v>14435</v>
      </c>
      <c r="AA31" s="106">
        <f t="shared" si="5"/>
        <v>64921</v>
      </c>
    </row>
    <row r="32" spans="1:27">
      <c r="E32" s="104" t="s">
        <v>156</v>
      </c>
      <c r="K32" s="105" t="s">
        <v>490</v>
      </c>
      <c r="M32" s="106">
        <v>13308</v>
      </c>
      <c r="N32" s="106">
        <v>0</v>
      </c>
      <c r="O32" s="106">
        <f>M32+N32</f>
        <v>13308</v>
      </c>
      <c r="P32" s="106">
        <v>3262</v>
      </c>
      <c r="Q32" s="106">
        <f t="shared" si="1"/>
        <v>24.511571986774872</v>
      </c>
      <c r="R32" s="488">
        <v>425</v>
      </c>
      <c r="S32" s="488">
        <f t="shared" si="2"/>
        <v>13733</v>
      </c>
      <c r="T32" s="110">
        <v>6425</v>
      </c>
      <c r="U32" s="617">
        <f t="shared" si="3"/>
        <v>46.785116143595715</v>
      </c>
      <c r="V32" s="106">
        <v>-176</v>
      </c>
      <c r="W32" s="106">
        <f t="shared" si="6"/>
        <v>13557</v>
      </c>
      <c r="X32" s="110">
        <v>9659</v>
      </c>
      <c r="Y32" s="110">
        <f t="shared" si="4"/>
        <v>71.247326104595416</v>
      </c>
      <c r="Z32" s="106">
        <v>3434</v>
      </c>
      <c r="AA32" s="106">
        <f t="shared" si="5"/>
        <v>16991</v>
      </c>
    </row>
    <row r="33" spans="1:27">
      <c r="E33" s="104" t="s">
        <v>220</v>
      </c>
      <c r="K33" s="105" t="s">
        <v>221</v>
      </c>
      <c r="M33" s="106">
        <v>9665</v>
      </c>
      <c r="N33" s="293">
        <v>0</v>
      </c>
      <c r="O33" s="110">
        <f>M33+N33</f>
        <v>9665</v>
      </c>
      <c r="P33" s="110">
        <v>6567</v>
      </c>
      <c r="Q33" s="110">
        <f t="shared" si="1"/>
        <v>67.946197620279364</v>
      </c>
      <c r="R33" s="488">
        <v>4552</v>
      </c>
      <c r="S33" s="488">
        <f t="shared" si="2"/>
        <v>14217</v>
      </c>
      <c r="T33" s="110">
        <v>8701</v>
      </c>
      <c r="U33" s="617">
        <f t="shared" si="3"/>
        <v>61.201378631216151</v>
      </c>
      <c r="V33" s="106">
        <v>-3267</v>
      </c>
      <c r="W33" s="106">
        <f t="shared" si="6"/>
        <v>10950</v>
      </c>
      <c r="X33" s="110">
        <v>11086</v>
      </c>
      <c r="Y33" s="110">
        <f t="shared" si="4"/>
        <v>101.24200913242009</v>
      </c>
      <c r="Z33" s="106">
        <v>8409</v>
      </c>
      <c r="AA33" s="106">
        <f t="shared" si="5"/>
        <v>19359</v>
      </c>
    </row>
    <row r="34" spans="1:27">
      <c r="E34" s="104" t="s">
        <v>230</v>
      </c>
      <c r="K34" s="105" t="s">
        <v>222</v>
      </c>
      <c r="M34" s="106">
        <v>0</v>
      </c>
      <c r="N34" s="293"/>
      <c r="O34" s="293">
        <v>0</v>
      </c>
      <c r="P34" s="293">
        <v>5202</v>
      </c>
      <c r="Q34" s="293">
        <v>0</v>
      </c>
      <c r="R34" s="488">
        <v>5163</v>
      </c>
      <c r="S34" s="488">
        <f t="shared" si="2"/>
        <v>5163</v>
      </c>
      <c r="T34" s="293">
        <v>5202</v>
      </c>
      <c r="U34" s="617">
        <f t="shared" si="3"/>
        <v>100.75537478210343</v>
      </c>
      <c r="V34" s="106">
        <v>0</v>
      </c>
      <c r="W34" s="106">
        <f t="shared" si="6"/>
        <v>5163</v>
      </c>
      <c r="X34" s="110">
        <v>5202</v>
      </c>
      <c r="Y34" s="110">
        <f t="shared" si="4"/>
        <v>100.75537478210343</v>
      </c>
      <c r="Z34" s="106">
        <v>0</v>
      </c>
      <c r="AA34" s="106">
        <f t="shared" si="5"/>
        <v>5163</v>
      </c>
    </row>
    <row r="35" spans="1:27" s="114" customFormat="1" ht="15.75">
      <c r="A35" s="111" t="s">
        <v>169</v>
      </c>
      <c r="B35" s="111"/>
      <c r="C35" s="111"/>
      <c r="D35" s="111"/>
      <c r="E35" s="111"/>
      <c r="F35" s="112"/>
      <c r="G35" s="112"/>
      <c r="H35" s="205" t="s">
        <v>886</v>
      </c>
      <c r="I35" s="112"/>
      <c r="J35" s="112"/>
      <c r="K35" s="112"/>
      <c r="L35" s="112"/>
      <c r="M35" s="113">
        <f>SUM(M31:M34)</f>
        <v>72361</v>
      </c>
      <c r="N35" s="231">
        <v>0</v>
      </c>
      <c r="O35" s="231">
        <f>M35+N35</f>
        <v>72361</v>
      </c>
      <c r="P35" s="231">
        <f>SUM(P31:P34)</f>
        <v>27997</v>
      </c>
      <c r="Q35" s="231">
        <f t="shared" si="1"/>
        <v>38.690731194980721</v>
      </c>
      <c r="R35" s="491">
        <f>SUM(R31:R34)</f>
        <v>11893</v>
      </c>
      <c r="S35" s="491">
        <f t="shared" si="2"/>
        <v>84254</v>
      </c>
      <c r="T35" s="231">
        <f>SUM(T31:T34)</f>
        <v>46157</v>
      </c>
      <c r="U35" s="619">
        <f t="shared" si="3"/>
        <v>54.783155695872011</v>
      </c>
      <c r="V35" s="231">
        <f>SUM(V31:V34)</f>
        <v>-4098</v>
      </c>
      <c r="W35" s="231">
        <f t="shared" si="6"/>
        <v>80156</v>
      </c>
      <c r="X35" s="231">
        <f>SUM(X31:X34)</f>
        <v>64651</v>
      </c>
      <c r="Y35" s="231">
        <f t="shared" si="4"/>
        <v>80.656469883726729</v>
      </c>
      <c r="Z35" s="231">
        <f>SUM(Z31:Z34)</f>
        <v>26278</v>
      </c>
      <c r="AA35" s="231">
        <f t="shared" si="5"/>
        <v>106434</v>
      </c>
    </row>
    <row r="36" spans="1:27">
      <c r="A36" s="104" t="s">
        <v>194</v>
      </c>
      <c r="G36" s="115" t="s">
        <v>473</v>
      </c>
      <c r="X36" s="110"/>
      <c r="Y36" s="110"/>
    </row>
    <row r="37" spans="1:27">
      <c r="D37" s="104" t="s">
        <v>117</v>
      </c>
      <c r="J37" s="105" t="s">
        <v>218</v>
      </c>
      <c r="X37" s="110"/>
      <c r="Y37" s="110"/>
    </row>
    <row r="38" spans="1:27">
      <c r="E38" s="104" t="s">
        <v>152</v>
      </c>
      <c r="K38" s="105" t="s">
        <v>219</v>
      </c>
      <c r="M38" s="106">
        <v>32565</v>
      </c>
      <c r="N38" s="106">
        <v>0</v>
      </c>
      <c r="O38" s="106">
        <f>M38+N38</f>
        <v>32565</v>
      </c>
      <c r="P38" s="106">
        <v>7971</v>
      </c>
      <c r="Q38" s="106">
        <f t="shared" si="1"/>
        <v>24.477199447259327</v>
      </c>
      <c r="R38" s="488">
        <v>1306</v>
      </c>
      <c r="S38" s="488">
        <f t="shared" si="2"/>
        <v>33871</v>
      </c>
      <c r="T38" s="106">
        <v>16564</v>
      </c>
      <c r="U38" s="617">
        <f t="shared" si="3"/>
        <v>48.90319152076998</v>
      </c>
      <c r="V38" s="106">
        <v>5535</v>
      </c>
      <c r="W38" s="106">
        <f t="shared" si="6"/>
        <v>39406</v>
      </c>
      <c r="X38" s="110">
        <v>26873</v>
      </c>
      <c r="Y38" s="110">
        <f t="shared" si="4"/>
        <v>68.195198700705475</v>
      </c>
      <c r="Z38" s="106">
        <v>1006</v>
      </c>
      <c r="AA38" s="106">
        <f t="shared" si="5"/>
        <v>40412</v>
      </c>
    </row>
    <row r="39" spans="1:27">
      <c r="E39" s="104" t="s">
        <v>156</v>
      </c>
      <c r="K39" s="105" t="s">
        <v>490</v>
      </c>
      <c r="M39" s="106">
        <v>8733</v>
      </c>
      <c r="N39" s="106">
        <v>0</v>
      </c>
      <c r="O39" s="106">
        <f>M39+N39</f>
        <v>8733</v>
      </c>
      <c r="P39" s="106">
        <v>2057</v>
      </c>
      <c r="Q39" s="106">
        <f t="shared" si="1"/>
        <v>23.554334134890645</v>
      </c>
      <c r="R39" s="488">
        <v>353</v>
      </c>
      <c r="S39" s="488">
        <f t="shared" si="2"/>
        <v>9086</v>
      </c>
      <c r="T39" s="110">
        <v>4190</v>
      </c>
      <c r="U39" s="617">
        <f t="shared" si="3"/>
        <v>46.114902047105438</v>
      </c>
      <c r="V39" s="106">
        <v>1438</v>
      </c>
      <c r="W39" s="106">
        <f t="shared" si="6"/>
        <v>10524</v>
      </c>
      <c r="X39" s="110">
        <v>6831</v>
      </c>
      <c r="Y39" s="110">
        <f t="shared" si="4"/>
        <v>64.908779931584945</v>
      </c>
      <c r="Z39" s="106">
        <v>256</v>
      </c>
      <c r="AA39" s="106">
        <f t="shared" si="5"/>
        <v>10780</v>
      </c>
    </row>
    <row r="40" spans="1:27">
      <c r="E40" s="104" t="s">
        <v>220</v>
      </c>
      <c r="K40" s="105" t="s">
        <v>221</v>
      </c>
      <c r="M40" s="106">
        <v>16000</v>
      </c>
      <c r="N40" s="293">
        <v>0</v>
      </c>
      <c r="O40" s="293">
        <f>M40+N40</f>
        <v>16000</v>
      </c>
      <c r="P40" s="293">
        <v>2602</v>
      </c>
      <c r="Q40" s="293">
        <f t="shared" si="1"/>
        <v>16.262499999999999</v>
      </c>
      <c r="R40" s="488">
        <v>7586</v>
      </c>
      <c r="S40" s="488">
        <f t="shared" si="2"/>
        <v>23586</v>
      </c>
      <c r="T40" s="106">
        <v>8300</v>
      </c>
      <c r="U40" s="617">
        <f t="shared" si="3"/>
        <v>35.190367166963455</v>
      </c>
      <c r="V40" s="106">
        <v>12812</v>
      </c>
      <c r="W40" s="106">
        <f t="shared" si="6"/>
        <v>36398</v>
      </c>
      <c r="X40" s="110">
        <v>20558</v>
      </c>
      <c r="Y40" s="110">
        <f t="shared" si="4"/>
        <v>56.481125336556957</v>
      </c>
      <c r="Z40" s="106">
        <v>514</v>
      </c>
      <c r="AA40" s="106">
        <f t="shared" si="5"/>
        <v>36912</v>
      </c>
    </row>
    <row r="41" spans="1:27" s="114" customFormat="1" ht="15.75">
      <c r="A41" s="111" t="s">
        <v>194</v>
      </c>
      <c r="B41" s="111"/>
      <c r="C41" s="111"/>
      <c r="D41" s="111"/>
      <c r="E41" s="111"/>
      <c r="F41" s="112"/>
      <c r="G41" s="112"/>
      <c r="H41" s="112" t="s">
        <v>475</v>
      </c>
      <c r="I41" s="112"/>
      <c r="J41" s="112"/>
      <c r="K41" s="112"/>
      <c r="L41" s="112"/>
      <c r="M41" s="113">
        <f>SUM(M38:M40)</f>
        <v>57298</v>
      </c>
      <c r="N41" s="231">
        <v>0</v>
      </c>
      <c r="O41" s="231">
        <f>M41+N41</f>
        <v>57298</v>
      </c>
      <c r="P41" s="231">
        <f>SUM(P38:P40)</f>
        <v>12630</v>
      </c>
      <c r="Q41" s="231">
        <f t="shared" si="1"/>
        <v>22.042654193863658</v>
      </c>
      <c r="R41" s="491">
        <f>SUM(R38:R40)</f>
        <v>9245</v>
      </c>
      <c r="S41" s="491">
        <f t="shared" si="2"/>
        <v>66543</v>
      </c>
      <c r="T41" s="231">
        <f>SUM(T38:T40)</f>
        <v>29054</v>
      </c>
      <c r="U41" s="619">
        <f t="shared" si="3"/>
        <v>43.661992997009449</v>
      </c>
      <c r="V41" s="231">
        <f>SUM(V38:V40)</f>
        <v>19785</v>
      </c>
      <c r="W41" s="231">
        <f t="shared" si="6"/>
        <v>86328</v>
      </c>
      <c r="X41" s="231">
        <f>SUM(X38:X40)</f>
        <v>54262</v>
      </c>
      <c r="Y41" s="231">
        <f t="shared" si="4"/>
        <v>62.855620424427762</v>
      </c>
      <c r="Z41" s="231">
        <f>SUM(Z38:Z40)</f>
        <v>1776</v>
      </c>
      <c r="AA41" s="231">
        <f t="shared" si="5"/>
        <v>88104</v>
      </c>
    </row>
    <row r="42" spans="1:27">
      <c r="L42" s="206"/>
      <c r="N42" s="209"/>
      <c r="O42" s="209"/>
      <c r="P42" s="209"/>
      <c r="Q42" s="209"/>
      <c r="X42" s="110"/>
      <c r="Y42" s="110"/>
    </row>
    <row r="43" spans="1:27">
      <c r="A43" s="207"/>
      <c r="B43" s="207"/>
      <c r="C43" s="207"/>
      <c r="D43" s="207" t="s">
        <v>117</v>
      </c>
      <c r="E43" s="207"/>
      <c r="F43" s="208"/>
      <c r="G43" s="208"/>
      <c r="H43" s="208"/>
      <c r="I43" s="208"/>
      <c r="J43" s="208" t="s">
        <v>231</v>
      </c>
      <c r="K43" s="208"/>
      <c r="L43" s="208"/>
      <c r="M43" s="209"/>
      <c r="N43" s="209"/>
      <c r="O43" s="209"/>
      <c r="P43" s="209"/>
      <c r="Q43" s="209"/>
      <c r="R43" s="492"/>
      <c r="S43" s="492"/>
      <c r="T43" s="209"/>
      <c r="U43" s="620"/>
      <c r="V43" s="209"/>
      <c r="W43" s="209"/>
      <c r="X43" s="209"/>
      <c r="Y43" s="209"/>
      <c r="Z43" s="209"/>
      <c r="AA43" s="209"/>
    </row>
    <row r="44" spans="1:27">
      <c r="E44" s="109" t="s">
        <v>152</v>
      </c>
      <c r="K44" s="105" t="s">
        <v>219</v>
      </c>
      <c r="M44" s="106">
        <f>SUM(M10+M22+M31+M38)</f>
        <v>345173</v>
      </c>
      <c r="N44" s="106">
        <v>0</v>
      </c>
      <c r="O44" s="106">
        <f t="shared" ref="O44:O53" si="8">M44+N44</f>
        <v>345173</v>
      </c>
      <c r="P44" s="106">
        <f>P10+P22+P31+P38</f>
        <v>131840</v>
      </c>
      <c r="Q44" s="106">
        <f t="shared" si="1"/>
        <v>38.19533972819427</v>
      </c>
      <c r="R44" s="488">
        <f>R10+R22+R31+R38</f>
        <v>293581</v>
      </c>
      <c r="S44" s="488">
        <f t="shared" si="2"/>
        <v>638754</v>
      </c>
      <c r="T44" s="106">
        <f>T10+T22+T31+T38</f>
        <v>279267</v>
      </c>
      <c r="U44" s="617">
        <f t="shared" si="3"/>
        <v>43.720587268338043</v>
      </c>
      <c r="V44" s="106">
        <f>V10+V22+V31+V38</f>
        <v>11620</v>
      </c>
      <c r="W44" s="106">
        <f t="shared" si="6"/>
        <v>650374</v>
      </c>
      <c r="X44" s="110">
        <f>X10+X22+X31+X38</f>
        <v>431960</v>
      </c>
      <c r="Y44" s="110">
        <f t="shared" si="4"/>
        <v>66.417169198030663</v>
      </c>
      <c r="Z44" s="106">
        <f>Z10+Z22+Z31+Z38</f>
        <v>43900</v>
      </c>
      <c r="AA44" s="106">
        <f t="shared" si="5"/>
        <v>694274</v>
      </c>
    </row>
    <row r="45" spans="1:27">
      <c r="E45" s="109" t="s">
        <v>156</v>
      </c>
      <c r="K45" s="105" t="s">
        <v>490</v>
      </c>
      <c r="M45" s="106">
        <f>SUM(M11+M23+M32+M39)</f>
        <v>93125</v>
      </c>
      <c r="N45" s="106">
        <v>0</v>
      </c>
      <c r="O45" s="106">
        <f t="shared" si="8"/>
        <v>93125</v>
      </c>
      <c r="P45" s="106">
        <f>P11+P23+P32+P39</f>
        <v>31532</v>
      </c>
      <c r="Q45" s="106">
        <f t="shared" si="1"/>
        <v>33.859865771812082</v>
      </c>
      <c r="R45" s="488">
        <f>R11+R23+R32+R39</f>
        <v>42034</v>
      </c>
      <c r="S45" s="488">
        <f t="shared" si="2"/>
        <v>135159</v>
      </c>
      <c r="T45" s="110">
        <f>T11+T23+T32+T39</f>
        <v>60191</v>
      </c>
      <c r="U45" s="617">
        <f t="shared" si="3"/>
        <v>44.533475388246437</v>
      </c>
      <c r="V45" s="106">
        <f>V11+V23+V32+V39</f>
        <v>2997</v>
      </c>
      <c r="W45" s="106">
        <f t="shared" si="6"/>
        <v>138156</v>
      </c>
      <c r="X45" s="110">
        <f>X11+X23+X32+X39</f>
        <v>91454</v>
      </c>
      <c r="Y45" s="110">
        <f t="shared" si="4"/>
        <v>66.196184023857086</v>
      </c>
      <c r="Z45" s="106">
        <f>Z11+Z23+Z32+Z39</f>
        <v>8474</v>
      </c>
      <c r="AA45" s="106">
        <f t="shared" si="5"/>
        <v>146630</v>
      </c>
    </row>
    <row r="46" spans="1:27">
      <c r="E46" s="109" t="s">
        <v>220</v>
      </c>
      <c r="K46" s="105" t="s">
        <v>221</v>
      </c>
      <c r="M46" s="106">
        <f>SUM(M12+M24+M33+M40)</f>
        <v>366927</v>
      </c>
      <c r="N46" s="106">
        <v>0</v>
      </c>
      <c r="O46" s="106">
        <f t="shared" si="8"/>
        <v>366927</v>
      </c>
      <c r="P46" s="106">
        <f>P12+P24+P33+P40</f>
        <v>167346</v>
      </c>
      <c r="Q46" s="106">
        <f t="shared" si="1"/>
        <v>45.60743690161803</v>
      </c>
      <c r="R46" s="488">
        <f>R12+R24+R33+R40</f>
        <v>277640</v>
      </c>
      <c r="S46" s="488">
        <f t="shared" si="2"/>
        <v>644567</v>
      </c>
      <c r="T46" s="110">
        <f>T12+T24+T33+T40</f>
        <v>303905</v>
      </c>
      <c r="U46" s="617">
        <f t="shared" si="3"/>
        <v>47.148706030560049</v>
      </c>
      <c r="V46" s="106">
        <f>V12+V24+V33+V40</f>
        <v>142930</v>
      </c>
      <c r="W46" s="106">
        <f t="shared" si="6"/>
        <v>787497</v>
      </c>
      <c r="X46" s="110">
        <f>X12+X24+X33+X40</f>
        <v>686401</v>
      </c>
      <c r="Y46" s="110">
        <f t="shared" si="4"/>
        <v>87.162363793131917</v>
      </c>
      <c r="Z46" s="106">
        <f>Z12+Z24+Z33+Z40</f>
        <v>530526</v>
      </c>
      <c r="AA46" s="106">
        <f t="shared" si="5"/>
        <v>1318023</v>
      </c>
    </row>
    <row r="47" spans="1:27">
      <c r="E47" s="109" t="s">
        <v>230</v>
      </c>
      <c r="K47" s="105" t="s">
        <v>485</v>
      </c>
      <c r="M47" s="106">
        <v>0</v>
      </c>
      <c r="N47" s="106">
        <v>0</v>
      </c>
      <c r="O47" s="106">
        <f t="shared" si="8"/>
        <v>0</v>
      </c>
      <c r="P47" s="106">
        <v>0</v>
      </c>
      <c r="Q47" s="106">
        <v>0</v>
      </c>
      <c r="R47" s="488">
        <v>0</v>
      </c>
      <c r="S47" s="488">
        <f t="shared" si="2"/>
        <v>0</v>
      </c>
      <c r="T47" s="110">
        <v>0</v>
      </c>
      <c r="U47" s="617">
        <v>0</v>
      </c>
      <c r="V47" s="106">
        <v>0</v>
      </c>
      <c r="W47" s="106">
        <f t="shared" si="6"/>
        <v>0</v>
      </c>
      <c r="X47" s="110">
        <f>X13</f>
        <v>0</v>
      </c>
      <c r="Y47" s="110">
        <v>0</v>
      </c>
      <c r="Z47" s="106">
        <f>Z13</f>
        <v>0</v>
      </c>
      <c r="AA47" s="106">
        <f t="shared" si="5"/>
        <v>0</v>
      </c>
    </row>
    <row r="48" spans="1:27">
      <c r="E48" s="109" t="s">
        <v>162</v>
      </c>
      <c r="K48" s="105" t="s">
        <v>222</v>
      </c>
      <c r="M48" s="106">
        <v>45885</v>
      </c>
      <c r="N48" s="106">
        <v>0</v>
      </c>
      <c r="O48" s="106">
        <f t="shared" si="8"/>
        <v>45885</v>
      </c>
      <c r="P48" s="106" t="e">
        <f>P14+#REF!+P34</f>
        <v>#REF!</v>
      </c>
      <c r="Q48" s="106" t="e">
        <f t="shared" si="1"/>
        <v>#REF!</v>
      </c>
      <c r="R48" s="488" t="e">
        <f>R14+#REF!+R34</f>
        <v>#REF!</v>
      </c>
      <c r="S48" s="488">
        <v>66542</v>
      </c>
      <c r="T48" s="110" t="e">
        <f>T14+#REF!+T34</f>
        <v>#REF!</v>
      </c>
      <c r="U48" s="617" t="e">
        <f t="shared" si="3"/>
        <v>#REF!</v>
      </c>
      <c r="V48" s="106">
        <v>128758</v>
      </c>
      <c r="W48" s="106">
        <f t="shared" si="6"/>
        <v>195300</v>
      </c>
      <c r="X48" s="110">
        <f>X14+X25+X34</f>
        <v>102161</v>
      </c>
      <c r="Y48" s="110">
        <f t="shared" si="4"/>
        <v>52.309779825908855</v>
      </c>
      <c r="Z48" s="106">
        <f>Z14+Z25+Z34</f>
        <v>-12600</v>
      </c>
      <c r="AA48" s="106">
        <f t="shared" si="5"/>
        <v>182700</v>
      </c>
    </row>
    <row r="49" spans="1:38">
      <c r="E49" s="109" t="s">
        <v>163</v>
      </c>
      <c r="K49" s="105" t="s">
        <v>223</v>
      </c>
      <c r="M49" s="106">
        <f>SUM(M15+M26)</f>
        <v>189482</v>
      </c>
      <c r="N49" s="106">
        <v>0</v>
      </c>
      <c r="O49" s="106">
        <f t="shared" si="8"/>
        <v>189482</v>
      </c>
      <c r="P49" s="106">
        <f>P15+P26</f>
        <v>32384</v>
      </c>
      <c r="Q49" s="106">
        <f t="shared" si="1"/>
        <v>17.090805459093737</v>
      </c>
      <c r="R49" s="488">
        <f>R15+R26</f>
        <v>24048</v>
      </c>
      <c r="S49" s="488">
        <f t="shared" si="2"/>
        <v>213530</v>
      </c>
      <c r="T49" s="110">
        <f>T15+T26</f>
        <v>77977</v>
      </c>
      <c r="U49" s="617">
        <f t="shared" si="3"/>
        <v>36.518053669273634</v>
      </c>
      <c r="V49" s="106">
        <f>V15+V26</f>
        <v>1094</v>
      </c>
      <c r="W49" s="106">
        <f t="shared" si="6"/>
        <v>214624</v>
      </c>
      <c r="X49" s="110">
        <f>X15+X26</f>
        <v>146928</v>
      </c>
      <c r="Y49" s="110">
        <f t="shared" si="4"/>
        <v>68.45832712091844</v>
      </c>
      <c r="Z49" s="106">
        <f>Z15+Z26</f>
        <v>10255</v>
      </c>
      <c r="AA49" s="106">
        <f t="shared" si="5"/>
        <v>224879</v>
      </c>
    </row>
    <row r="50" spans="1:38">
      <c r="E50" s="109" t="s">
        <v>224</v>
      </c>
      <c r="K50" s="105" t="s">
        <v>225</v>
      </c>
      <c r="M50" s="106">
        <f>SUM(M16+M27)</f>
        <v>52904</v>
      </c>
      <c r="N50" s="106">
        <v>23709</v>
      </c>
      <c r="O50" s="106">
        <f t="shared" si="8"/>
        <v>76613</v>
      </c>
      <c r="P50" s="106">
        <f>P16+P27</f>
        <v>39261</v>
      </c>
      <c r="Q50" s="106">
        <f t="shared" si="1"/>
        <v>51.245872110477329</v>
      </c>
      <c r="R50" s="488">
        <f>R16+R27</f>
        <v>22284</v>
      </c>
      <c r="S50" s="488">
        <f t="shared" si="2"/>
        <v>98897</v>
      </c>
      <c r="T50" s="110">
        <f>T16+T27</f>
        <v>62071</v>
      </c>
      <c r="U50" s="617">
        <f t="shared" si="3"/>
        <v>62.763278967006073</v>
      </c>
      <c r="V50" s="106">
        <f>V16+V27</f>
        <v>18947</v>
      </c>
      <c r="W50" s="106">
        <f t="shared" si="6"/>
        <v>117844</v>
      </c>
      <c r="X50" s="110">
        <f>X16+X27</f>
        <v>89093</v>
      </c>
      <c r="Y50" s="110">
        <f t="shared" si="4"/>
        <v>75.602491429347268</v>
      </c>
      <c r="Z50" s="106">
        <f>Z16+Z27</f>
        <v>15273</v>
      </c>
      <c r="AA50" s="106">
        <f t="shared" si="5"/>
        <v>133117</v>
      </c>
    </row>
    <row r="51" spans="1:38">
      <c r="E51" s="109" t="s">
        <v>226</v>
      </c>
      <c r="K51" s="105" t="s">
        <v>227</v>
      </c>
      <c r="M51" s="106">
        <f>SUM(M17)</f>
        <v>52500</v>
      </c>
      <c r="N51" s="106">
        <v>0</v>
      </c>
      <c r="O51" s="106">
        <f t="shared" si="8"/>
        <v>52500</v>
      </c>
      <c r="P51" s="106">
        <f>P17</f>
        <v>3999</v>
      </c>
      <c r="Q51" s="106">
        <f t="shared" si="1"/>
        <v>7.6171428571428574</v>
      </c>
      <c r="R51" s="488">
        <v>0</v>
      </c>
      <c r="S51" s="488">
        <f t="shared" si="2"/>
        <v>52500</v>
      </c>
      <c r="T51" s="110">
        <f>T17</f>
        <v>17185</v>
      </c>
      <c r="U51" s="617">
        <f t="shared" si="3"/>
        <v>32.733333333333334</v>
      </c>
      <c r="V51" s="106">
        <f>V17</f>
        <v>0</v>
      </c>
      <c r="W51" s="106">
        <f t="shared" si="6"/>
        <v>52500</v>
      </c>
      <c r="X51" s="110">
        <f>X17</f>
        <v>20511</v>
      </c>
      <c r="Y51" s="110">
        <f t="shared" si="4"/>
        <v>39.068571428571431</v>
      </c>
      <c r="Z51" s="106">
        <f>Z17</f>
        <v>0</v>
      </c>
      <c r="AA51" s="106">
        <f t="shared" si="5"/>
        <v>52500</v>
      </c>
    </row>
    <row r="52" spans="1:38">
      <c r="E52" s="109" t="s">
        <v>228</v>
      </c>
      <c r="K52" s="105" t="s">
        <v>229</v>
      </c>
      <c r="M52" s="106">
        <f>SUM(M18)</f>
        <v>0</v>
      </c>
      <c r="N52" s="293">
        <v>362</v>
      </c>
      <c r="O52" s="293">
        <f t="shared" si="8"/>
        <v>362</v>
      </c>
      <c r="P52" s="293">
        <f>P18</f>
        <v>0</v>
      </c>
      <c r="Q52" s="293">
        <f t="shared" si="1"/>
        <v>0</v>
      </c>
      <c r="R52" s="488">
        <f>R18</f>
        <v>34505</v>
      </c>
      <c r="S52" s="488">
        <f t="shared" si="2"/>
        <v>34867</v>
      </c>
      <c r="T52" s="106">
        <f>T18</f>
        <v>0</v>
      </c>
      <c r="U52" s="617">
        <f t="shared" si="3"/>
        <v>0</v>
      </c>
      <c r="V52" s="106">
        <f>V18</f>
        <v>-4017</v>
      </c>
      <c r="W52" s="106">
        <f t="shared" si="6"/>
        <v>30850</v>
      </c>
      <c r="X52" s="110">
        <f>X18</f>
        <v>0</v>
      </c>
      <c r="Y52" s="110">
        <f t="shared" si="4"/>
        <v>0</v>
      </c>
      <c r="Z52" s="106">
        <f>Z18</f>
        <v>-11041</v>
      </c>
      <c r="AA52" s="106">
        <f t="shared" si="5"/>
        <v>19809</v>
      </c>
    </row>
    <row r="53" spans="1:38" s="114" customFormat="1" ht="15.75">
      <c r="A53" s="111"/>
      <c r="B53" s="111"/>
      <c r="C53" s="111"/>
      <c r="D53" s="111" t="s">
        <v>117</v>
      </c>
      <c r="E53" s="111"/>
      <c r="F53" s="112"/>
      <c r="G53" s="112"/>
      <c r="H53" s="112"/>
      <c r="I53" s="112"/>
      <c r="J53" s="112" t="s">
        <v>233</v>
      </c>
      <c r="K53" s="112"/>
      <c r="L53" s="112"/>
      <c r="M53" s="113">
        <f>SUM(M44:M52)</f>
        <v>1145996</v>
      </c>
      <c r="N53" s="231">
        <f>SUM(N44:N52)</f>
        <v>24071</v>
      </c>
      <c r="O53" s="231">
        <f t="shared" si="8"/>
        <v>1170067</v>
      </c>
      <c r="P53" s="231" t="e">
        <f>SUM(P44:P52)</f>
        <v>#REF!</v>
      </c>
      <c r="Q53" s="231" t="e">
        <f t="shared" si="1"/>
        <v>#REF!</v>
      </c>
      <c r="R53" s="491" t="e">
        <f>SUM(R44:R52)</f>
        <v>#REF!</v>
      </c>
      <c r="S53" s="491">
        <f>SUM(S44:S52)</f>
        <v>1884816</v>
      </c>
      <c r="T53" s="231">
        <f>T19+T28+T35+T41</f>
        <v>842367</v>
      </c>
      <c r="U53" s="619">
        <f t="shared" si="3"/>
        <v>44.692267043573487</v>
      </c>
      <c r="V53" s="231">
        <f>SUM(V44:V52)</f>
        <v>302329</v>
      </c>
      <c r="W53" s="231">
        <f t="shared" si="6"/>
        <v>2187145</v>
      </c>
      <c r="X53" s="231">
        <f>SUM(X44:X52)</f>
        <v>1568508</v>
      </c>
      <c r="Y53" s="231">
        <f t="shared" si="4"/>
        <v>71.714861154610233</v>
      </c>
      <c r="Z53" s="231">
        <f>SUM(Z44:Z52)</f>
        <v>584787</v>
      </c>
      <c r="AA53" s="231">
        <f t="shared" si="5"/>
        <v>2771932</v>
      </c>
    </row>
    <row r="54" spans="1:38" ht="15.75">
      <c r="A54" s="859" t="s">
        <v>3</v>
      </c>
      <c r="B54" s="107"/>
      <c r="C54" s="107"/>
      <c r="D54" s="107"/>
      <c r="E54" s="107"/>
      <c r="F54" s="117"/>
      <c r="G54" s="117"/>
      <c r="H54" s="117"/>
      <c r="I54" s="117"/>
      <c r="J54" s="117"/>
      <c r="K54" s="117"/>
      <c r="L54" s="117"/>
    </row>
    <row r="55" spans="1:38" ht="15.75">
      <c r="A55" s="919" t="s">
        <v>351</v>
      </c>
      <c r="B55" s="919"/>
      <c r="C55" s="919"/>
      <c r="D55" s="919"/>
      <c r="E55" s="919"/>
      <c r="F55" s="919"/>
      <c r="G55" s="919"/>
      <c r="H55" s="919"/>
      <c r="I55" s="919"/>
      <c r="J55" s="919"/>
      <c r="K55" s="919"/>
      <c r="L55" s="919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  <c r="Y55" s="913"/>
      <c r="Z55" s="913"/>
      <c r="AA55" s="913"/>
    </row>
    <row r="56" spans="1:38" ht="15.75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</row>
    <row r="57" spans="1:38" ht="15.75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917" t="s">
        <v>103</v>
      </c>
      <c r="M57" s="917"/>
      <c r="N57" s="918"/>
      <c r="O57" s="918"/>
      <c r="P57" s="918"/>
      <c r="Q57" s="918"/>
      <c r="R57" s="918"/>
      <c r="S57" s="918"/>
      <c r="T57" s="918"/>
      <c r="U57" s="918"/>
      <c r="V57" s="918"/>
      <c r="W57" s="918"/>
      <c r="X57" s="918"/>
      <c r="Y57" s="918"/>
      <c r="Z57" s="918"/>
      <c r="AA57" s="918"/>
    </row>
    <row r="58" spans="1:38" ht="95.25">
      <c r="A58" s="108" t="s">
        <v>104</v>
      </c>
      <c r="B58" s="108" t="s">
        <v>105</v>
      </c>
      <c r="C58" s="108" t="s">
        <v>106</v>
      </c>
      <c r="D58" s="108" t="s">
        <v>107</v>
      </c>
      <c r="E58" s="108" t="s">
        <v>108</v>
      </c>
      <c r="F58" s="108" t="s">
        <v>109</v>
      </c>
      <c r="G58" s="108" t="s">
        <v>110</v>
      </c>
      <c r="H58" s="108" t="s">
        <v>111</v>
      </c>
      <c r="I58" s="108" t="s">
        <v>112</v>
      </c>
      <c r="J58" s="108" t="s">
        <v>113</v>
      </c>
      <c r="K58" s="108" t="s">
        <v>114</v>
      </c>
      <c r="L58" s="651" t="s">
        <v>115</v>
      </c>
      <c r="M58" s="652" t="s">
        <v>528</v>
      </c>
      <c r="N58" s="652" t="s">
        <v>432</v>
      </c>
      <c r="O58" s="653" t="s">
        <v>259</v>
      </c>
      <c r="P58" s="128" t="s">
        <v>547</v>
      </c>
      <c r="Q58" s="128" t="s">
        <v>548</v>
      </c>
      <c r="R58" s="654" t="s">
        <v>432</v>
      </c>
      <c r="S58" s="654" t="s">
        <v>592</v>
      </c>
      <c r="T58" s="128" t="s">
        <v>706</v>
      </c>
      <c r="U58" s="650" t="s">
        <v>548</v>
      </c>
      <c r="V58" s="670" t="s">
        <v>432</v>
      </c>
      <c r="W58" s="670" t="s">
        <v>732</v>
      </c>
      <c r="X58" s="713" t="s">
        <v>815</v>
      </c>
      <c r="Y58" s="713" t="s">
        <v>260</v>
      </c>
      <c r="Z58" s="713" t="s">
        <v>432</v>
      </c>
      <c r="AA58" s="713" t="s">
        <v>832</v>
      </c>
    </row>
    <row r="59" spans="1:38" s="7" customFormat="1">
      <c r="A59" s="130" t="s">
        <v>376</v>
      </c>
      <c r="B59" s="130" t="s">
        <v>377</v>
      </c>
      <c r="C59" s="130" t="s">
        <v>378</v>
      </c>
      <c r="D59" s="130" t="s">
        <v>379</v>
      </c>
      <c r="E59" s="130" t="s">
        <v>380</v>
      </c>
      <c r="F59" s="130" t="s">
        <v>381</v>
      </c>
      <c r="G59" s="130" t="s">
        <v>382</v>
      </c>
      <c r="H59" s="130" t="s">
        <v>383</v>
      </c>
      <c r="I59" s="130" t="s">
        <v>384</v>
      </c>
      <c r="J59" s="130" t="s">
        <v>385</v>
      </c>
      <c r="K59" s="130" t="s">
        <v>386</v>
      </c>
      <c r="L59" s="130" t="s">
        <v>387</v>
      </c>
      <c r="M59" s="131" t="s">
        <v>388</v>
      </c>
      <c r="N59" s="285" t="s">
        <v>389</v>
      </c>
      <c r="O59" s="285" t="s">
        <v>389</v>
      </c>
      <c r="P59" s="131" t="s">
        <v>390</v>
      </c>
      <c r="Q59" s="131" t="s">
        <v>546</v>
      </c>
      <c r="R59" s="489" t="s">
        <v>390</v>
      </c>
      <c r="S59" s="489" t="s">
        <v>389</v>
      </c>
      <c r="T59" s="131" t="s">
        <v>390</v>
      </c>
      <c r="U59" s="581" t="s">
        <v>546</v>
      </c>
      <c r="V59" s="131" t="s">
        <v>390</v>
      </c>
      <c r="W59" s="131" t="s">
        <v>389</v>
      </c>
      <c r="X59" s="131" t="s">
        <v>390</v>
      </c>
      <c r="Y59" s="131" t="s">
        <v>546</v>
      </c>
      <c r="Z59" s="131" t="s">
        <v>390</v>
      </c>
      <c r="AA59" s="786" t="s">
        <v>546</v>
      </c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</row>
    <row r="60" spans="1:38">
      <c r="A60" s="104" t="s">
        <v>117</v>
      </c>
      <c r="G60" s="105" t="s">
        <v>118</v>
      </c>
    </row>
    <row r="61" spans="1:38">
      <c r="D61" s="104" t="s">
        <v>122</v>
      </c>
      <c r="J61" s="105" t="s">
        <v>234</v>
      </c>
    </row>
    <row r="62" spans="1:38">
      <c r="E62" s="109" t="s">
        <v>235</v>
      </c>
      <c r="K62" s="105" t="s">
        <v>476</v>
      </c>
      <c r="N62" s="110"/>
      <c r="O62" s="110"/>
    </row>
    <row r="63" spans="1:38">
      <c r="E63" s="109"/>
      <c r="K63" s="119" t="s">
        <v>535</v>
      </c>
      <c r="L63" s="119"/>
      <c r="M63" s="110">
        <v>0</v>
      </c>
      <c r="N63" s="110">
        <v>308088</v>
      </c>
      <c r="O63" s="110">
        <f>M63+N63</f>
        <v>308088</v>
      </c>
      <c r="P63" s="110">
        <v>240</v>
      </c>
      <c r="Q63" s="110">
        <f>SUM(P63/O63)*100</f>
        <v>7.7899820830412095E-2</v>
      </c>
      <c r="R63" s="490">
        <v>0</v>
      </c>
      <c r="S63" s="490">
        <f>O63+R63</f>
        <v>308088</v>
      </c>
      <c r="T63" s="106">
        <v>240</v>
      </c>
      <c r="U63" s="617">
        <f>SUM(T63/S63)*100</f>
        <v>7.7899820830412095E-2</v>
      </c>
      <c r="V63" s="106">
        <v>0</v>
      </c>
      <c r="W63" s="106">
        <f>S63+V63</f>
        <v>308088</v>
      </c>
      <c r="X63" s="110">
        <v>25386</v>
      </c>
      <c r="Y63" s="110">
        <f>SUM(X63/W63)*100</f>
        <v>8.2398535483368374</v>
      </c>
      <c r="Z63" s="106">
        <v>0</v>
      </c>
      <c r="AA63" s="106">
        <f>W63+Z63</f>
        <v>308088</v>
      </c>
    </row>
    <row r="64" spans="1:38">
      <c r="A64" s="118"/>
      <c r="B64" s="118"/>
      <c r="C64" s="118"/>
      <c r="D64" s="118"/>
      <c r="E64" s="120"/>
      <c r="F64" s="119"/>
      <c r="G64" s="119"/>
      <c r="H64" s="119"/>
      <c r="I64" s="119"/>
      <c r="J64" s="119"/>
      <c r="K64" s="119" t="s">
        <v>537</v>
      </c>
      <c r="L64" s="119"/>
      <c r="M64" s="110">
        <v>0</v>
      </c>
      <c r="N64" s="110">
        <v>81962</v>
      </c>
      <c r="O64" s="110">
        <f>M64+N64</f>
        <v>81962</v>
      </c>
      <c r="P64" s="110">
        <v>21691</v>
      </c>
      <c r="Q64" s="110">
        <f>SUM(P64/O64)*100</f>
        <v>26.464703155120667</v>
      </c>
      <c r="R64" s="490">
        <v>907280</v>
      </c>
      <c r="S64" s="490">
        <f t="shared" ref="S64:S153" si="9">O64+R64</f>
        <v>989242</v>
      </c>
      <c r="T64" s="110">
        <v>30007</v>
      </c>
      <c r="U64" s="617">
        <f t="shared" ref="U64:U127" si="10">SUM(T64/S64)*100</f>
        <v>3.0333325920250052</v>
      </c>
      <c r="V64" s="106">
        <v>52864</v>
      </c>
      <c r="W64" s="106">
        <f t="shared" ref="W64:W135" si="11">S64+V64</f>
        <v>1042106</v>
      </c>
      <c r="X64" s="110">
        <v>235131</v>
      </c>
      <c r="Y64" s="110">
        <f t="shared" ref="Y64:Y131" si="12">SUM(X64/W64)*100</f>
        <v>22.563059803897108</v>
      </c>
      <c r="Z64" s="106">
        <v>132549</v>
      </c>
      <c r="AA64" s="106">
        <f t="shared" ref="AA64:AA133" si="13">W64+Z64</f>
        <v>1174655</v>
      </c>
    </row>
    <row r="65" spans="1:27">
      <c r="E65" s="109"/>
      <c r="K65" s="119" t="s">
        <v>564</v>
      </c>
      <c r="L65" s="119"/>
      <c r="M65" s="110">
        <v>0</v>
      </c>
      <c r="N65" s="110"/>
      <c r="O65" s="110">
        <v>0</v>
      </c>
      <c r="P65" s="110">
        <v>3927</v>
      </c>
      <c r="Q65" s="110">
        <v>0</v>
      </c>
      <c r="R65" s="490">
        <v>1017466</v>
      </c>
      <c r="S65" s="490">
        <f t="shared" si="9"/>
        <v>1017466</v>
      </c>
      <c r="T65" s="110">
        <v>310846</v>
      </c>
      <c r="U65" s="617">
        <f t="shared" si="10"/>
        <v>30.550996298647814</v>
      </c>
      <c r="V65" s="106">
        <v>26112</v>
      </c>
      <c r="W65" s="106">
        <f t="shared" si="11"/>
        <v>1043578</v>
      </c>
      <c r="X65" s="110">
        <v>357655</v>
      </c>
      <c r="Y65" s="110">
        <f t="shared" si="12"/>
        <v>34.271995001811078</v>
      </c>
      <c r="Z65" s="106">
        <v>-5167</v>
      </c>
      <c r="AA65" s="106">
        <f t="shared" si="13"/>
        <v>1038411</v>
      </c>
    </row>
    <row r="66" spans="1:27">
      <c r="E66" s="109"/>
      <c r="K66" s="119" t="s">
        <v>613</v>
      </c>
      <c r="L66" s="119"/>
      <c r="M66" s="110">
        <v>0</v>
      </c>
      <c r="N66" s="110"/>
      <c r="O66" s="110">
        <v>0</v>
      </c>
      <c r="P66" s="110"/>
      <c r="Q66" s="110"/>
      <c r="R66" s="490">
        <v>9842</v>
      </c>
      <c r="S66" s="490">
        <f>O66+R66</f>
        <v>9842</v>
      </c>
      <c r="T66" s="110">
        <v>0</v>
      </c>
      <c r="U66" s="617">
        <f t="shared" si="10"/>
        <v>0</v>
      </c>
      <c r="V66" s="106">
        <v>0</v>
      </c>
      <c r="W66" s="106">
        <f t="shared" si="11"/>
        <v>9842</v>
      </c>
      <c r="X66" s="110">
        <v>0</v>
      </c>
      <c r="Y66" s="110">
        <f t="shared" si="12"/>
        <v>0</v>
      </c>
      <c r="Z66" s="106">
        <v>0</v>
      </c>
      <c r="AA66" s="106">
        <f t="shared" si="13"/>
        <v>9842</v>
      </c>
    </row>
    <row r="67" spans="1:27">
      <c r="E67" s="109"/>
      <c r="K67" s="119" t="s">
        <v>565</v>
      </c>
      <c r="L67" s="119"/>
      <c r="M67" s="110">
        <v>0</v>
      </c>
      <c r="N67" s="110"/>
      <c r="O67" s="110">
        <v>0</v>
      </c>
      <c r="P67" s="110">
        <v>4685</v>
      </c>
      <c r="Q67" s="110">
        <v>0</v>
      </c>
      <c r="R67" s="490">
        <v>5000</v>
      </c>
      <c r="S67" s="490">
        <f t="shared" si="9"/>
        <v>5000</v>
      </c>
      <c r="T67" s="110">
        <v>4685</v>
      </c>
      <c r="U67" s="617">
        <f t="shared" si="10"/>
        <v>93.7</v>
      </c>
      <c r="V67" s="106">
        <v>0</v>
      </c>
      <c r="W67" s="106">
        <f t="shared" si="11"/>
        <v>5000</v>
      </c>
      <c r="X67" s="110">
        <v>4685</v>
      </c>
      <c r="Y67" s="110">
        <f t="shared" si="12"/>
        <v>93.7</v>
      </c>
      <c r="Z67" s="106">
        <v>0</v>
      </c>
      <c r="AA67" s="106">
        <f t="shared" si="13"/>
        <v>5000</v>
      </c>
    </row>
    <row r="68" spans="1:27">
      <c r="E68" s="109"/>
      <c r="K68" s="119" t="s">
        <v>566</v>
      </c>
      <c r="L68" s="119"/>
      <c r="M68" s="110">
        <v>0</v>
      </c>
      <c r="N68" s="110"/>
      <c r="O68" s="110">
        <v>0</v>
      </c>
      <c r="P68" s="110">
        <v>41</v>
      </c>
      <c r="Q68" s="110">
        <v>0</v>
      </c>
      <c r="R68" s="490">
        <f>12570+43478+527+1028</f>
        <v>57603</v>
      </c>
      <c r="S68" s="490">
        <f t="shared" si="9"/>
        <v>57603</v>
      </c>
      <c r="T68" s="110">
        <v>11267</v>
      </c>
      <c r="U68" s="617">
        <f t="shared" si="10"/>
        <v>19.559745152162215</v>
      </c>
      <c r="V68" s="106">
        <v>0</v>
      </c>
      <c r="W68" s="106">
        <f t="shared" si="11"/>
        <v>57603</v>
      </c>
      <c r="X68" s="110">
        <v>110069</v>
      </c>
      <c r="Y68" s="110">
        <f t="shared" si="12"/>
        <v>191.08206169817544</v>
      </c>
      <c r="Z68" s="106">
        <v>0</v>
      </c>
      <c r="AA68" s="106">
        <f t="shared" si="13"/>
        <v>57603</v>
      </c>
    </row>
    <row r="69" spans="1:27">
      <c r="E69" s="109"/>
      <c r="K69" s="119" t="s">
        <v>567</v>
      </c>
      <c r="L69" s="119"/>
      <c r="M69" s="110">
        <v>0</v>
      </c>
      <c r="N69" s="110"/>
      <c r="O69" s="110">
        <v>0</v>
      </c>
      <c r="P69" s="110">
        <v>176930</v>
      </c>
      <c r="Q69" s="110">
        <v>0</v>
      </c>
      <c r="R69" s="490">
        <v>172195</v>
      </c>
      <c r="S69" s="490">
        <f t="shared" si="9"/>
        <v>172195</v>
      </c>
      <c r="T69" s="110">
        <v>176930</v>
      </c>
      <c r="U69" s="617">
        <f t="shared" si="10"/>
        <v>102.74978948285374</v>
      </c>
      <c r="V69" s="106">
        <v>4735</v>
      </c>
      <c r="W69" s="106">
        <f t="shared" si="11"/>
        <v>176930</v>
      </c>
      <c r="X69" s="110">
        <v>176930</v>
      </c>
      <c r="Y69" s="110">
        <f t="shared" si="12"/>
        <v>100</v>
      </c>
      <c r="Z69" s="106">
        <v>0</v>
      </c>
      <c r="AA69" s="106">
        <f t="shared" si="13"/>
        <v>176930</v>
      </c>
    </row>
    <row r="70" spans="1:27">
      <c r="E70" s="109"/>
      <c r="K70" s="119" t="s">
        <v>568</v>
      </c>
      <c r="L70" s="119"/>
      <c r="M70" s="110">
        <v>0</v>
      </c>
      <c r="N70" s="110"/>
      <c r="O70" s="110">
        <v>0</v>
      </c>
      <c r="P70" s="110">
        <v>622</v>
      </c>
      <c r="Q70" s="110">
        <v>0</v>
      </c>
      <c r="R70" s="490">
        <v>622</v>
      </c>
      <c r="S70" s="490">
        <f t="shared" si="9"/>
        <v>622</v>
      </c>
      <c r="T70" s="110">
        <v>622</v>
      </c>
      <c r="U70" s="617">
        <f t="shared" si="10"/>
        <v>100</v>
      </c>
      <c r="V70" s="106">
        <v>0</v>
      </c>
      <c r="W70" s="106">
        <f t="shared" si="11"/>
        <v>622</v>
      </c>
      <c r="X70" s="110">
        <v>622</v>
      </c>
      <c r="Y70" s="110">
        <f t="shared" si="12"/>
        <v>100</v>
      </c>
      <c r="Z70" s="106">
        <v>0</v>
      </c>
      <c r="AA70" s="106">
        <f t="shared" si="13"/>
        <v>622</v>
      </c>
    </row>
    <row r="71" spans="1:27">
      <c r="E71" s="109"/>
      <c r="K71" s="119" t="s">
        <v>569</v>
      </c>
      <c r="L71" s="119"/>
      <c r="M71" s="110">
        <v>0</v>
      </c>
      <c r="N71" s="110"/>
      <c r="O71" s="110">
        <v>0</v>
      </c>
      <c r="P71" s="110">
        <v>54</v>
      </c>
      <c r="Q71" s="110">
        <v>0</v>
      </c>
      <c r="R71" s="490">
        <v>118229</v>
      </c>
      <c r="S71" s="490">
        <f t="shared" si="9"/>
        <v>118229</v>
      </c>
      <c r="T71" s="110">
        <v>5525</v>
      </c>
      <c r="U71" s="617">
        <f t="shared" si="10"/>
        <v>4.6731343409823305</v>
      </c>
      <c r="V71" s="106">
        <v>0</v>
      </c>
      <c r="W71" s="106">
        <f t="shared" si="11"/>
        <v>118229</v>
      </c>
      <c r="X71" s="110">
        <v>35365</v>
      </c>
      <c r="Y71" s="110">
        <f t="shared" si="12"/>
        <v>29.912288863138485</v>
      </c>
      <c r="Z71" s="106">
        <v>80</v>
      </c>
      <c r="AA71" s="106">
        <f t="shared" si="13"/>
        <v>118309</v>
      </c>
    </row>
    <row r="72" spans="1:27">
      <c r="E72" s="109"/>
      <c r="K72" s="119" t="s">
        <v>621</v>
      </c>
      <c r="L72" s="119"/>
      <c r="M72" s="110">
        <v>0</v>
      </c>
      <c r="N72" s="110"/>
      <c r="O72" s="110">
        <v>0</v>
      </c>
      <c r="P72" s="110"/>
      <c r="Q72" s="110"/>
      <c r="R72" s="490">
        <f>1168+1344</f>
        <v>2512</v>
      </c>
      <c r="S72" s="490">
        <f t="shared" si="9"/>
        <v>2512</v>
      </c>
      <c r="T72" s="110">
        <v>1169</v>
      </c>
      <c r="U72" s="617">
        <f t="shared" si="10"/>
        <v>46.53662420382166</v>
      </c>
      <c r="V72" s="106">
        <v>0</v>
      </c>
      <c r="W72" s="106">
        <f t="shared" si="11"/>
        <v>2512</v>
      </c>
      <c r="X72" s="110">
        <v>1169</v>
      </c>
      <c r="Y72" s="110">
        <f t="shared" si="12"/>
        <v>46.53662420382166</v>
      </c>
      <c r="Z72" s="106">
        <v>997</v>
      </c>
      <c r="AA72" s="106">
        <f t="shared" si="13"/>
        <v>3509</v>
      </c>
    </row>
    <row r="73" spans="1:27">
      <c r="E73" s="109"/>
      <c r="K73" s="119" t="s">
        <v>622</v>
      </c>
      <c r="L73" s="119"/>
      <c r="M73" s="110">
        <v>0</v>
      </c>
      <c r="N73" s="110"/>
      <c r="O73" s="110">
        <v>0</v>
      </c>
      <c r="P73" s="110"/>
      <c r="Q73" s="110"/>
      <c r="R73" s="490">
        <v>1321</v>
      </c>
      <c r="S73" s="490">
        <f t="shared" si="9"/>
        <v>1321</v>
      </c>
      <c r="T73" s="110">
        <v>1321</v>
      </c>
      <c r="U73" s="617">
        <f t="shared" si="10"/>
        <v>100</v>
      </c>
      <c r="V73" s="106">
        <v>0</v>
      </c>
      <c r="W73" s="106">
        <f t="shared" si="11"/>
        <v>1321</v>
      </c>
      <c r="X73" s="110">
        <v>1321</v>
      </c>
      <c r="Y73" s="110">
        <f t="shared" si="12"/>
        <v>100</v>
      </c>
      <c r="Z73" s="106">
        <v>980</v>
      </c>
      <c r="AA73" s="106">
        <f t="shared" si="13"/>
        <v>2301</v>
      </c>
    </row>
    <row r="74" spans="1:27">
      <c r="E74" s="109"/>
      <c r="K74" s="119" t="s">
        <v>816</v>
      </c>
      <c r="L74" s="119"/>
      <c r="M74" s="110">
        <v>0</v>
      </c>
      <c r="N74" s="110"/>
      <c r="O74" s="110"/>
      <c r="P74" s="110"/>
      <c r="Q74" s="110"/>
      <c r="R74" s="490"/>
      <c r="S74" s="490"/>
      <c r="T74" s="110"/>
      <c r="W74" s="106">
        <v>0</v>
      </c>
      <c r="X74" s="110">
        <v>6093</v>
      </c>
      <c r="Y74" s="110">
        <v>0</v>
      </c>
      <c r="Z74" s="106">
        <v>0</v>
      </c>
      <c r="AA74" s="106">
        <f t="shared" si="13"/>
        <v>0</v>
      </c>
    </row>
    <row r="75" spans="1:27">
      <c r="E75" s="109"/>
      <c r="K75" s="119" t="s">
        <v>570</v>
      </c>
      <c r="L75" s="119"/>
      <c r="M75" s="110">
        <v>0</v>
      </c>
      <c r="N75" s="110"/>
      <c r="O75" s="110">
        <v>0</v>
      </c>
      <c r="P75" s="110">
        <v>457</v>
      </c>
      <c r="Q75" s="110">
        <v>0</v>
      </c>
      <c r="R75" s="490">
        <v>20361</v>
      </c>
      <c r="S75" s="490">
        <f t="shared" si="9"/>
        <v>20361</v>
      </c>
      <c r="T75" s="110">
        <v>457</v>
      </c>
      <c r="U75" s="617">
        <f t="shared" si="10"/>
        <v>2.2444870094789056</v>
      </c>
      <c r="V75" s="106">
        <v>-162</v>
      </c>
      <c r="W75" s="106">
        <f t="shared" si="11"/>
        <v>20199</v>
      </c>
      <c r="X75" s="110">
        <v>16671</v>
      </c>
      <c r="Y75" s="110">
        <f t="shared" si="12"/>
        <v>82.533788801425814</v>
      </c>
      <c r="Z75" s="106">
        <v>0</v>
      </c>
      <c r="AA75" s="106">
        <f t="shared" si="13"/>
        <v>20199</v>
      </c>
    </row>
    <row r="76" spans="1:27">
      <c r="E76" s="109"/>
      <c r="K76" s="119" t="s">
        <v>619</v>
      </c>
      <c r="L76" s="119"/>
      <c r="M76" s="110">
        <v>0</v>
      </c>
      <c r="N76" s="110"/>
      <c r="O76" s="110">
        <v>0</v>
      </c>
      <c r="P76" s="110">
        <v>10701</v>
      </c>
      <c r="Q76" s="110">
        <v>0</v>
      </c>
      <c r="R76" s="490">
        <v>12142</v>
      </c>
      <c r="S76" s="490">
        <f t="shared" si="9"/>
        <v>12142</v>
      </c>
      <c r="T76" s="110">
        <v>12323</v>
      </c>
      <c r="U76" s="617">
        <f t="shared" si="10"/>
        <v>101.49069346071487</v>
      </c>
      <c r="V76" s="106">
        <v>0</v>
      </c>
      <c r="W76" s="106">
        <f t="shared" si="11"/>
        <v>12142</v>
      </c>
      <c r="X76" s="110">
        <v>12322</v>
      </c>
      <c r="Y76" s="110">
        <f t="shared" si="12"/>
        <v>101.48245758524131</v>
      </c>
      <c r="Z76" s="106">
        <v>0</v>
      </c>
      <c r="AA76" s="106">
        <f t="shared" si="13"/>
        <v>12142</v>
      </c>
    </row>
    <row r="77" spans="1:27">
      <c r="E77" s="109"/>
      <c r="K77" s="119" t="s">
        <v>571</v>
      </c>
      <c r="L77" s="119"/>
      <c r="M77" s="110">
        <v>0</v>
      </c>
      <c r="N77" s="110"/>
      <c r="O77" s="110">
        <v>0</v>
      </c>
      <c r="P77" s="110">
        <v>4992</v>
      </c>
      <c r="Q77" s="110">
        <v>0</v>
      </c>
      <c r="R77" s="490">
        <v>4992</v>
      </c>
      <c r="S77" s="490">
        <f t="shared" si="9"/>
        <v>4992</v>
      </c>
      <c r="T77" s="110">
        <v>5807</v>
      </c>
      <c r="U77" s="617">
        <f t="shared" si="10"/>
        <v>116.32612179487178</v>
      </c>
      <c r="V77" s="106">
        <v>0</v>
      </c>
      <c r="W77" s="106">
        <f t="shared" si="11"/>
        <v>4992</v>
      </c>
      <c r="X77" s="110">
        <v>5807</v>
      </c>
      <c r="Y77" s="110">
        <f t="shared" si="12"/>
        <v>116.32612179487178</v>
      </c>
      <c r="Z77" s="106">
        <v>0</v>
      </c>
      <c r="AA77" s="106">
        <f t="shared" si="13"/>
        <v>4992</v>
      </c>
    </row>
    <row r="78" spans="1:27">
      <c r="E78" s="109"/>
      <c r="K78" s="119" t="s">
        <v>572</v>
      </c>
      <c r="L78" s="119"/>
      <c r="M78" s="110">
        <v>0</v>
      </c>
      <c r="N78" s="110"/>
      <c r="O78" s="110">
        <v>0</v>
      </c>
      <c r="P78" s="110">
        <v>896</v>
      </c>
      <c r="Q78" s="110">
        <v>0</v>
      </c>
      <c r="R78" s="490">
        <v>896</v>
      </c>
      <c r="S78" s="490">
        <f t="shared" si="9"/>
        <v>896</v>
      </c>
      <c r="T78" s="110">
        <v>896</v>
      </c>
      <c r="U78" s="617">
        <f t="shared" si="10"/>
        <v>100</v>
      </c>
      <c r="V78" s="106">
        <v>0</v>
      </c>
      <c r="W78" s="106">
        <f t="shared" si="11"/>
        <v>896</v>
      </c>
      <c r="X78" s="110">
        <v>896</v>
      </c>
      <c r="Y78" s="110">
        <f t="shared" si="12"/>
        <v>100</v>
      </c>
      <c r="Z78" s="106">
        <v>0</v>
      </c>
      <c r="AA78" s="106">
        <f t="shared" si="13"/>
        <v>896</v>
      </c>
    </row>
    <row r="79" spans="1:27">
      <c r="E79" s="109"/>
      <c r="K79" s="119" t="s">
        <v>609</v>
      </c>
      <c r="L79" s="119"/>
      <c r="M79" s="110">
        <v>0</v>
      </c>
      <c r="N79" s="110"/>
      <c r="O79" s="110">
        <v>0</v>
      </c>
      <c r="P79" s="110"/>
      <c r="Q79" s="110"/>
      <c r="R79" s="490">
        <v>28098</v>
      </c>
      <c r="S79" s="490">
        <f>O79+R79</f>
        <v>28098</v>
      </c>
      <c r="T79" s="110">
        <v>21360</v>
      </c>
      <c r="U79" s="617">
        <f t="shared" si="10"/>
        <v>76.019645526371988</v>
      </c>
      <c r="V79" s="106">
        <v>-954</v>
      </c>
      <c r="W79" s="106">
        <f t="shared" si="11"/>
        <v>27144</v>
      </c>
      <c r="X79" s="110">
        <v>21359</v>
      </c>
      <c r="Y79" s="110">
        <f t="shared" si="12"/>
        <v>78.687739463601531</v>
      </c>
      <c r="Z79" s="106">
        <v>954</v>
      </c>
      <c r="AA79" s="106">
        <f t="shared" si="13"/>
        <v>28098</v>
      </c>
    </row>
    <row r="80" spans="1:27">
      <c r="A80" s="118"/>
      <c r="B80" s="118"/>
      <c r="C80" s="118"/>
      <c r="D80" s="118"/>
      <c r="E80" s="120"/>
      <c r="F80" s="119"/>
      <c r="G80" s="119"/>
      <c r="H80" s="119"/>
      <c r="I80" s="119"/>
      <c r="J80" s="119"/>
      <c r="K80" s="119" t="s">
        <v>608</v>
      </c>
      <c r="L80" s="119"/>
      <c r="M80" s="110">
        <v>0</v>
      </c>
      <c r="N80" s="110"/>
      <c r="O80" s="110">
        <v>0</v>
      </c>
      <c r="P80" s="110">
        <v>130</v>
      </c>
      <c r="Q80" s="110">
        <v>0</v>
      </c>
      <c r="R80" s="490">
        <v>130</v>
      </c>
      <c r="S80" s="490">
        <f t="shared" si="9"/>
        <v>130</v>
      </c>
      <c r="T80" s="110">
        <v>130</v>
      </c>
      <c r="U80" s="617">
        <f t="shared" si="10"/>
        <v>100</v>
      </c>
      <c r="V80" s="106">
        <v>0</v>
      </c>
      <c r="W80" s="106">
        <f t="shared" si="11"/>
        <v>130</v>
      </c>
      <c r="X80" s="110">
        <v>130</v>
      </c>
      <c r="Y80" s="110">
        <f t="shared" si="12"/>
        <v>100</v>
      </c>
      <c r="Z80" s="106">
        <v>0</v>
      </c>
      <c r="AA80" s="106">
        <f t="shared" si="13"/>
        <v>130</v>
      </c>
    </row>
    <row r="81" spans="1:27">
      <c r="A81" s="118"/>
      <c r="B81" s="118"/>
      <c r="C81" s="118"/>
      <c r="D81" s="118"/>
      <c r="E81" s="120"/>
      <c r="F81" s="119"/>
      <c r="G81" s="119"/>
      <c r="H81" s="119"/>
      <c r="I81" s="119"/>
      <c r="J81" s="119"/>
      <c r="K81" s="119" t="s">
        <v>610</v>
      </c>
      <c r="L81" s="119"/>
      <c r="M81" s="110">
        <v>0</v>
      </c>
      <c r="N81" s="110"/>
      <c r="O81" s="110">
        <v>0</v>
      </c>
      <c r="P81" s="110"/>
      <c r="Q81" s="110"/>
      <c r="R81" s="490">
        <v>16417</v>
      </c>
      <c r="S81" s="490">
        <f t="shared" si="9"/>
        <v>16417</v>
      </c>
      <c r="T81" s="110">
        <v>0</v>
      </c>
      <c r="U81" s="617">
        <f t="shared" si="10"/>
        <v>0</v>
      </c>
      <c r="V81" s="106">
        <v>11451</v>
      </c>
      <c r="W81" s="106">
        <f t="shared" si="11"/>
        <v>27868</v>
      </c>
      <c r="X81" s="110">
        <v>0</v>
      </c>
      <c r="Y81" s="110">
        <f t="shared" si="12"/>
        <v>0</v>
      </c>
      <c r="Z81" s="106">
        <v>280</v>
      </c>
      <c r="AA81" s="106">
        <f t="shared" si="13"/>
        <v>28148</v>
      </c>
    </row>
    <row r="82" spans="1:27">
      <c r="A82" s="118"/>
      <c r="B82" s="118"/>
      <c r="C82" s="118"/>
      <c r="D82" s="118"/>
      <c r="E82" s="120"/>
      <c r="F82" s="119"/>
      <c r="G82" s="119"/>
      <c r="H82" s="119"/>
      <c r="I82" s="119"/>
      <c r="J82" s="119"/>
      <c r="K82" s="119" t="s">
        <v>620</v>
      </c>
      <c r="L82" s="119"/>
      <c r="M82" s="110">
        <v>0</v>
      </c>
      <c r="N82" s="110"/>
      <c r="O82" s="110">
        <v>0</v>
      </c>
      <c r="P82" s="110"/>
      <c r="Q82" s="110"/>
      <c r="R82" s="490">
        <v>329</v>
      </c>
      <c r="S82" s="490">
        <f t="shared" si="9"/>
        <v>329</v>
      </c>
      <c r="T82" s="110">
        <v>0</v>
      </c>
      <c r="U82" s="617">
        <f t="shared" si="10"/>
        <v>0</v>
      </c>
      <c r="V82" s="106">
        <v>0</v>
      </c>
      <c r="W82" s="106">
        <f t="shared" si="11"/>
        <v>329</v>
      </c>
      <c r="X82" s="110">
        <v>0</v>
      </c>
      <c r="Y82" s="110">
        <f t="shared" si="12"/>
        <v>0</v>
      </c>
      <c r="Z82" s="106">
        <v>0</v>
      </c>
      <c r="AA82" s="106">
        <f t="shared" si="13"/>
        <v>329</v>
      </c>
    </row>
    <row r="83" spans="1:27">
      <c r="A83" s="118"/>
      <c r="B83" s="118"/>
      <c r="C83" s="118"/>
      <c r="D83" s="118"/>
      <c r="E83" s="120"/>
      <c r="F83" s="119"/>
      <c r="G83" s="119"/>
      <c r="H83" s="119"/>
      <c r="I83" s="119"/>
      <c r="J83" s="119"/>
      <c r="K83" s="119" t="s">
        <v>611</v>
      </c>
      <c r="L83" s="119"/>
      <c r="M83" s="110">
        <v>0</v>
      </c>
      <c r="N83" s="110"/>
      <c r="O83" s="110">
        <v>0</v>
      </c>
      <c r="P83" s="110"/>
      <c r="Q83" s="110"/>
      <c r="R83" s="490">
        <v>24000</v>
      </c>
      <c r="S83" s="490">
        <f t="shared" si="9"/>
        <v>24000</v>
      </c>
      <c r="T83" s="110">
        <v>0</v>
      </c>
      <c r="U83" s="617">
        <f t="shared" si="10"/>
        <v>0</v>
      </c>
      <c r="V83" s="106">
        <v>0</v>
      </c>
      <c r="W83" s="106">
        <f t="shared" si="11"/>
        <v>24000</v>
      </c>
      <c r="X83" s="110">
        <v>0</v>
      </c>
      <c r="Y83" s="110">
        <f t="shared" si="12"/>
        <v>0</v>
      </c>
      <c r="Z83" s="106">
        <v>-24000</v>
      </c>
      <c r="AA83" s="106">
        <f t="shared" si="13"/>
        <v>0</v>
      </c>
    </row>
    <row r="84" spans="1:27">
      <c r="A84" s="118"/>
      <c r="B84" s="118"/>
      <c r="C84" s="118"/>
      <c r="D84" s="118"/>
      <c r="E84" s="120"/>
      <c r="F84" s="119"/>
      <c r="G84" s="119"/>
      <c r="H84" s="119"/>
      <c r="I84" s="119"/>
      <c r="J84" s="119"/>
      <c r="K84" s="119" t="s">
        <v>612</v>
      </c>
      <c r="L84" s="119"/>
      <c r="M84" s="110">
        <v>0</v>
      </c>
      <c r="N84" s="110"/>
      <c r="O84" s="110">
        <v>0</v>
      </c>
      <c r="P84" s="110"/>
      <c r="Q84" s="110"/>
      <c r="R84" s="490">
        <v>2560</v>
      </c>
      <c r="S84" s="490">
        <f t="shared" si="9"/>
        <v>2560</v>
      </c>
      <c r="T84" s="110">
        <v>0</v>
      </c>
      <c r="U84" s="617">
        <f t="shared" si="10"/>
        <v>0</v>
      </c>
      <c r="V84" s="106">
        <v>0</v>
      </c>
      <c r="W84" s="106">
        <f t="shared" si="11"/>
        <v>2560</v>
      </c>
      <c r="X84" s="110">
        <v>0</v>
      </c>
      <c r="Y84" s="110">
        <f t="shared" si="12"/>
        <v>0</v>
      </c>
      <c r="Z84" s="106">
        <v>0</v>
      </c>
      <c r="AA84" s="106">
        <f t="shared" si="13"/>
        <v>2560</v>
      </c>
    </row>
    <row r="85" spans="1:27">
      <c r="A85" s="118"/>
      <c r="B85" s="118"/>
      <c r="C85" s="118"/>
      <c r="D85" s="118"/>
      <c r="E85" s="120"/>
      <c r="F85" s="119"/>
      <c r="G85" s="119"/>
      <c r="H85" s="119"/>
      <c r="I85" s="119"/>
      <c r="J85" s="119"/>
      <c r="K85" s="119" t="s">
        <v>614</v>
      </c>
      <c r="L85" s="119"/>
      <c r="M85" s="110">
        <v>0</v>
      </c>
      <c r="N85" s="110"/>
      <c r="O85" s="110">
        <v>0</v>
      </c>
      <c r="P85" s="110"/>
      <c r="Q85" s="110"/>
      <c r="R85" s="490">
        <v>2089</v>
      </c>
      <c r="S85" s="490">
        <f t="shared" si="9"/>
        <v>2089</v>
      </c>
      <c r="T85" s="110">
        <v>0</v>
      </c>
      <c r="U85" s="617">
        <f t="shared" si="10"/>
        <v>0</v>
      </c>
      <c r="V85" s="106">
        <v>0</v>
      </c>
      <c r="W85" s="106">
        <f t="shared" si="11"/>
        <v>2089</v>
      </c>
      <c r="X85" s="110">
        <v>0</v>
      </c>
      <c r="Y85" s="110">
        <f t="shared" si="12"/>
        <v>0</v>
      </c>
      <c r="Z85" s="106">
        <v>-305</v>
      </c>
      <c r="AA85" s="106">
        <f t="shared" si="13"/>
        <v>1784</v>
      </c>
    </row>
    <row r="86" spans="1:27">
      <c r="A86" s="118"/>
      <c r="B86" s="118"/>
      <c r="C86" s="118"/>
      <c r="D86" s="118"/>
      <c r="E86" s="120"/>
      <c r="F86" s="119"/>
      <c r="G86" s="119"/>
      <c r="H86" s="119"/>
      <c r="I86" s="119"/>
      <c r="J86" s="119"/>
      <c r="K86" s="119" t="s">
        <v>615</v>
      </c>
      <c r="L86" s="119"/>
      <c r="M86" s="110">
        <v>0</v>
      </c>
      <c r="N86" s="110"/>
      <c r="O86" s="110">
        <v>0</v>
      </c>
      <c r="P86" s="110"/>
      <c r="Q86" s="110"/>
      <c r="R86" s="490">
        <v>2627</v>
      </c>
      <c r="S86" s="490">
        <f t="shared" si="9"/>
        <v>2627</v>
      </c>
      <c r="T86" s="110">
        <v>0</v>
      </c>
      <c r="U86" s="617">
        <f t="shared" si="10"/>
        <v>0</v>
      </c>
      <c r="V86" s="106">
        <v>0</v>
      </c>
      <c r="W86" s="106">
        <f t="shared" si="11"/>
        <v>2627</v>
      </c>
      <c r="X86" s="110">
        <v>0</v>
      </c>
      <c r="Y86" s="110">
        <f t="shared" si="12"/>
        <v>0</v>
      </c>
      <c r="Z86" s="106">
        <v>0</v>
      </c>
      <c r="AA86" s="106">
        <f t="shared" si="13"/>
        <v>2627</v>
      </c>
    </row>
    <row r="87" spans="1:27">
      <c r="A87" s="118"/>
      <c r="B87" s="118"/>
      <c r="C87" s="118"/>
      <c r="D87" s="118"/>
      <c r="E87" s="120"/>
      <c r="F87" s="119"/>
      <c r="G87" s="119"/>
      <c r="H87" s="119"/>
      <c r="I87" s="119"/>
      <c r="J87" s="119"/>
      <c r="K87" s="119" t="s">
        <v>744</v>
      </c>
      <c r="L87" s="119"/>
      <c r="M87" s="110">
        <v>0</v>
      </c>
      <c r="N87" s="110"/>
      <c r="O87" s="110"/>
      <c r="P87" s="110"/>
      <c r="Q87" s="110"/>
      <c r="R87" s="490"/>
      <c r="S87" s="490">
        <v>0</v>
      </c>
      <c r="T87" s="110"/>
      <c r="V87" s="106">
        <v>12830</v>
      </c>
      <c r="W87" s="106">
        <f t="shared" si="11"/>
        <v>12830</v>
      </c>
      <c r="X87" s="110">
        <v>12830</v>
      </c>
      <c r="Y87" s="110">
        <f t="shared" si="12"/>
        <v>100</v>
      </c>
      <c r="Z87" s="106">
        <v>0</v>
      </c>
      <c r="AA87" s="106">
        <f t="shared" si="13"/>
        <v>12830</v>
      </c>
    </row>
    <row r="88" spans="1:27">
      <c r="A88" s="118"/>
      <c r="B88" s="118"/>
      <c r="C88" s="118"/>
      <c r="D88" s="118"/>
      <c r="E88" s="120"/>
      <c r="F88" s="119"/>
      <c r="G88" s="119"/>
      <c r="H88" s="119"/>
      <c r="I88" s="119"/>
      <c r="J88" s="119"/>
      <c r="K88" s="119" t="s">
        <v>617</v>
      </c>
      <c r="L88" s="119"/>
      <c r="M88" s="110">
        <v>0</v>
      </c>
      <c r="N88" s="110"/>
      <c r="O88" s="110">
        <v>0</v>
      </c>
      <c r="P88" s="110"/>
      <c r="Q88" s="110"/>
      <c r="R88" s="490">
        <v>30</v>
      </c>
      <c r="S88" s="490">
        <f t="shared" si="9"/>
        <v>30</v>
      </c>
      <c r="T88" s="110">
        <v>0</v>
      </c>
      <c r="U88" s="617">
        <f t="shared" si="10"/>
        <v>0</v>
      </c>
      <c r="V88" s="106">
        <v>30</v>
      </c>
      <c r="W88" s="106">
        <f t="shared" si="11"/>
        <v>60</v>
      </c>
      <c r="X88" s="110">
        <v>60</v>
      </c>
      <c r="Y88" s="110">
        <f t="shared" si="12"/>
        <v>100</v>
      </c>
      <c r="Z88" s="106">
        <v>0</v>
      </c>
      <c r="AA88" s="106">
        <f t="shared" si="13"/>
        <v>60</v>
      </c>
    </row>
    <row r="89" spans="1:27">
      <c r="A89" s="118"/>
      <c r="B89" s="118"/>
      <c r="C89" s="118"/>
      <c r="D89" s="118"/>
      <c r="E89" s="120"/>
      <c r="F89" s="119"/>
      <c r="G89" s="119"/>
      <c r="H89" s="119"/>
      <c r="I89" s="119"/>
      <c r="J89" s="119"/>
      <c r="K89" s="119" t="s">
        <v>618</v>
      </c>
      <c r="L89" s="119"/>
      <c r="M89" s="110">
        <v>0</v>
      </c>
      <c r="N89" s="110"/>
      <c r="O89" s="110">
        <v>0</v>
      </c>
      <c r="P89" s="110"/>
      <c r="Q89" s="110"/>
      <c r="R89" s="490">
        <v>12880</v>
      </c>
      <c r="S89" s="490">
        <f t="shared" si="9"/>
        <v>12880</v>
      </c>
      <c r="T89" s="110">
        <v>12880</v>
      </c>
      <c r="U89" s="617">
        <f t="shared" si="10"/>
        <v>100</v>
      </c>
      <c r="V89" s="106">
        <v>5680</v>
      </c>
      <c r="W89" s="106">
        <f t="shared" si="11"/>
        <v>18560</v>
      </c>
      <c r="X89" s="110">
        <v>18560</v>
      </c>
      <c r="Y89" s="110">
        <f t="shared" si="12"/>
        <v>100</v>
      </c>
      <c r="Z89" s="106">
        <v>0</v>
      </c>
      <c r="AA89" s="106">
        <f t="shared" si="13"/>
        <v>18560</v>
      </c>
    </row>
    <row r="90" spans="1:27">
      <c r="A90" s="118"/>
      <c r="B90" s="118"/>
      <c r="C90" s="118"/>
      <c r="D90" s="118"/>
      <c r="E90" s="120"/>
      <c r="F90" s="119"/>
      <c r="G90" s="119"/>
      <c r="H90" s="119"/>
      <c r="I90" s="119"/>
      <c r="J90" s="119"/>
      <c r="K90" s="119" t="s">
        <v>728</v>
      </c>
      <c r="L90" s="119"/>
      <c r="M90" s="110">
        <v>0</v>
      </c>
      <c r="N90" s="293"/>
      <c r="O90" s="293"/>
      <c r="P90" s="293"/>
      <c r="Q90" s="293"/>
      <c r="R90" s="621"/>
      <c r="S90" s="621">
        <v>0</v>
      </c>
      <c r="T90" s="293">
        <v>170</v>
      </c>
      <c r="U90" s="617">
        <v>0</v>
      </c>
      <c r="V90" s="106">
        <v>170</v>
      </c>
      <c r="W90" s="106">
        <f t="shared" si="11"/>
        <v>170</v>
      </c>
      <c r="X90" s="110">
        <v>170</v>
      </c>
      <c r="Y90" s="110">
        <f t="shared" si="12"/>
        <v>100</v>
      </c>
      <c r="Z90" s="106">
        <v>0</v>
      </c>
      <c r="AA90" s="106">
        <f t="shared" si="13"/>
        <v>170</v>
      </c>
    </row>
    <row r="91" spans="1:27">
      <c r="A91" s="118"/>
      <c r="B91" s="118"/>
      <c r="C91" s="118"/>
      <c r="D91" s="118"/>
      <c r="E91" s="120"/>
      <c r="F91" s="119"/>
      <c r="G91" s="119"/>
      <c r="H91" s="119"/>
      <c r="I91" s="119"/>
      <c r="J91" s="119"/>
      <c r="K91" s="119" t="s">
        <v>843</v>
      </c>
      <c r="L91" s="119"/>
      <c r="M91" s="110">
        <v>0</v>
      </c>
      <c r="N91" s="293"/>
      <c r="O91" s="293"/>
      <c r="P91" s="293"/>
      <c r="Q91" s="293"/>
      <c r="R91" s="621"/>
      <c r="S91" s="621"/>
      <c r="T91" s="293"/>
      <c r="W91" s="106">
        <v>0</v>
      </c>
      <c r="X91" s="110"/>
      <c r="Y91" s="110"/>
      <c r="Z91" s="106">
        <v>2608</v>
      </c>
      <c r="AA91" s="106">
        <f t="shared" si="13"/>
        <v>2608</v>
      </c>
    </row>
    <row r="92" spans="1:27">
      <c r="A92" s="118"/>
      <c r="B92" s="118"/>
      <c r="C92" s="118"/>
      <c r="D92" s="118"/>
      <c r="E92" s="120"/>
      <c r="F92" s="119"/>
      <c r="G92" s="119"/>
      <c r="H92" s="119"/>
      <c r="I92" s="119"/>
      <c r="J92" s="119"/>
      <c r="K92" s="119" t="s">
        <v>844</v>
      </c>
      <c r="L92" s="119"/>
      <c r="M92" s="110">
        <v>0</v>
      </c>
      <c r="N92" s="293"/>
      <c r="O92" s="293"/>
      <c r="P92" s="293"/>
      <c r="Q92" s="293"/>
      <c r="R92" s="621"/>
      <c r="S92" s="621"/>
      <c r="T92" s="293"/>
      <c r="W92" s="106">
        <v>0</v>
      </c>
      <c r="X92" s="110"/>
      <c r="Y92" s="110"/>
      <c r="Z92" s="106">
        <v>99143</v>
      </c>
      <c r="AA92" s="106">
        <f t="shared" si="13"/>
        <v>99143</v>
      </c>
    </row>
    <row r="93" spans="1:27">
      <c r="A93" s="118"/>
      <c r="B93" s="118"/>
      <c r="C93" s="118"/>
      <c r="D93" s="118"/>
      <c r="E93" s="120"/>
      <c r="F93" s="119"/>
      <c r="G93" s="119"/>
      <c r="H93" s="119"/>
      <c r="I93" s="119"/>
      <c r="J93" s="119"/>
      <c r="K93" s="119" t="s">
        <v>845</v>
      </c>
      <c r="L93" s="119"/>
      <c r="M93" s="110">
        <v>0</v>
      </c>
      <c r="N93" s="293"/>
      <c r="O93" s="293"/>
      <c r="P93" s="293"/>
      <c r="Q93" s="293"/>
      <c r="R93" s="621"/>
      <c r="S93" s="621"/>
      <c r="T93" s="293"/>
      <c r="W93" s="106">
        <v>0</v>
      </c>
      <c r="X93" s="110"/>
      <c r="Y93" s="110"/>
      <c r="Z93" s="106">
        <v>143</v>
      </c>
      <c r="AA93" s="106">
        <f t="shared" si="13"/>
        <v>143</v>
      </c>
    </row>
    <row r="94" spans="1:27">
      <c r="A94" s="401"/>
      <c r="B94" s="401"/>
      <c r="C94" s="401"/>
      <c r="D94" s="401"/>
      <c r="E94" s="402"/>
      <c r="F94" s="403"/>
      <c r="G94" s="403"/>
      <c r="H94" s="403"/>
      <c r="I94" s="403"/>
      <c r="J94" s="403"/>
      <c r="K94" s="403" t="s">
        <v>846</v>
      </c>
      <c r="L94" s="403"/>
      <c r="M94" s="293">
        <v>0</v>
      </c>
      <c r="N94" s="293"/>
      <c r="O94" s="293"/>
      <c r="P94" s="293"/>
      <c r="Q94" s="293"/>
      <c r="R94" s="621"/>
      <c r="S94" s="621"/>
      <c r="T94" s="293"/>
      <c r="W94" s="106">
        <v>0</v>
      </c>
      <c r="X94" s="110"/>
      <c r="Y94" s="110"/>
      <c r="Z94" s="106">
        <v>508</v>
      </c>
      <c r="AA94" s="106">
        <f t="shared" si="13"/>
        <v>508</v>
      </c>
    </row>
    <row r="95" spans="1:27" ht="15.75">
      <c r="A95" s="122"/>
      <c r="B95" s="122"/>
      <c r="C95" s="122"/>
      <c r="D95" s="122"/>
      <c r="E95" s="404" t="s">
        <v>235</v>
      </c>
      <c r="F95" s="114"/>
      <c r="G95" s="114" t="s">
        <v>540</v>
      </c>
      <c r="H95" s="114"/>
      <c r="I95" s="114"/>
      <c r="J95" s="114"/>
      <c r="K95" s="114"/>
      <c r="L95" s="114"/>
      <c r="M95" s="292">
        <v>0</v>
      </c>
      <c r="N95" s="405">
        <f>SUM(N63:N80)</f>
        <v>390050</v>
      </c>
      <c r="O95" s="405">
        <f>M95+N95</f>
        <v>390050</v>
      </c>
      <c r="P95" s="405">
        <f>SUM(P63:P80)</f>
        <v>225366</v>
      </c>
      <c r="Q95" s="405">
        <f>SUM(P95/O95)*100</f>
        <v>57.778746314575059</v>
      </c>
      <c r="R95" s="498">
        <f>SUM(R63:R89)</f>
        <v>2419621</v>
      </c>
      <c r="S95" s="498">
        <f t="shared" si="9"/>
        <v>2809671</v>
      </c>
      <c r="T95" s="231">
        <f>SUM(T63:T90)</f>
        <v>596635</v>
      </c>
      <c r="U95" s="619">
        <f t="shared" si="10"/>
        <v>21.235048516356542</v>
      </c>
      <c r="V95" s="231">
        <f>SUM(V63:V90)</f>
        <v>112756</v>
      </c>
      <c r="W95" s="231">
        <f t="shared" si="11"/>
        <v>2922427</v>
      </c>
      <c r="X95" s="231">
        <f>SUM(X63:X90)</f>
        <v>1043231</v>
      </c>
      <c r="Y95" s="231">
        <f t="shared" si="12"/>
        <v>35.697418618155389</v>
      </c>
      <c r="Z95" s="231">
        <f>SUM(Z63:Z94)</f>
        <v>208770</v>
      </c>
      <c r="AA95" s="231">
        <f t="shared" si="13"/>
        <v>3131197</v>
      </c>
    </row>
    <row r="96" spans="1:27">
      <c r="A96" s="232"/>
      <c r="B96" s="232"/>
      <c r="C96" s="232"/>
      <c r="D96" s="232"/>
      <c r="E96" s="232" t="s">
        <v>124</v>
      </c>
      <c r="F96" s="233"/>
      <c r="G96" s="233"/>
      <c r="H96" s="233"/>
      <c r="I96" s="233"/>
      <c r="J96" s="233"/>
      <c r="K96" s="234" t="s">
        <v>477</v>
      </c>
      <c r="L96" s="233"/>
      <c r="M96" s="235"/>
      <c r="X96" s="110"/>
      <c r="Y96" s="110"/>
    </row>
    <row r="97" spans="1:27">
      <c r="A97" s="118"/>
      <c r="B97" s="118"/>
      <c r="C97" s="118"/>
      <c r="D97" s="118"/>
      <c r="E97" s="118"/>
      <c r="F97" s="119"/>
      <c r="G97" s="119"/>
      <c r="H97" s="119"/>
      <c r="I97" s="119"/>
      <c r="J97" s="119"/>
      <c r="K97" s="115"/>
      <c r="L97" s="119" t="s">
        <v>511</v>
      </c>
      <c r="M97" s="110">
        <v>414</v>
      </c>
      <c r="N97" s="293">
        <v>0</v>
      </c>
      <c r="O97" s="110">
        <f>M97+N97</f>
        <v>414</v>
      </c>
      <c r="P97" s="110">
        <v>414</v>
      </c>
      <c r="Q97" s="110">
        <f>SUM(P97/O97)*100</f>
        <v>100</v>
      </c>
      <c r="R97" s="488">
        <v>0</v>
      </c>
      <c r="S97" s="488">
        <f t="shared" si="9"/>
        <v>414</v>
      </c>
      <c r="T97" s="110">
        <v>414</v>
      </c>
      <c r="U97" s="617">
        <f t="shared" si="10"/>
        <v>100</v>
      </c>
      <c r="V97" s="106">
        <v>0</v>
      </c>
      <c r="W97" s="106">
        <f t="shared" si="11"/>
        <v>414</v>
      </c>
      <c r="X97" s="110">
        <v>414</v>
      </c>
      <c r="Y97" s="110">
        <f t="shared" si="12"/>
        <v>100</v>
      </c>
      <c r="Z97" s="106">
        <v>0</v>
      </c>
      <c r="AA97" s="106">
        <f t="shared" si="13"/>
        <v>414</v>
      </c>
    </row>
    <row r="98" spans="1:27">
      <c r="A98" s="118"/>
      <c r="B98" s="118"/>
      <c r="C98" s="118"/>
      <c r="D98" s="118"/>
      <c r="E98" s="118"/>
      <c r="F98" s="119"/>
      <c r="G98" s="119"/>
      <c r="H98" s="119"/>
      <c r="I98" s="119"/>
      <c r="J98" s="119"/>
      <c r="K98" s="115"/>
      <c r="L98" s="119" t="s">
        <v>817</v>
      </c>
      <c r="M98" s="110">
        <v>0</v>
      </c>
      <c r="N98" s="293"/>
      <c r="O98" s="293">
        <v>0</v>
      </c>
      <c r="P98" s="293">
        <v>19</v>
      </c>
      <c r="Q98" s="293">
        <v>0</v>
      </c>
      <c r="R98" s="488">
        <v>5588</v>
      </c>
      <c r="S98" s="488">
        <f t="shared" si="9"/>
        <v>5588</v>
      </c>
      <c r="T98" s="110">
        <v>27</v>
      </c>
      <c r="U98" s="617">
        <f t="shared" si="10"/>
        <v>0.4831782390837509</v>
      </c>
      <c r="V98" s="106">
        <v>0</v>
      </c>
      <c r="W98" s="106">
        <f t="shared" si="11"/>
        <v>5588</v>
      </c>
      <c r="X98" s="110">
        <v>38</v>
      </c>
      <c r="Y98" s="110">
        <f t="shared" si="12"/>
        <v>0.68002863278453829</v>
      </c>
      <c r="Z98" s="106">
        <v>0</v>
      </c>
      <c r="AA98" s="106">
        <f t="shared" si="13"/>
        <v>5588</v>
      </c>
    </row>
    <row r="99" spans="1:27">
      <c r="A99" s="118"/>
      <c r="B99" s="118"/>
      <c r="C99" s="118"/>
      <c r="D99" s="118"/>
      <c r="E99" s="118"/>
      <c r="F99" s="119"/>
      <c r="G99" s="119"/>
      <c r="H99" s="119"/>
      <c r="I99" s="119"/>
      <c r="J99" s="119"/>
      <c r="K99" s="115"/>
      <c r="L99" s="119" t="s">
        <v>729</v>
      </c>
      <c r="M99" s="110">
        <v>0</v>
      </c>
      <c r="N99" s="293"/>
      <c r="O99" s="293"/>
      <c r="P99" s="293"/>
      <c r="Q99" s="293"/>
      <c r="S99" s="488">
        <v>0</v>
      </c>
      <c r="T99" s="293">
        <v>954</v>
      </c>
      <c r="U99" s="617">
        <v>0</v>
      </c>
      <c r="V99" s="106">
        <v>954</v>
      </c>
      <c r="W99" s="106">
        <f t="shared" si="11"/>
        <v>954</v>
      </c>
      <c r="X99" s="110">
        <v>954</v>
      </c>
      <c r="Y99" s="110">
        <f t="shared" si="12"/>
        <v>100</v>
      </c>
      <c r="Z99" s="106">
        <v>0</v>
      </c>
      <c r="AA99" s="106">
        <f t="shared" si="13"/>
        <v>954</v>
      </c>
    </row>
    <row r="100" spans="1:27">
      <c r="A100" s="118"/>
      <c r="B100" s="118"/>
      <c r="C100" s="118"/>
      <c r="D100" s="118"/>
      <c r="E100" s="118"/>
      <c r="F100" s="119"/>
      <c r="G100" s="119"/>
      <c r="H100" s="119"/>
      <c r="I100" s="119"/>
      <c r="J100" s="119"/>
      <c r="K100" s="115"/>
      <c r="L100" s="119" t="s">
        <v>745</v>
      </c>
      <c r="M100" s="110">
        <v>0</v>
      </c>
      <c r="N100" s="293"/>
      <c r="O100" s="293"/>
      <c r="P100" s="293"/>
      <c r="Q100" s="293"/>
      <c r="S100" s="488">
        <v>0</v>
      </c>
      <c r="T100" s="293"/>
      <c r="V100" s="106">
        <v>451</v>
      </c>
      <c r="W100" s="106">
        <f t="shared" si="11"/>
        <v>451</v>
      </c>
      <c r="X100" s="110">
        <v>451</v>
      </c>
      <c r="Y100" s="110">
        <f t="shared" si="12"/>
        <v>100</v>
      </c>
      <c r="Z100" s="106">
        <v>0</v>
      </c>
      <c r="AA100" s="106">
        <f t="shared" si="13"/>
        <v>451</v>
      </c>
    </row>
    <row r="101" spans="1:27" s="114" customFormat="1" ht="15.75">
      <c r="A101" s="229"/>
      <c r="B101" s="229"/>
      <c r="C101" s="229"/>
      <c r="D101" s="229"/>
      <c r="E101" s="229" t="s">
        <v>124</v>
      </c>
      <c r="F101" s="205"/>
      <c r="G101" s="205" t="s">
        <v>512</v>
      </c>
      <c r="H101" s="205"/>
      <c r="I101" s="205"/>
      <c r="J101" s="205"/>
      <c r="K101" s="230"/>
      <c r="L101" s="205"/>
      <c r="M101" s="231">
        <f>SUM(M97)</f>
        <v>414</v>
      </c>
      <c r="N101" s="231">
        <v>0</v>
      </c>
      <c r="O101" s="231">
        <f>M101+N101</f>
        <v>414</v>
      </c>
      <c r="P101" s="231">
        <f>SUM(P97:P98)</f>
        <v>433</v>
      </c>
      <c r="Q101" s="231">
        <f>SUM(P101/O101)*100</f>
        <v>104.58937198067633</v>
      </c>
      <c r="R101" s="491">
        <f>SUM(R97:R98)</f>
        <v>5588</v>
      </c>
      <c r="S101" s="491">
        <f t="shared" si="9"/>
        <v>6002</v>
      </c>
      <c r="T101" s="231">
        <f>SUM(T97:T99)</f>
        <v>1395</v>
      </c>
      <c r="U101" s="619">
        <f t="shared" si="10"/>
        <v>23.24225258247251</v>
      </c>
      <c r="V101" s="231">
        <f>SUM(V97:V100)</f>
        <v>1405</v>
      </c>
      <c r="W101" s="231">
        <f t="shared" si="11"/>
        <v>7407</v>
      </c>
      <c r="X101" s="231">
        <f>SUM(X97:X100)</f>
        <v>1857</v>
      </c>
      <c r="Y101" s="231">
        <f t="shared" si="12"/>
        <v>25.070878898339409</v>
      </c>
      <c r="Z101" s="231">
        <f>SUM(Z97:Z100)</f>
        <v>0</v>
      </c>
      <c r="AA101" s="231">
        <f t="shared" si="13"/>
        <v>7407</v>
      </c>
    </row>
    <row r="102" spans="1:27">
      <c r="A102" s="118"/>
      <c r="B102" s="118"/>
      <c r="C102" s="118"/>
      <c r="D102" s="118"/>
      <c r="E102" s="104" t="s">
        <v>133</v>
      </c>
      <c r="F102" s="119"/>
      <c r="G102" s="119"/>
      <c r="H102" s="119"/>
      <c r="I102" s="119"/>
      <c r="J102" s="119"/>
      <c r="K102" s="115" t="s">
        <v>237</v>
      </c>
      <c r="L102" s="119"/>
      <c r="M102" s="110"/>
      <c r="X102" s="110"/>
      <c r="Y102" s="110"/>
    </row>
    <row r="103" spans="1:27" s="119" customFormat="1">
      <c r="A103" s="118"/>
      <c r="B103" s="118"/>
      <c r="C103" s="118"/>
      <c r="D103" s="118"/>
      <c r="E103" s="118"/>
      <c r="K103" s="115"/>
      <c r="L103" s="119" t="s">
        <v>514</v>
      </c>
      <c r="M103" s="110">
        <v>158</v>
      </c>
      <c r="N103" s="293">
        <v>0</v>
      </c>
      <c r="O103" s="110">
        <f>M103+N103</f>
        <v>158</v>
      </c>
      <c r="P103" s="110">
        <v>0</v>
      </c>
      <c r="Q103" s="110">
        <f>SUM(P103/O103)*100</f>
        <v>0</v>
      </c>
      <c r="R103" s="490">
        <v>0</v>
      </c>
      <c r="S103" s="488">
        <f t="shared" si="9"/>
        <v>158</v>
      </c>
      <c r="T103" s="110">
        <v>158</v>
      </c>
      <c r="U103" s="617">
        <f t="shared" si="10"/>
        <v>100</v>
      </c>
      <c r="V103" s="110">
        <v>0</v>
      </c>
      <c r="W103" s="106">
        <f t="shared" si="11"/>
        <v>158</v>
      </c>
      <c r="X103" s="110">
        <v>158</v>
      </c>
      <c r="Y103" s="110">
        <f t="shared" si="12"/>
        <v>100</v>
      </c>
      <c r="Z103" s="110">
        <v>0</v>
      </c>
      <c r="AA103" s="106">
        <f t="shared" si="13"/>
        <v>158</v>
      </c>
    </row>
    <row r="104" spans="1:27" s="119" customFormat="1">
      <c r="A104" s="118"/>
      <c r="B104" s="118"/>
      <c r="C104" s="118"/>
      <c r="D104" s="118"/>
      <c r="E104" s="118"/>
      <c r="K104" s="115"/>
      <c r="L104" s="119" t="s">
        <v>635</v>
      </c>
      <c r="M104" s="110">
        <v>0</v>
      </c>
      <c r="N104" s="293"/>
      <c r="O104" s="110">
        <v>0</v>
      </c>
      <c r="P104" s="293"/>
      <c r="Q104" s="293"/>
      <c r="R104" s="490">
        <v>9235</v>
      </c>
      <c r="S104" s="488">
        <f t="shared" si="9"/>
        <v>9235</v>
      </c>
      <c r="T104" s="110">
        <v>0</v>
      </c>
      <c r="U104" s="617">
        <f t="shared" si="10"/>
        <v>0</v>
      </c>
      <c r="V104" s="110">
        <v>0</v>
      </c>
      <c r="W104" s="106">
        <f>9235+482</f>
        <v>9717</v>
      </c>
      <c r="X104" s="110">
        <v>3519</v>
      </c>
      <c r="Y104" s="110">
        <f t="shared" si="12"/>
        <v>36.214881136153132</v>
      </c>
      <c r="Z104" s="110">
        <v>1382</v>
      </c>
      <c r="AA104" s="106">
        <f t="shared" si="13"/>
        <v>11099</v>
      </c>
    </row>
    <row r="105" spans="1:27" s="119" customFormat="1">
      <c r="A105" s="118"/>
      <c r="B105" s="118"/>
      <c r="C105" s="118"/>
      <c r="D105" s="118"/>
      <c r="E105" s="118"/>
      <c r="K105" s="115"/>
      <c r="L105" s="119" t="s">
        <v>636</v>
      </c>
      <c r="M105" s="110">
        <v>0</v>
      </c>
      <c r="N105" s="293"/>
      <c r="O105" s="110">
        <v>0</v>
      </c>
      <c r="P105" s="293"/>
      <c r="Q105" s="293"/>
      <c r="R105" s="490">
        <v>1278</v>
      </c>
      <c r="S105" s="488">
        <f t="shared" si="9"/>
        <v>1278</v>
      </c>
      <c r="T105" s="110">
        <v>1278</v>
      </c>
      <c r="U105" s="617">
        <f t="shared" si="10"/>
        <v>100</v>
      </c>
      <c r="V105" s="110">
        <v>0</v>
      </c>
      <c r="W105" s="106">
        <f t="shared" si="11"/>
        <v>1278</v>
      </c>
      <c r="X105" s="110">
        <v>1278</v>
      </c>
      <c r="Y105" s="110">
        <f t="shared" si="12"/>
        <v>100</v>
      </c>
      <c r="Z105" s="110">
        <v>0</v>
      </c>
      <c r="AA105" s="106">
        <f t="shared" si="13"/>
        <v>1278</v>
      </c>
    </row>
    <row r="106" spans="1:27" s="119" customFormat="1">
      <c r="A106" s="118"/>
      <c r="B106" s="118"/>
      <c r="C106" s="118"/>
      <c r="D106" s="118"/>
      <c r="E106" s="118"/>
      <c r="K106" s="115"/>
      <c r="L106" s="119" t="s">
        <v>637</v>
      </c>
      <c r="M106" s="110">
        <v>0</v>
      </c>
      <c r="N106" s="293"/>
      <c r="O106" s="110">
        <v>0</v>
      </c>
      <c r="P106" s="293"/>
      <c r="Q106" s="293"/>
      <c r="R106" s="490">
        <v>444</v>
      </c>
      <c r="S106" s="488">
        <f t="shared" si="9"/>
        <v>444</v>
      </c>
      <c r="T106" s="110">
        <v>0</v>
      </c>
      <c r="U106" s="617">
        <f t="shared" si="10"/>
        <v>0</v>
      </c>
      <c r="V106" s="110">
        <v>0</v>
      </c>
      <c r="W106" s="106">
        <f t="shared" si="11"/>
        <v>444</v>
      </c>
      <c r="X106" s="110">
        <v>0</v>
      </c>
      <c r="Y106" s="110">
        <f t="shared" si="12"/>
        <v>0</v>
      </c>
      <c r="Z106" s="110">
        <v>0</v>
      </c>
      <c r="AA106" s="106">
        <f t="shared" si="13"/>
        <v>444</v>
      </c>
    </row>
    <row r="107" spans="1:27" s="119" customFormat="1">
      <c r="A107" s="118"/>
      <c r="B107" s="118"/>
      <c r="C107" s="118"/>
      <c r="D107" s="118"/>
      <c r="E107" s="118"/>
      <c r="K107" s="115"/>
      <c r="L107" s="119" t="s">
        <v>638</v>
      </c>
      <c r="M107" s="110">
        <v>0</v>
      </c>
      <c r="N107" s="293"/>
      <c r="O107" s="110">
        <v>0</v>
      </c>
      <c r="P107" s="293"/>
      <c r="Q107" s="293"/>
      <c r="R107" s="490">
        <v>4327</v>
      </c>
      <c r="S107" s="488">
        <f t="shared" si="9"/>
        <v>4327</v>
      </c>
      <c r="T107" s="110">
        <v>4327</v>
      </c>
      <c r="U107" s="617">
        <f t="shared" si="10"/>
        <v>100</v>
      </c>
      <c r="V107" s="110">
        <v>0</v>
      </c>
      <c r="W107" s="106">
        <f t="shared" si="11"/>
        <v>4327</v>
      </c>
      <c r="X107" s="110">
        <v>4327</v>
      </c>
      <c r="Y107" s="110">
        <f t="shared" si="12"/>
        <v>100</v>
      </c>
      <c r="Z107" s="110">
        <v>0</v>
      </c>
      <c r="AA107" s="106">
        <f t="shared" si="13"/>
        <v>4327</v>
      </c>
    </row>
    <row r="108" spans="1:27" s="119" customFormat="1">
      <c r="A108" s="118"/>
      <c r="B108" s="118"/>
      <c r="C108" s="118"/>
      <c r="D108" s="118"/>
      <c r="E108" s="118"/>
      <c r="K108" s="115"/>
      <c r="L108" s="119" t="s">
        <v>616</v>
      </c>
      <c r="M108" s="119">
        <v>0</v>
      </c>
      <c r="N108" s="110">
        <v>0</v>
      </c>
      <c r="O108" s="110"/>
      <c r="P108" s="110">
        <v>0</v>
      </c>
      <c r="Q108" s="110"/>
      <c r="R108" s="110"/>
      <c r="S108" s="490">
        <v>0</v>
      </c>
      <c r="T108" s="490">
        <v>261</v>
      </c>
      <c r="U108" s="110">
        <v>0</v>
      </c>
      <c r="V108" s="106">
        <v>260</v>
      </c>
      <c r="W108" s="106">
        <f t="shared" si="11"/>
        <v>260</v>
      </c>
      <c r="X108" s="110">
        <v>261</v>
      </c>
      <c r="Y108" s="110">
        <f t="shared" si="12"/>
        <v>100.38461538461539</v>
      </c>
      <c r="Z108" s="110">
        <v>0</v>
      </c>
      <c r="AA108" s="106">
        <f t="shared" si="13"/>
        <v>260</v>
      </c>
    </row>
    <row r="109" spans="1:27" s="119" customFormat="1">
      <c r="A109" s="118"/>
      <c r="B109" s="118"/>
      <c r="C109" s="118"/>
      <c r="D109" s="118"/>
      <c r="E109" s="118"/>
      <c r="K109" s="115"/>
      <c r="L109" s="119" t="s">
        <v>847</v>
      </c>
      <c r="M109" s="119">
        <v>0</v>
      </c>
      <c r="N109" s="110"/>
      <c r="O109" s="110"/>
      <c r="P109" s="110"/>
      <c r="Q109" s="110"/>
      <c r="R109" s="110"/>
      <c r="S109" s="490"/>
      <c r="T109" s="490"/>
      <c r="U109" s="110"/>
      <c r="V109" s="106"/>
      <c r="W109" s="106">
        <v>0</v>
      </c>
      <c r="X109" s="110"/>
      <c r="Y109" s="110"/>
      <c r="Z109" s="110">
        <v>472</v>
      </c>
      <c r="AA109" s="106">
        <f t="shared" si="13"/>
        <v>472</v>
      </c>
    </row>
    <row r="110" spans="1:27" s="117" customFormat="1" ht="15.75">
      <c r="A110" s="229"/>
      <c r="B110" s="229"/>
      <c r="C110" s="229"/>
      <c r="D110" s="229"/>
      <c r="E110" s="229" t="s">
        <v>133</v>
      </c>
      <c r="F110" s="205"/>
      <c r="G110" s="230" t="s">
        <v>513</v>
      </c>
      <c r="H110" s="205"/>
      <c r="I110" s="205"/>
      <c r="J110" s="205"/>
      <c r="K110" s="230"/>
      <c r="L110" s="205"/>
      <c r="M110" s="231">
        <f>SUM(M103)</f>
        <v>158</v>
      </c>
      <c r="N110" s="231">
        <v>0</v>
      </c>
      <c r="O110" s="231">
        <f>M110+N110</f>
        <v>158</v>
      </c>
      <c r="P110" s="231">
        <f>SUM(P103:P103)</f>
        <v>0</v>
      </c>
      <c r="Q110" s="231">
        <f>SUM(P110/O110)*100</f>
        <v>0</v>
      </c>
      <c r="R110" s="491">
        <f>SUM(R103:R107)</f>
        <v>15284</v>
      </c>
      <c r="S110" s="491">
        <f t="shared" si="9"/>
        <v>15442</v>
      </c>
      <c r="T110" s="231">
        <f>SUM(T103:T108)</f>
        <v>6024</v>
      </c>
      <c r="U110" s="619">
        <f t="shared" si="10"/>
        <v>39.010490869058415</v>
      </c>
      <c r="V110" s="231">
        <f>SUM(V103:V108)</f>
        <v>260</v>
      </c>
      <c r="W110" s="231">
        <v>16184</v>
      </c>
      <c r="X110" s="231">
        <f>SUM(X103:X108)</f>
        <v>9543</v>
      </c>
      <c r="Y110" s="231">
        <f t="shared" si="12"/>
        <v>58.965645081562037</v>
      </c>
      <c r="Z110" s="231">
        <f>SUM(Z103:Z109)</f>
        <v>1854</v>
      </c>
      <c r="AA110" s="231">
        <f t="shared" si="13"/>
        <v>18038</v>
      </c>
    </row>
    <row r="111" spans="1:27">
      <c r="A111" s="118"/>
      <c r="B111" s="118"/>
      <c r="C111" s="118"/>
      <c r="D111" s="118"/>
      <c r="E111" s="118" t="s">
        <v>137</v>
      </c>
      <c r="F111" s="119"/>
      <c r="G111" s="119"/>
      <c r="H111" s="119"/>
      <c r="I111" s="119"/>
      <c r="J111" s="119"/>
      <c r="K111" s="115" t="s">
        <v>238</v>
      </c>
      <c r="L111" s="119"/>
      <c r="M111" s="110"/>
      <c r="N111" s="110"/>
      <c r="O111" s="110"/>
      <c r="X111" s="110"/>
      <c r="Y111" s="110"/>
    </row>
    <row r="112" spans="1:27">
      <c r="A112" s="118"/>
      <c r="B112" s="118"/>
      <c r="C112" s="118"/>
      <c r="D112" s="118"/>
      <c r="E112" s="118"/>
      <c r="F112" s="119"/>
      <c r="G112" s="119"/>
      <c r="H112" s="119"/>
      <c r="I112" s="119"/>
      <c r="J112" s="119"/>
      <c r="K112" s="115" t="s">
        <v>538</v>
      </c>
      <c r="L112" s="119"/>
      <c r="M112" s="110">
        <v>0</v>
      </c>
      <c r="N112" s="110">
        <v>24</v>
      </c>
      <c r="O112" s="110">
        <f>M112+N112</f>
        <v>24</v>
      </c>
      <c r="P112" s="293">
        <v>24</v>
      </c>
      <c r="Q112" s="293">
        <f>SUM(P112/O112)*100</f>
        <v>100</v>
      </c>
      <c r="R112" s="488">
        <v>0</v>
      </c>
      <c r="S112" s="488">
        <f t="shared" si="9"/>
        <v>24</v>
      </c>
      <c r="T112" s="106">
        <v>21</v>
      </c>
      <c r="U112" s="617">
        <f t="shared" si="10"/>
        <v>87.5</v>
      </c>
      <c r="V112" s="106">
        <v>37</v>
      </c>
      <c r="W112" s="106">
        <f t="shared" si="11"/>
        <v>61</v>
      </c>
      <c r="X112" s="110">
        <v>61</v>
      </c>
      <c r="Y112" s="110">
        <f t="shared" si="12"/>
        <v>100</v>
      </c>
      <c r="Z112" s="106">
        <v>0</v>
      </c>
      <c r="AA112" s="106">
        <f t="shared" si="13"/>
        <v>61</v>
      </c>
    </row>
    <row r="113" spans="1:27">
      <c r="A113" s="118"/>
      <c r="B113" s="118"/>
      <c r="C113" s="118"/>
      <c r="D113" s="118"/>
      <c r="E113" s="118"/>
      <c r="F113" s="119"/>
      <c r="G113" s="119"/>
      <c r="H113" s="119"/>
      <c r="I113" s="119"/>
      <c r="J113" s="119"/>
      <c r="K113" s="115" t="s">
        <v>639</v>
      </c>
      <c r="L113" s="119"/>
      <c r="M113" s="110">
        <v>0</v>
      </c>
      <c r="N113" s="110"/>
      <c r="O113" s="110">
        <v>0</v>
      </c>
      <c r="P113" s="293"/>
      <c r="Q113" s="293"/>
      <c r="R113" s="488">
        <v>1204</v>
      </c>
      <c r="S113" s="488">
        <f t="shared" si="9"/>
        <v>1204</v>
      </c>
      <c r="T113" s="110">
        <v>0</v>
      </c>
      <c r="U113" s="617">
        <f t="shared" si="10"/>
        <v>0</v>
      </c>
      <c r="V113" s="106">
        <v>0</v>
      </c>
      <c r="W113" s="106">
        <f t="shared" si="11"/>
        <v>1204</v>
      </c>
      <c r="X113" s="110">
        <v>0</v>
      </c>
      <c r="Y113" s="110">
        <f t="shared" si="12"/>
        <v>0</v>
      </c>
      <c r="Z113" s="106">
        <v>0</v>
      </c>
      <c r="AA113" s="106">
        <f t="shared" si="13"/>
        <v>1204</v>
      </c>
    </row>
    <row r="114" spans="1:27">
      <c r="A114" s="118"/>
      <c r="B114" s="118"/>
      <c r="C114" s="118"/>
      <c r="D114" s="118"/>
      <c r="E114" s="118"/>
      <c r="F114" s="119"/>
      <c r="G114" s="119"/>
      <c r="H114" s="119"/>
      <c r="I114" s="119"/>
      <c r="J114" s="119"/>
      <c r="K114" s="115" t="s">
        <v>640</v>
      </c>
      <c r="L114" s="119"/>
      <c r="M114" s="110">
        <v>0</v>
      </c>
      <c r="N114" s="110"/>
      <c r="O114" s="110">
        <v>0</v>
      </c>
      <c r="P114" s="293"/>
      <c r="Q114" s="293"/>
      <c r="R114" s="488">
        <v>150</v>
      </c>
      <c r="S114" s="488">
        <f t="shared" si="9"/>
        <v>150</v>
      </c>
      <c r="T114" s="110">
        <v>0</v>
      </c>
      <c r="U114" s="617">
        <f t="shared" si="10"/>
        <v>0</v>
      </c>
      <c r="V114" s="106">
        <v>0</v>
      </c>
      <c r="W114" s="106">
        <f t="shared" si="11"/>
        <v>150</v>
      </c>
      <c r="X114" s="110">
        <v>0</v>
      </c>
      <c r="Y114" s="110">
        <f t="shared" si="12"/>
        <v>0</v>
      </c>
      <c r="Z114" s="106">
        <v>0</v>
      </c>
      <c r="AA114" s="106">
        <f t="shared" si="13"/>
        <v>150</v>
      </c>
    </row>
    <row r="115" spans="1:27">
      <c r="A115" s="118"/>
      <c r="B115" s="118"/>
      <c r="C115" s="118"/>
      <c r="D115" s="118"/>
      <c r="E115" s="118"/>
      <c r="F115" s="119"/>
      <c r="G115" s="119"/>
      <c r="H115" s="119"/>
      <c r="I115" s="119"/>
      <c r="J115" s="119"/>
      <c r="K115" s="115" t="s">
        <v>703</v>
      </c>
      <c r="L115" s="119"/>
      <c r="M115" s="110">
        <v>0</v>
      </c>
      <c r="N115" s="293"/>
      <c r="O115" s="293">
        <v>0</v>
      </c>
      <c r="P115" s="293"/>
      <c r="Q115" s="293"/>
      <c r="R115" s="488">
        <v>892</v>
      </c>
      <c r="S115" s="488">
        <f t="shared" si="9"/>
        <v>892</v>
      </c>
      <c r="T115" s="293">
        <v>0</v>
      </c>
      <c r="U115" s="617">
        <f t="shared" si="10"/>
        <v>0</v>
      </c>
      <c r="V115" s="106">
        <v>0</v>
      </c>
      <c r="W115" s="106">
        <f t="shared" si="11"/>
        <v>892</v>
      </c>
      <c r="X115" s="110">
        <v>0</v>
      </c>
      <c r="Y115" s="110">
        <f t="shared" si="12"/>
        <v>0</v>
      </c>
      <c r="Z115" s="106">
        <v>-892</v>
      </c>
      <c r="AA115" s="106">
        <f t="shared" si="13"/>
        <v>0</v>
      </c>
    </row>
    <row r="116" spans="1:27">
      <c r="A116" s="118"/>
      <c r="B116" s="118"/>
      <c r="C116" s="118"/>
      <c r="D116" s="118"/>
      <c r="E116" s="118"/>
      <c r="F116" s="119"/>
      <c r="G116" s="119"/>
      <c r="H116" s="119"/>
      <c r="I116" s="119"/>
      <c r="J116" s="119"/>
      <c r="K116" s="115" t="s">
        <v>743</v>
      </c>
      <c r="L116" s="119"/>
      <c r="M116" s="110">
        <v>0</v>
      </c>
      <c r="N116" s="293"/>
      <c r="O116" s="293"/>
      <c r="P116" s="293"/>
      <c r="Q116" s="293"/>
      <c r="S116" s="488">
        <v>0</v>
      </c>
      <c r="T116" s="293"/>
      <c r="V116" s="106">
        <v>256</v>
      </c>
      <c r="W116" s="106">
        <f t="shared" si="11"/>
        <v>256</v>
      </c>
      <c r="X116" s="110">
        <v>0</v>
      </c>
      <c r="Y116" s="110">
        <f t="shared" si="12"/>
        <v>0</v>
      </c>
      <c r="Z116" s="106">
        <v>0</v>
      </c>
      <c r="AA116" s="106">
        <f t="shared" si="13"/>
        <v>256</v>
      </c>
    </row>
    <row r="117" spans="1:27">
      <c r="A117" s="118"/>
      <c r="B117" s="118"/>
      <c r="C117" s="118"/>
      <c r="D117" s="118"/>
      <c r="E117" s="118"/>
      <c r="F117" s="119"/>
      <c r="G117" s="119"/>
      <c r="H117" s="119"/>
      <c r="I117" s="119"/>
      <c r="J117" s="119"/>
      <c r="K117" s="115" t="s">
        <v>825</v>
      </c>
      <c r="L117" s="119"/>
      <c r="M117" s="110">
        <v>0</v>
      </c>
      <c r="N117" s="293"/>
      <c r="O117" s="293"/>
      <c r="P117" s="293"/>
      <c r="Q117" s="293"/>
      <c r="T117" s="293"/>
      <c r="W117" s="106">
        <v>0</v>
      </c>
      <c r="X117" s="110">
        <v>162</v>
      </c>
      <c r="Y117" s="110">
        <v>0</v>
      </c>
      <c r="Z117" s="106">
        <v>540</v>
      </c>
      <c r="AA117" s="106">
        <f t="shared" si="13"/>
        <v>540</v>
      </c>
    </row>
    <row r="118" spans="1:27">
      <c r="A118" s="118"/>
      <c r="B118" s="118"/>
      <c r="C118" s="118"/>
      <c r="D118" s="118"/>
      <c r="E118" s="118"/>
      <c r="F118" s="119"/>
      <c r="G118" s="119"/>
      <c r="H118" s="119"/>
      <c r="I118" s="119"/>
      <c r="J118" s="119"/>
      <c r="K118" s="115" t="s">
        <v>824</v>
      </c>
      <c r="L118" s="119"/>
      <c r="M118" s="110">
        <v>0</v>
      </c>
      <c r="N118" s="293"/>
      <c r="O118" s="293"/>
      <c r="P118" s="293"/>
      <c r="Q118" s="293"/>
      <c r="T118" s="293"/>
      <c r="W118" s="106">
        <v>0</v>
      </c>
      <c r="X118" s="110">
        <v>174</v>
      </c>
      <c r="Y118" s="110">
        <v>0</v>
      </c>
      <c r="Z118" s="106">
        <v>2780</v>
      </c>
      <c r="AA118" s="106">
        <f t="shared" si="13"/>
        <v>2780</v>
      </c>
    </row>
    <row r="119" spans="1:27">
      <c r="A119" s="118"/>
      <c r="B119" s="118"/>
      <c r="C119" s="118"/>
      <c r="D119" s="118"/>
      <c r="E119" s="118"/>
      <c r="F119" s="119"/>
      <c r="G119" s="119"/>
      <c r="H119" s="119"/>
      <c r="I119" s="119"/>
      <c r="J119" s="119"/>
      <c r="K119" s="115" t="s">
        <v>826</v>
      </c>
      <c r="L119" s="119"/>
      <c r="M119" s="110">
        <v>0</v>
      </c>
      <c r="N119" s="293"/>
      <c r="O119" s="293"/>
      <c r="P119" s="293"/>
      <c r="Q119" s="293"/>
      <c r="T119" s="293"/>
      <c r="W119" s="106">
        <v>0</v>
      </c>
      <c r="X119" s="110">
        <v>162</v>
      </c>
      <c r="Y119" s="110">
        <v>0</v>
      </c>
      <c r="Z119" s="106">
        <v>2740</v>
      </c>
      <c r="AA119" s="106">
        <f t="shared" si="13"/>
        <v>2740</v>
      </c>
    </row>
    <row r="120" spans="1:27">
      <c r="A120" s="401"/>
      <c r="B120" s="401"/>
      <c r="C120" s="401"/>
      <c r="D120" s="401"/>
      <c r="E120" s="401"/>
      <c r="F120" s="403"/>
      <c r="G120" s="403"/>
      <c r="H120" s="403"/>
      <c r="I120" s="403"/>
      <c r="J120" s="403"/>
      <c r="K120" s="406" t="s">
        <v>848</v>
      </c>
      <c r="L120" s="403"/>
      <c r="M120" s="293">
        <v>0</v>
      </c>
      <c r="N120" s="293"/>
      <c r="O120" s="293"/>
      <c r="P120" s="293"/>
      <c r="Q120" s="293"/>
      <c r="T120" s="293"/>
      <c r="W120" s="106">
        <v>0</v>
      </c>
      <c r="X120" s="110"/>
      <c r="Y120" s="110"/>
      <c r="Z120" s="106">
        <v>305</v>
      </c>
      <c r="AA120" s="106">
        <f t="shared" si="13"/>
        <v>305</v>
      </c>
    </row>
    <row r="121" spans="1:27" s="114" customFormat="1" ht="15.75">
      <c r="A121" s="229"/>
      <c r="B121" s="229"/>
      <c r="C121" s="229"/>
      <c r="D121" s="229"/>
      <c r="E121" s="229" t="s">
        <v>137</v>
      </c>
      <c r="F121" s="205"/>
      <c r="G121" s="205" t="s">
        <v>539</v>
      </c>
      <c r="H121" s="205"/>
      <c r="I121" s="205"/>
      <c r="J121" s="205"/>
      <c r="K121" s="230"/>
      <c r="L121" s="205"/>
      <c r="M121" s="231">
        <f>SUM(M112)</f>
        <v>0</v>
      </c>
      <c r="N121" s="231">
        <f>SUM(N112)</f>
        <v>24</v>
      </c>
      <c r="O121" s="231">
        <f>M121+N121</f>
        <v>24</v>
      </c>
      <c r="P121" s="231">
        <f>SUM(P112)</f>
        <v>24</v>
      </c>
      <c r="Q121" s="209">
        <f>SUM(P121/O121)*100</f>
        <v>100</v>
      </c>
      <c r="R121" s="491">
        <f>SUM(R112:R115)</f>
        <v>2246</v>
      </c>
      <c r="S121" s="491">
        <f t="shared" si="9"/>
        <v>2270</v>
      </c>
      <c r="T121" s="231">
        <f>SUM(T112:T115)</f>
        <v>21</v>
      </c>
      <c r="U121" s="619">
        <f t="shared" si="10"/>
        <v>0.92511013215859028</v>
      </c>
      <c r="V121" s="231">
        <f>SUM(V112:V116)</f>
        <v>293</v>
      </c>
      <c r="W121" s="231">
        <f t="shared" si="11"/>
        <v>2563</v>
      </c>
      <c r="X121" s="231">
        <f>SUM(X112:X119)</f>
        <v>559</v>
      </c>
      <c r="Y121" s="231">
        <f t="shared" si="12"/>
        <v>21.810378462738978</v>
      </c>
      <c r="Z121" s="231">
        <f>SUM(Z112:Z120)</f>
        <v>5473</v>
      </c>
      <c r="AA121" s="231">
        <f t="shared" si="13"/>
        <v>8036</v>
      </c>
    </row>
    <row r="122" spans="1:27">
      <c r="A122" s="118"/>
      <c r="B122" s="118"/>
      <c r="C122" s="118"/>
      <c r="D122" s="118"/>
      <c r="E122" s="120" t="s">
        <v>239</v>
      </c>
      <c r="F122" s="119"/>
      <c r="G122" s="119"/>
      <c r="H122" s="119"/>
      <c r="I122" s="119"/>
      <c r="J122" s="119"/>
      <c r="K122" s="115" t="s">
        <v>240</v>
      </c>
      <c r="L122" s="119"/>
      <c r="M122" s="110"/>
      <c r="N122" s="293">
        <v>0</v>
      </c>
      <c r="O122" s="110"/>
      <c r="P122" s="209">
        <v>0</v>
      </c>
      <c r="Q122" s="209">
        <v>0</v>
      </c>
      <c r="X122" s="110"/>
      <c r="Y122" s="110"/>
    </row>
    <row r="123" spans="1:27">
      <c r="A123" s="118"/>
      <c r="B123" s="118"/>
      <c r="C123" s="118"/>
      <c r="D123" s="118"/>
      <c r="E123" s="120"/>
      <c r="F123" s="119"/>
      <c r="G123" s="119"/>
      <c r="H123" s="119"/>
      <c r="I123" s="119"/>
      <c r="J123" s="119"/>
      <c r="K123" s="115" t="s">
        <v>641</v>
      </c>
      <c r="L123" s="119"/>
      <c r="M123" s="110">
        <v>0</v>
      </c>
      <c r="N123" s="110"/>
      <c r="O123" s="110">
        <v>0</v>
      </c>
      <c r="P123" s="494"/>
      <c r="Q123" s="494"/>
      <c r="R123" s="488">
        <v>45000</v>
      </c>
      <c r="S123" s="488">
        <f t="shared" si="9"/>
        <v>45000</v>
      </c>
      <c r="T123" s="106">
        <v>0</v>
      </c>
      <c r="U123" s="617">
        <f t="shared" si="10"/>
        <v>0</v>
      </c>
      <c r="V123" s="106">
        <v>0</v>
      </c>
      <c r="W123" s="106">
        <f t="shared" si="11"/>
        <v>45000</v>
      </c>
      <c r="X123" s="110">
        <v>0</v>
      </c>
      <c r="Y123" s="110">
        <f t="shared" si="12"/>
        <v>0</v>
      </c>
      <c r="Z123" s="106">
        <v>0</v>
      </c>
      <c r="AA123" s="106">
        <f t="shared" si="13"/>
        <v>45000</v>
      </c>
    </row>
    <row r="124" spans="1:27">
      <c r="A124" s="118"/>
      <c r="B124" s="118"/>
      <c r="C124" s="118"/>
      <c r="D124" s="118"/>
      <c r="E124" s="120"/>
      <c r="F124" s="119"/>
      <c r="G124" s="119"/>
      <c r="H124" s="119"/>
      <c r="I124" s="119"/>
      <c r="J124" s="119"/>
      <c r="K124" s="671" t="s">
        <v>746</v>
      </c>
      <c r="L124" s="119"/>
      <c r="M124" s="110">
        <v>0</v>
      </c>
      <c r="N124" s="110"/>
      <c r="O124" s="110"/>
      <c r="P124" s="494"/>
      <c r="Q124" s="494"/>
      <c r="S124" s="488">
        <v>0</v>
      </c>
      <c r="V124" s="106">
        <v>104</v>
      </c>
      <c r="W124" s="106">
        <f t="shared" si="11"/>
        <v>104</v>
      </c>
      <c r="X124" s="110">
        <v>0</v>
      </c>
      <c r="Y124" s="110">
        <f t="shared" si="12"/>
        <v>0</v>
      </c>
      <c r="Z124" s="106">
        <v>0</v>
      </c>
      <c r="AA124" s="106">
        <f t="shared" si="13"/>
        <v>104</v>
      </c>
    </row>
    <row r="125" spans="1:27" s="114" customFormat="1" ht="15.75">
      <c r="A125" s="229"/>
      <c r="B125" s="229"/>
      <c r="C125" s="229"/>
      <c r="D125" s="229"/>
      <c r="E125" s="229" t="s">
        <v>239</v>
      </c>
      <c r="F125" s="205"/>
      <c r="G125" s="205" t="s">
        <v>642</v>
      </c>
      <c r="H125" s="205"/>
      <c r="I125" s="205"/>
      <c r="J125" s="205"/>
      <c r="K125" s="230"/>
      <c r="L125" s="205"/>
      <c r="M125" s="231">
        <f>SUM(M122:M124)</f>
        <v>0</v>
      </c>
      <c r="N125" s="231"/>
      <c r="O125" s="231">
        <f>SUM(O122:O123)</f>
        <v>0</v>
      </c>
      <c r="P125" s="231"/>
      <c r="Q125" s="231"/>
      <c r="R125" s="491">
        <f>SUM(R122:R123)</f>
        <v>45000</v>
      </c>
      <c r="S125" s="491">
        <f t="shared" si="9"/>
        <v>45000</v>
      </c>
      <c r="T125" s="231">
        <f>SUM(T123)</f>
        <v>0</v>
      </c>
      <c r="U125" s="619">
        <f t="shared" si="10"/>
        <v>0</v>
      </c>
      <c r="V125" s="231">
        <f>SUM(V123:V124)</f>
        <v>104</v>
      </c>
      <c r="W125" s="231">
        <f t="shared" si="11"/>
        <v>45104</v>
      </c>
      <c r="X125" s="231">
        <f>SUM(X123:X124)</f>
        <v>0</v>
      </c>
      <c r="Y125" s="231">
        <f t="shared" si="12"/>
        <v>0</v>
      </c>
      <c r="Z125" s="231">
        <f>SUM(Z123:Z124)</f>
        <v>0</v>
      </c>
      <c r="AA125" s="231">
        <f t="shared" si="13"/>
        <v>45104</v>
      </c>
    </row>
    <row r="126" spans="1:27" s="114" customFormat="1" ht="15.75">
      <c r="A126" s="495"/>
      <c r="B126" s="495"/>
      <c r="C126" s="495"/>
      <c r="D126" s="495"/>
      <c r="E126" s="495" t="s">
        <v>241</v>
      </c>
      <c r="F126" s="496"/>
      <c r="G126" s="496"/>
      <c r="H126" s="496"/>
      <c r="I126" s="496"/>
      <c r="J126" s="496"/>
      <c r="K126" s="496" t="s">
        <v>242</v>
      </c>
      <c r="L126" s="496"/>
      <c r="M126" s="497">
        <v>45670</v>
      </c>
      <c r="N126" s="405">
        <v>368</v>
      </c>
      <c r="O126" s="405">
        <f>M126+N126</f>
        <v>46038</v>
      </c>
      <c r="P126" s="405">
        <v>0</v>
      </c>
      <c r="Q126" s="405">
        <f>SUM(P126/O126)*100</f>
        <v>0</v>
      </c>
      <c r="R126" s="498">
        <v>1022429</v>
      </c>
      <c r="S126" s="498">
        <f t="shared" si="9"/>
        <v>1068467</v>
      </c>
      <c r="T126" s="292">
        <v>0</v>
      </c>
      <c r="U126" s="619">
        <f t="shared" si="10"/>
        <v>0</v>
      </c>
      <c r="V126" s="231">
        <v>78870</v>
      </c>
      <c r="W126" s="231">
        <f t="shared" si="11"/>
        <v>1147337</v>
      </c>
      <c r="X126" s="729">
        <v>0</v>
      </c>
      <c r="Y126" s="729">
        <f t="shared" si="12"/>
        <v>0</v>
      </c>
      <c r="Z126" s="292">
        <v>-4992</v>
      </c>
      <c r="AA126" s="292">
        <f t="shared" si="13"/>
        <v>1142345</v>
      </c>
    </row>
    <row r="127" spans="1:27" ht="15.75">
      <c r="A127" s="111" t="s">
        <v>117</v>
      </c>
      <c r="B127" s="111"/>
      <c r="C127" s="111"/>
      <c r="D127" s="111"/>
      <c r="E127" s="111"/>
      <c r="F127" s="112"/>
      <c r="G127" s="116"/>
      <c r="H127" s="112" t="s">
        <v>187</v>
      </c>
      <c r="I127" s="112"/>
      <c r="J127" s="116"/>
      <c r="K127" s="112"/>
      <c r="L127" s="112"/>
      <c r="M127" s="113">
        <f>SUM(M62+M101+M110+M111+M122+M126)</f>
        <v>46242</v>
      </c>
      <c r="N127" s="231">
        <f>N95+N101+N110+N121+N122+N126</f>
        <v>390442</v>
      </c>
      <c r="O127" s="231">
        <f>M127+N127</f>
        <v>436684</v>
      </c>
      <c r="P127" s="231">
        <f>P95+P101+P110+P121+P122+P126</f>
        <v>225823</v>
      </c>
      <c r="Q127" s="231">
        <f>SUM(P127/O127)*100</f>
        <v>51.713138104441661</v>
      </c>
      <c r="R127" s="491">
        <f>R95+R101+R110+R121+R125+R126</f>
        <v>3510168</v>
      </c>
      <c r="S127" s="491">
        <f t="shared" si="9"/>
        <v>3946852</v>
      </c>
      <c r="T127" s="231">
        <f>T95+T101+T110+T121+T125+T126</f>
        <v>604075</v>
      </c>
      <c r="U127" s="619">
        <f t="shared" si="10"/>
        <v>15.305235666298103</v>
      </c>
      <c r="V127" s="231">
        <f>V95+V101+V110+V121+V125+V126</f>
        <v>193688</v>
      </c>
      <c r="W127" s="231">
        <f>W95+W101+W110+W121+W125+W126</f>
        <v>4141022</v>
      </c>
      <c r="X127" s="231">
        <f>X95+X101+X110+X121+X125+X126</f>
        <v>1055190</v>
      </c>
      <c r="Y127" s="231">
        <f t="shared" si="12"/>
        <v>25.481390825743016</v>
      </c>
      <c r="Z127" s="231">
        <f>Z95+Z101+Z110+Z121+Z125+Z126</f>
        <v>211105</v>
      </c>
      <c r="AA127" s="231">
        <f t="shared" si="13"/>
        <v>4352127</v>
      </c>
    </row>
    <row r="128" spans="1:27">
      <c r="A128" s="104" t="s">
        <v>122</v>
      </c>
      <c r="G128" s="105" t="s">
        <v>214</v>
      </c>
      <c r="X128" s="110"/>
      <c r="Y128" s="110"/>
    </row>
    <row r="129" spans="1:27">
      <c r="D129" s="104" t="s">
        <v>122</v>
      </c>
      <c r="J129" s="105" t="s">
        <v>234</v>
      </c>
      <c r="X129" s="110"/>
      <c r="Y129" s="110"/>
    </row>
    <row r="130" spans="1:27">
      <c r="E130" s="109" t="s">
        <v>235</v>
      </c>
      <c r="K130" s="105" t="s">
        <v>476</v>
      </c>
      <c r="X130" s="110"/>
      <c r="Y130" s="110"/>
    </row>
    <row r="131" spans="1:27">
      <c r="K131" s="105" t="s">
        <v>243</v>
      </c>
      <c r="M131" s="106">
        <v>2000</v>
      </c>
      <c r="N131" s="293">
        <v>0</v>
      </c>
      <c r="O131" s="110">
        <f>M131+N131</f>
        <v>2000</v>
      </c>
      <c r="P131" s="293">
        <v>455</v>
      </c>
      <c r="Q131" s="293">
        <f>SUM(P131/O131)*100</f>
        <v>22.75</v>
      </c>
      <c r="R131" s="488">
        <v>988</v>
      </c>
      <c r="S131" s="488">
        <f t="shared" si="9"/>
        <v>2988</v>
      </c>
      <c r="T131" s="110">
        <v>624</v>
      </c>
      <c r="U131" s="618">
        <f>SUM(T131/S131)*100</f>
        <v>20.883534136546185</v>
      </c>
      <c r="V131" s="106">
        <v>0</v>
      </c>
      <c r="W131" s="106">
        <f t="shared" si="11"/>
        <v>2988</v>
      </c>
      <c r="X131" s="110">
        <v>964</v>
      </c>
      <c r="Y131" s="110">
        <f t="shared" si="12"/>
        <v>32.262382864792507</v>
      </c>
      <c r="Z131" s="106">
        <v>0</v>
      </c>
      <c r="AA131" s="106">
        <f t="shared" si="13"/>
        <v>2988</v>
      </c>
    </row>
    <row r="132" spans="1:27">
      <c r="K132" s="105" t="s">
        <v>704</v>
      </c>
      <c r="M132" s="106">
        <v>0</v>
      </c>
      <c r="N132" s="293"/>
      <c r="O132" s="293">
        <v>0</v>
      </c>
      <c r="P132" s="293"/>
      <c r="Q132" s="293"/>
      <c r="R132" s="488">
        <v>3900</v>
      </c>
      <c r="S132" s="488">
        <f t="shared" si="9"/>
        <v>3900</v>
      </c>
      <c r="T132" s="293">
        <v>3974</v>
      </c>
      <c r="U132" s="618">
        <f t="shared" ref="U132:U153" si="14">SUM(T132/S132)*100</f>
        <v>101.8974358974359</v>
      </c>
      <c r="V132" s="106">
        <v>74</v>
      </c>
      <c r="W132" s="106">
        <f t="shared" si="11"/>
        <v>3974</v>
      </c>
      <c r="X132" s="110">
        <v>3974</v>
      </c>
      <c r="Y132" s="110">
        <f t="shared" ref="Y132:Y153" si="15">SUM(X132/W132)*100</f>
        <v>100</v>
      </c>
      <c r="Z132" s="106">
        <v>0</v>
      </c>
      <c r="AA132" s="106">
        <f t="shared" si="13"/>
        <v>3974</v>
      </c>
    </row>
    <row r="133" spans="1:27">
      <c r="K133" s="105" t="s">
        <v>834</v>
      </c>
      <c r="M133" s="106">
        <v>0</v>
      </c>
      <c r="N133" s="293"/>
      <c r="O133" s="293"/>
      <c r="P133" s="293"/>
      <c r="Q133" s="293"/>
      <c r="T133" s="293"/>
      <c r="U133" s="618"/>
      <c r="W133" s="106">
        <v>0</v>
      </c>
      <c r="X133" s="110"/>
      <c r="Y133" s="110"/>
      <c r="Z133" s="106">
        <v>1200</v>
      </c>
      <c r="AA133" s="106">
        <f t="shared" si="13"/>
        <v>1200</v>
      </c>
    </row>
    <row r="134" spans="1:27" s="114" customFormat="1" ht="15.75">
      <c r="A134" s="111"/>
      <c r="B134" s="111"/>
      <c r="C134" s="111"/>
      <c r="D134" s="111"/>
      <c r="E134" s="121" t="s">
        <v>235</v>
      </c>
      <c r="F134" s="112"/>
      <c r="G134" s="112" t="s">
        <v>491</v>
      </c>
      <c r="H134" s="112"/>
      <c r="I134" s="112"/>
      <c r="J134" s="112"/>
      <c r="K134" s="112"/>
      <c r="L134" s="112"/>
      <c r="M134" s="113">
        <f>SUM(M131:M131)</f>
        <v>2000</v>
      </c>
      <c r="N134" s="231">
        <v>0</v>
      </c>
      <c r="O134" s="231">
        <f>M134+N134</f>
        <v>2000</v>
      </c>
      <c r="P134" s="231">
        <f>SUM(P131)</f>
        <v>455</v>
      </c>
      <c r="Q134" s="231">
        <f>SUM(P134/O134)*100</f>
        <v>22.75</v>
      </c>
      <c r="R134" s="491">
        <f>SUM(R131:R132)</f>
        <v>4888</v>
      </c>
      <c r="S134" s="491">
        <f t="shared" si="9"/>
        <v>6888</v>
      </c>
      <c r="T134" s="231">
        <f>SUM(T131:T132)</f>
        <v>4598</v>
      </c>
      <c r="U134" s="619">
        <f t="shared" si="14"/>
        <v>66.753774680603954</v>
      </c>
      <c r="V134" s="231">
        <f>SUM(V131:V132)</f>
        <v>74</v>
      </c>
      <c r="W134" s="231">
        <f t="shared" si="11"/>
        <v>6962</v>
      </c>
      <c r="X134" s="231">
        <f>SUM(X131:X132)</f>
        <v>4938</v>
      </c>
      <c r="Y134" s="231">
        <f t="shared" si="15"/>
        <v>70.927894283251931</v>
      </c>
      <c r="Z134" s="231">
        <f>SUM(Z131:Z133)</f>
        <v>1200</v>
      </c>
      <c r="AA134" s="231">
        <f t="shared" ref="AA134:AA153" si="16">W134+Z134</f>
        <v>8162</v>
      </c>
    </row>
    <row r="135" spans="1:27" ht="15.75">
      <c r="A135" s="111" t="s">
        <v>122</v>
      </c>
      <c r="B135" s="111"/>
      <c r="C135" s="111"/>
      <c r="D135" s="111"/>
      <c r="E135" s="111"/>
      <c r="F135" s="112"/>
      <c r="G135" s="116"/>
      <c r="H135" s="112" t="s">
        <v>193</v>
      </c>
      <c r="I135" s="112"/>
      <c r="J135" s="116"/>
      <c r="K135" s="112"/>
      <c r="L135" s="112"/>
      <c r="M135" s="113">
        <f>SUM(M134)</f>
        <v>2000</v>
      </c>
      <c r="N135" s="231">
        <v>0</v>
      </c>
      <c r="O135" s="231">
        <f>M135+N135</f>
        <v>2000</v>
      </c>
      <c r="P135" s="231" t="e">
        <f>P134+#REF!+#REF!+#REF!</f>
        <v>#REF!</v>
      </c>
      <c r="Q135" s="231" t="e">
        <f>SUM(P135/O135)*100</f>
        <v>#REF!</v>
      </c>
      <c r="R135" s="491">
        <f>R134</f>
        <v>4888</v>
      </c>
      <c r="S135" s="491">
        <f t="shared" si="9"/>
        <v>6888</v>
      </c>
      <c r="T135" s="231">
        <f>SUM(T134)</f>
        <v>4598</v>
      </c>
      <c r="U135" s="619">
        <f t="shared" si="14"/>
        <v>66.753774680603954</v>
      </c>
      <c r="V135" s="231">
        <f>SUM(V134)</f>
        <v>74</v>
      </c>
      <c r="W135" s="231">
        <f t="shared" si="11"/>
        <v>6962</v>
      </c>
      <c r="X135" s="231">
        <f>SUM(X134)</f>
        <v>4938</v>
      </c>
      <c r="Y135" s="231">
        <f t="shared" si="15"/>
        <v>70.927894283251931</v>
      </c>
      <c r="Z135" s="231">
        <f>Z134</f>
        <v>1200</v>
      </c>
      <c r="AA135" s="231">
        <f t="shared" si="16"/>
        <v>8162</v>
      </c>
    </row>
    <row r="136" spans="1:27">
      <c r="A136" s="118" t="s">
        <v>169</v>
      </c>
      <c r="B136" s="118"/>
      <c r="C136" s="118"/>
      <c r="D136" s="118"/>
      <c r="E136" s="118"/>
      <c r="F136" s="119"/>
      <c r="G136" s="119" t="s">
        <v>883</v>
      </c>
      <c r="H136" s="119"/>
      <c r="I136" s="119"/>
      <c r="J136" s="119"/>
      <c r="K136" s="119"/>
      <c r="L136" s="119"/>
      <c r="M136" s="110"/>
      <c r="N136" s="110"/>
      <c r="O136" s="110"/>
      <c r="P136" s="110"/>
      <c r="Q136" s="110"/>
      <c r="U136" s="618"/>
      <c r="X136" s="110"/>
      <c r="Y136" s="110"/>
    </row>
    <row r="137" spans="1:27">
      <c r="A137" s="118"/>
      <c r="B137" s="118"/>
      <c r="C137" s="118"/>
      <c r="D137" s="118" t="s">
        <v>122</v>
      </c>
      <c r="E137" s="118"/>
      <c r="F137" s="119"/>
      <c r="G137" s="119"/>
      <c r="H137" s="119"/>
      <c r="I137" s="119"/>
      <c r="J137" s="119" t="s">
        <v>234</v>
      </c>
      <c r="K137" s="119"/>
      <c r="L137" s="119"/>
      <c r="M137" s="110"/>
      <c r="N137" s="110"/>
      <c r="O137" s="110"/>
      <c r="P137" s="110"/>
      <c r="Q137" s="110"/>
      <c r="U137" s="618"/>
      <c r="X137" s="110"/>
      <c r="Y137" s="110"/>
    </row>
    <row r="138" spans="1:27">
      <c r="A138" s="118"/>
      <c r="B138" s="118"/>
      <c r="C138" s="118"/>
      <c r="D138" s="118"/>
      <c r="E138" s="109" t="s">
        <v>235</v>
      </c>
      <c r="F138" s="119"/>
      <c r="G138" s="119"/>
      <c r="H138" s="119"/>
      <c r="I138" s="119"/>
      <c r="J138" s="119"/>
      <c r="K138" s="119" t="s">
        <v>476</v>
      </c>
      <c r="L138" s="119"/>
      <c r="M138" s="110"/>
      <c r="N138" s="110"/>
      <c r="O138" s="110"/>
      <c r="P138" s="110"/>
      <c r="Q138" s="110"/>
      <c r="U138" s="618"/>
      <c r="X138" s="110"/>
      <c r="Y138" s="110"/>
    </row>
    <row r="139" spans="1:27">
      <c r="A139" s="401"/>
      <c r="B139" s="401"/>
      <c r="C139" s="401"/>
      <c r="D139" s="401"/>
      <c r="E139" s="401"/>
      <c r="F139" s="403"/>
      <c r="G139" s="403"/>
      <c r="H139" s="403"/>
      <c r="I139" s="403"/>
      <c r="J139" s="403"/>
      <c r="K139" s="403" t="s">
        <v>243</v>
      </c>
      <c r="L139" s="403"/>
      <c r="M139" s="293">
        <v>0</v>
      </c>
      <c r="N139" s="293"/>
      <c r="O139" s="293">
        <v>0</v>
      </c>
      <c r="P139" s="293">
        <v>130</v>
      </c>
      <c r="Q139" s="293">
        <v>0</v>
      </c>
      <c r="R139" s="488">
        <v>236</v>
      </c>
      <c r="S139" s="488">
        <f t="shared" si="9"/>
        <v>236</v>
      </c>
      <c r="T139" s="106">
        <v>236</v>
      </c>
      <c r="U139" s="618">
        <f t="shared" si="14"/>
        <v>100</v>
      </c>
      <c r="V139" s="106">
        <v>0</v>
      </c>
      <c r="W139" s="106">
        <f t="shared" ref="W139:W152" si="17">S139+V139</f>
        <v>236</v>
      </c>
      <c r="X139" s="110">
        <v>236</v>
      </c>
      <c r="Y139" s="110">
        <f t="shared" si="15"/>
        <v>100</v>
      </c>
      <c r="Z139" s="106">
        <v>0</v>
      </c>
      <c r="AA139" s="106">
        <f t="shared" si="16"/>
        <v>236</v>
      </c>
    </row>
    <row r="140" spans="1:27" ht="15.75">
      <c r="A140" s="229"/>
      <c r="B140" s="229"/>
      <c r="C140" s="229"/>
      <c r="D140" s="229"/>
      <c r="E140" s="404" t="s">
        <v>235</v>
      </c>
      <c r="F140" s="205"/>
      <c r="G140" s="205" t="s">
        <v>540</v>
      </c>
      <c r="H140" s="205"/>
      <c r="I140" s="205"/>
      <c r="J140" s="205"/>
      <c r="K140" s="205"/>
      <c r="L140" s="205"/>
      <c r="M140" s="231">
        <f>SUM(M139)</f>
        <v>0</v>
      </c>
      <c r="N140" s="231"/>
      <c r="O140" s="231">
        <f t="shared" ref="O140:Q141" si="18">SUM(O139)</f>
        <v>0</v>
      </c>
      <c r="P140" s="231">
        <f t="shared" si="18"/>
        <v>130</v>
      </c>
      <c r="Q140" s="231">
        <f t="shared" si="18"/>
        <v>0</v>
      </c>
      <c r="R140" s="491">
        <f>SUM(R139)</f>
        <v>236</v>
      </c>
      <c r="S140" s="491">
        <f t="shared" si="9"/>
        <v>236</v>
      </c>
      <c r="T140" s="231">
        <f>SUM(T139)</f>
        <v>236</v>
      </c>
      <c r="U140" s="619">
        <f t="shared" si="14"/>
        <v>100</v>
      </c>
      <c r="V140" s="231">
        <f>SUM(V139)</f>
        <v>0</v>
      </c>
      <c r="W140" s="231">
        <f t="shared" si="17"/>
        <v>236</v>
      </c>
      <c r="X140" s="231">
        <f>SUM(X139)</f>
        <v>236</v>
      </c>
      <c r="Y140" s="231">
        <f t="shared" si="15"/>
        <v>100</v>
      </c>
      <c r="Z140" s="231">
        <f>SUM(Z139)</f>
        <v>0</v>
      </c>
      <c r="AA140" s="231">
        <f t="shared" si="16"/>
        <v>236</v>
      </c>
    </row>
    <row r="141" spans="1:27" ht="15.75">
      <c r="A141" s="229" t="s">
        <v>169</v>
      </c>
      <c r="B141" s="229"/>
      <c r="C141" s="229"/>
      <c r="D141" s="229"/>
      <c r="E141" s="229"/>
      <c r="F141" s="205"/>
      <c r="G141" s="205"/>
      <c r="H141" s="205" t="s">
        <v>886</v>
      </c>
      <c r="I141" s="205"/>
      <c r="J141" s="205"/>
      <c r="K141" s="205"/>
      <c r="L141" s="205"/>
      <c r="M141" s="231">
        <f>SUM(M140)</f>
        <v>0</v>
      </c>
      <c r="N141" s="231"/>
      <c r="O141" s="231">
        <f t="shared" si="18"/>
        <v>0</v>
      </c>
      <c r="P141" s="231">
        <f t="shared" si="18"/>
        <v>130</v>
      </c>
      <c r="Q141" s="231">
        <f t="shared" si="18"/>
        <v>0</v>
      </c>
      <c r="R141" s="491">
        <f>R140</f>
        <v>236</v>
      </c>
      <c r="S141" s="491">
        <f t="shared" si="9"/>
        <v>236</v>
      </c>
      <c r="T141" s="231">
        <f>SUM(T140)</f>
        <v>236</v>
      </c>
      <c r="U141" s="619">
        <f t="shared" si="14"/>
        <v>100</v>
      </c>
      <c r="V141" s="231">
        <f>SUM(V140)</f>
        <v>0</v>
      </c>
      <c r="W141" s="231">
        <f t="shared" si="17"/>
        <v>236</v>
      </c>
      <c r="X141" s="231">
        <f>SUM(X140)</f>
        <v>236</v>
      </c>
      <c r="Y141" s="231">
        <f t="shared" si="15"/>
        <v>100</v>
      </c>
      <c r="Z141" s="231">
        <f>SUM(Z140)</f>
        <v>0</v>
      </c>
      <c r="AA141" s="231">
        <f t="shared" si="16"/>
        <v>236</v>
      </c>
    </row>
    <row r="142" spans="1:27" ht="15.75">
      <c r="A142" s="104" t="s">
        <v>194</v>
      </c>
      <c r="G142" s="115" t="s">
        <v>473</v>
      </c>
      <c r="S142" s="547"/>
      <c r="U142" s="618"/>
      <c r="X142" s="110"/>
      <c r="Y142" s="110"/>
    </row>
    <row r="143" spans="1:27" ht="15.75">
      <c r="A143" s="107"/>
      <c r="B143" s="107"/>
      <c r="C143" s="107"/>
      <c r="D143" s="118" t="s">
        <v>122</v>
      </c>
      <c r="E143" s="118"/>
      <c r="F143" s="119"/>
      <c r="G143" s="119"/>
      <c r="H143" s="119"/>
      <c r="I143" s="119"/>
      <c r="J143" s="119" t="s">
        <v>234</v>
      </c>
      <c r="K143" s="119"/>
      <c r="L143" s="119"/>
      <c r="M143" s="110"/>
      <c r="N143" s="110"/>
      <c r="O143" s="110"/>
      <c r="P143" s="110"/>
      <c r="Q143" s="110"/>
      <c r="R143" s="490"/>
      <c r="S143" s="490"/>
      <c r="T143" s="110"/>
      <c r="U143" s="618"/>
      <c r="X143" s="110"/>
      <c r="Y143" s="110"/>
    </row>
    <row r="144" spans="1:27" ht="15.75">
      <c r="A144" s="107"/>
      <c r="B144" s="107"/>
      <c r="C144" s="107"/>
      <c r="D144" s="118"/>
      <c r="E144" s="109" t="s">
        <v>235</v>
      </c>
      <c r="F144" s="119"/>
      <c r="G144" s="119"/>
      <c r="H144" s="119"/>
      <c r="I144" s="119"/>
      <c r="J144" s="119"/>
      <c r="K144" s="119" t="s">
        <v>476</v>
      </c>
      <c r="L144" s="119"/>
      <c r="M144" s="110">
        <v>0</v>
      </c>
      <c r="N144" s="110"/>
      <c r="O144" s="110">
        <v>0</v>
      </c>
      <c r="P144" s="110"/>
      <c r="Q144" s="110"/>
      <c r="R144" s="490">
        <v>418</v>
      </c>
      <c r="S144" s="490">
        <f t="shared" si="9"/>
        <v>418</v>
      </c>
      <c r="T144" s="293">
        <v>1256</v>
      </c>
      <c r="U144" s="618">
        <f t="shared" si="14"/>
        <v>300.47846889952154</v>
      </c>
      <c r="V144" s="106">
        <v>838</v>
      </c>
      <c r="W144" s="106">
        <f t="shared" si="17"/>
        <v>1256</v>
      </c>
      <c r="X144" s="110">
        <v>1256</v>
      </c>
      <c r="Y144" s="110">
        <f t="shared" si="15"/>
        <v>100</v>
      </c>
      <c r="Z144" s="106">
        <v>0</v>
      </c>
      <c r="AA144" s="106">
        <f t="shared" si="16"/>
        <v>1256</v>
      </c>
    </row>
    <row r="145" spans="1:27" ht="15.75">
      <c r="A145" s="229"/>
      <c r="B145" s="229"/>
      <c r="C145" s="229"/>
      <c r="D145" s="229"/>
      <c r="E145" s="486" t="s">
        <v>235</v>
      </c>
      <c r="F145" s="205"/>
      <c r="G145" s="205" t="s">
        <v>540</v>
      </c>
      <c r="H145" s="487"/>
      <c r="I145" s="205"/>
      <c r="J145" s="205"/>
      <c r="K145" s="205"/>
      <c r="L145" s="205"/>
      <c r="M145" s="231">
        <v>0</v>
      </c>
      <c r="N145" s="231"/>
      <c r="O145" s="231">
        <v>0</v>
      </c>
      <c r="P145" s="231"/>
      <c r="Q145" s="231"/>
      <c r="R145" s="491">
        <f>SUM(R144)</f>
        <v>418</v>
      </c>
      <c r="S145" s="491">
        <f t="shared" si="9"/>
        <v>418</v>
      </c>
      <c r="T145" s="292">
        <f>SUM(T144)</f>
        <v>1256</v>
      </c>
      <c r="U145" s="619">
        <f t="shared" si="14"/>
        <v>300.47846889952154</v>
      </c>
      <c r="V145" s="231">
        <f>SUM(V144)</f>
        <v>838</v>
      </c>
      <c r="W145" s="231">
        <f t="shared" si="17"/>
        <v>1256</v>
      </c>
      <c r="X145" s="231">
        <f>SUM(X144)</f>
        <v>1256</v>
      </c>
      <c r="Y145" s="231">
        <f t="shared" si="15"/>
        <v>100</v>
      </c>
      <c r="Z145" s="231">
        <f>SUM(Z144)</f>
        <v>0</v>
      </c>
      <c r="AA145" s="231">
        <f t="shared" si="16"/>
        <v>1256</v>
      </c>
    </row>
    <row r="146" spans="1:27" ht="15.75">
      <c r="A146" s="229" t="s">
        <v>194</v>
      </c>
      <c r="B146" s="229"/>
      <c r="C146" s="229"/>
      <c r="D146" s="229"/>
      <c r="E146" s="229"/>
      <c r="F146" s="205"/>
      <c r="G146" s="205"/>
      <c r="H146" s="487" t="s">
        <v>473</v>
      </c>
      <c r="I146" s="205"/>
      <c r="J146" s="205"/>
      <c r="K146" s="205"/>
      <c r="L146" s="205"/>
      <c r="M146" s="231">
        <v>0</v>
      </c>
      <c r="N146" s="231"/>
      <c r="O146" s="231">
        <v>0</v>
      </c>
      <c r="P146" s="231"/>
      <c r="Q146" s="231"/>
      <c r="R146" s="491">
        <f>R145</f>
        <v>418</v>
      </c>
      <c r="S146" s="491">
        <f t="shared" si="9"/>
        <v>418</v>
      </c>
      <c r="T146" s="231">
        <f>SUM(T145)</f>
        <v>1256</v>
      </c>
      <c r="U146" s="619">
        <f t="shared" si="14"/>
        <v>300.47846889952154</v>
      </c>
      <c r="V146" s="231">
        <f>SUM(V145)</f>
        <v>838</v>
      </c>
      <c r="W146" s="231">
        <f t="shared" si="17"/>
        <v>1256</v>
      </c>
      <c r="X146" s="231">
        <f>SUM(X145)</f>
        <v>1256</v>
      </c>
      <c r="Y146" s="231">
        <f t="shared" si="15"/>
        <v>100</v>
      </c>
      <c r="Z146" s="231">
        <f>SUM(Z145)</f>
        <v>0</v>
      </c>
      <c r="AA146" s="231">
        <f t="shared" si="16"/>
        <v>1256</v>
      </c>
    </row>
    <row r="147" spans="1:27" s="114" customFormat="1" ht="15.75">
      <c r="A147" s="107"/>
      <c r="B147" s="107"/>
      <c r="C147" s="107"/>
      <c r="D147" s="107"/>
      <c r="E147" s="118" t="s">
        <v>235</v>
      </c>
      <c r="F147" s="119"/>
      <c r="G147" s="119"/>
      <c r="H147" s="119"/>
      <c r="I147" s="119"/>
      <c r="J147" s="119"/>
      <c r="K147" s="119" t="s">
        <v>476</v>
      </c>
      <c r="L147" s="119"/>
      <c r="M147" s="110">
        <f>SUM(M62+M131)</f>
        <v>2000</v>
      </c>
      <c r="N147" s="106">
        <f>N95+N134</f>
        <v>390050</v>
      </c>
      <c r="O147" s="106">
        <f t="shared" ref="O147:O153" si="19">M147+N147</f>
        <v>392050</v>
      </c>
      <c r="P147" s="106">
        <f>P95+P134+P140</f>
        <v>225951</v>
      </c>
      <c r="Q147" s="106">
        <f>SUM(P147/O147)*100</f>
        <v>57.633210049738558</v>
      </c>
      <c r="R147" s="488">
        <f>R95+R134+R140+R145</f>
        <v>2425163</v>
      </c>
      <c r="S147" s="488">
        <f t="shared" si="9"/>
        <v>2817213</v>
      </c>
      <c r="T147" s="106">
        <f>T95+T134+T140+T145</f>
        <v>602725</v>
      </c>
      <c r="U147" s="618">
        <f t="shared" si="14"/>
        <v>21.394370961656076</v>
      </c>
      <c r="V147" s="106">
        <f>V95+V134+V140+V145</f>
        <v>113668</v>
      </c>
      <c r="W147" s="106">
        <f t="shared" si="17"/>
        <v>2930881</v>
      </c>
      <c r="X147" s="110">
        <f>X95+X134+X140+X145</f>
        <v>1049661</v>
      </c>
      <c r="Y147" s="110">
        <f t="shared" si="15"/>
        <v>35.813838910552839</v>
      </c>
      <c r="Z147" s="106">
        <f>Z95+Z134+Z140+Z145</f>
        <v>209970</v>
      </c>
      <c r="AA147" s="106">
        <f t="shared" si="16"/>
        <v>3140851</v>
      </c>
    </row>
    <row r="148" spans="1:27">
      <c r="A148" s="118"/>
      <c r="B148" s="118"/>
      <c r="C148" s="118"/>
      <c r="D148" s="118"/>
      <c r="E148" s="118" t="s">
        <v>124</v>
      </c>
      <c r="F148" s="119"/>
      <c r="G148" s="119"/>
      <c r="H148" s="119"/>
      <c r="I148" s="119"/>
      <c r="J148" s="119"/>
      <c r="K148" s="115" t="s">
        <v>477</v>
      </c>
      <c r="L148" s="119"/>
      <c r="M148" s="110">
        <v>414</v>
      </c>
      <c r="N148" s="106">
        <v>0</v>
      </c>
      <c r="O148" s="106">
        <f t="shared" si="19"/>
        <v>414</v>
      </c>
      <c r="P148" s="106" t="e">
        <f>P101+#REF!</f>
        <v>#REF!</v>
      </c>
      <c r="Q148" s="106" t="e">
        <f>SUM(P148/O148)*100</f>
        <v>#REF!</v>
      </c>
      <c r="R148" s="488">
        <f>R101</f>
        <v>5588</v>
      </c>
      <c r="S148" s="488">
        <f t="shared" si="9"/>
        <v>6002</v>
      </c>
      <c r="T148" s="110">
        <f>T101</f>
        <v>1395</v>
      </c>
      <c r="U148" s="618">
        <f t="shared" si="14"/>
        <v>23.24225258247251</v>
      </c>
      <c r="V148" s="106">
        <f>V101</f>
        <v>1405</v>
      </c>
      <c r="W148" s="106">
        <f t="shared" si="17"/>
        <v>7407</v>
      </c>
      <c r="X148" s="110">
        <f>X101</f>
        <v>1857</v>
      </c>
      <c r="Y148" s="110">
        <f t="shared" si="15"/>
        <v>25.070878898339409</v>
      </c>
      <c r="Z148" s="106">
        <f>Z101</f>
        <v>0</v>
      </c>
      <c r="AA148" s="106">
        <f t="shared" si="16"/>
        <v>7407</v>
      </c>
    </row>
    <row r="149" spans="1:27">
      <c r="A149" s="118"/>
      <c r="B149" s="118"/>
      <c r="C149" s="118"/>
      <c r="D149" s="118"/>
      <c r="E149" s="118" t="s">
        <v>133</v>
      </c>
      <c r="F149" s="119"/>
      <c r="G149" s="119"/>
      <c r="H149" s="119"/>
      <c r="I149" s="119"/>
      <c r="J149" s="119"/>
      <c r="K149" s="115" t="s">
        <v>237</v>
      </c>
      <c r="L149" s="119"/>
      <c r="M149" s="110">
        <v>158</v>
      </c>
      <c r="N149" s="106">
        <v>0</v>
      </c>
      <c r="O149" s="106">
        <f t="shared" si="19"/>
        <v>158</v>
      </c>
      <c r="P149" s="106" t="e">
        <f>P110+#REF!</f>
        <v>#REF!</v>
      </c>
      <c r="Q149" s="106" t="e">
        <f>SUM(P149/O149)*100</f>
        <v>#REF!</v>
      </c>
      <c r="R149" s="488">
        <f>R110</f>
        <v>15284</v>
      </c>
      <c r="S149" s="488">
        <f t="shared" si="9"/>
        <v>15442</v>
      </c>
      <c r="T149" s="110">
        <f>T110</f>
        <v>6024</v>
      </c>
      <c r="U149" s="618">
        <f t="shared" si="14"/>
        <v>39.010490869058415</v>
      </c>
      <c r="V149" s="106">
        <f>V110</f>
        <v>260</v>
      </c>
      <c r="W149" s="106">
        <f>W110</f>
        <v>16184</v>
      </c>
      <c r="X149" s="110">
        <f>X110</f>
        <v>9543</v>
      </c>
      <c r="Y149" s="110">
        <f t="shared" si="15"/>
        <v>58.965645081562037</v>
      </c>
      <c r="Z149" s="106">
        <f>Z110</f>
        <v>1854</v>
      </c>
      <c r="AA149" s="106">
        <f t="shared" si="16"/>
        <v>18038</v>
      </c>
    </row>
    <row r="150" spans="1:27">
      <c r="A150" s="118"/>
      <c r="B150" s="118"/>
      <c r="C150" s="118"/>
      <c r="D150" s="118"/>
      <c r="E150" s="118" t="s">
        <v>137</v>
      </c>
      <c r="F150" s="119"/>
      <c r="G150" s="119"/>
      <c r="H150" s="119"/>
      <c r="I150" s="119"/>
      <c r="J150" s="119"/>
      <c r="K150" s="115" t="s">
        <v>245</v>
      </c>
      <c r="L150" s="119"/>
      <c r="M150" s="110">
        <v>0</v>
      </c>
      <c r="N150" s="106">
        <v>24</v>
      </c>
      <c r="O150" s="106">
        <f t="shared" si="19"/>
        <v>24</v>
      </c>
      <c r="P150" s="106" t="e">
        <f>P121+#REF!</f>
        <v>#REF!</v>
      </c>
      <c r="Q150" s="106" t="e">
        <f>SUM(P150/O150)*100</f>
        <v>#REF!</v>
      </c>
      <c r="R150" s="488">
        <f>R121</f>
        <v>2246</v>
      </c>
      <c r="S150" s="488">
        <f t="shared" si="9"/>
        <v>2270</v>
      </c>
      <c r="T150" s="110">
        <f>T121</f>
        <v>21</v>
      </c>
      <c r="U150" s="618">
        <f t="shared" si="14"/>
        <v>0.92511013215859028</v>
      </c>
      <c r="V150" s="106">
        <f>V121</f>
        <v>293</v>
      </c>
      <c r="W150" s="106">
        <f t="shared" si="17"/>
        <v>2563</v>
      </c>
      <c r="X150" s="110">
        <f>X121</f>
        <v>559</v>
      </c>
      <c r="Y150" s="110">
        <f t="shared" si="15"/>
        <v>21.810378462738978</v>
      </c>
      <c r="Z150" s="106">
        <f>Z121</f>
        <v>5473</v>
      </c>
      <c r="AA150" s="106">
        <f t="shared" si="16"/>
        <v>8036</v>
      </c>
    </row>
    <row r="151" spans="1:27">
      <c r="A151" s="118"/>
      <c r="B151" s="118"/>
      <c r="C151" s="118"/>
      <c r="D151" s="118"/>
      <c r="E151" s="118" t="s">
        <v>239</v>
      </c>
      <c r="F151" s="119"/>
      <c r="G151" s="119"/>
      <c r="H151" s="119"/>
      <c r="I151" s="119"/>
      <c r="J151" s="119"/>
      <c r="K151" s="115" t="s">
        <v>240</v>
      </c>
      <c r="L151" s="119"/>
      <c r="M151" s="110">
        <f>SUM(M122)</f>
        <v>0</v>
      </c>
      <c r="N151" s="106">
        <v>0</v>
      </c>
      <c r="O151" s="106">
        <f t="shared" si="19"/>
        <v>0</v>
      </c>
      <c r="P151" s="106">
        <f>P122</f>
        <v>0</v>
      </c>
      <c r="Q151" s="106">
        <v>0</v>
      </c>
      <c r="R151" s="488">
        <f>R125</f>
        <v>45000</v>
      </c>
      <c r="S151" s="488">
        <f t="shared" si="9"/>
        <v>45000</v>
      </c>
      <c r="T151" s="110">
        <f>T125</f>
        <v>0</v>
      </c>
      <c r="U151" s="618">
        <f t="shared" si="14"/>
        <v>0</v>
      </c>
      <c r="V151" s="106">
        <f>V125</f>
        <v>104</v>
      </c>
      <c r="W151" s="106">
        <f t="shared" si="17"/>
        <v>45104</v>
      </c>
      <c r="X151" s="110">
        <f>X125</f>
        <v>0</v>
      </c>
      <c r="Y151" s="110">
        <f t="shared" si="15"/>
        <v>0</v>
      </c>
      <c r="Z151" s="106">
        <f>Z125</f>
        <v>0</v>
      </c>
      <c r="AA151" s="106">
        <f t="shared" si="16"/>
        <v>45104</v>
      </c>
    </row>
    <row r="152" spans="1:27">
      <c r="A152" s="118"/>
      <c r="B152" s="118"/>
      <c r="C152" s="118"/>
      <c r="D152" s="118"/>
      <c r="E152" s="104" t="s">
        <v>241</v>
      </c>
      <c r="F152" s="119"/>
      <c r="G152" s="119"/>
      <c r="H152" s="119"/>
      <c r="I152" s="119"/>
      <c r="J152" s="119"/>
      <c r="K152" s="115" t="s">
        <v>242</v>
      </c>
      <c r="L152" s="119"/>
      <c r="M152" s="110">
        <f>SUM(M126)</f>
        <v>45670</v>
      </c>
      <c r="N152" s="293">
        <v>368</v>
      </c>
      <c r="O152" s="293">
        <f t="shared" si="19"/>
        <v>46038</v>
      </c>
      <c r="P152" s="293">
        <f>P126</f>
        <v>0</v>
      </c>
      <c r="Q152" s="293">
        <f>SUM(P152/O152)*100</f>
        <v>0</v>
      </c>
      <c r="R152" s="488">
        <f>R126</f>
        <v>1022429</v>
      </c>
      <c r="S152" s="488">
        <f t="shared" si="9"/>
        <v>1068467</v>
      </c>
      <c r="T152" s="293">
        <f>T126</f>
        <v>0</v>
      </c>
      <c r="U152" s="618">
        <f t="shared" si="14"/>
        <v>0</v>
      </c>
      <c r="V152" s="106">
        <f>V126</f>
        <v>78870</v>
      </c>
      <c r="W152" s="106">
        <f t="shared" si="17"/>
        <v>1147337</v>
      </c>
      <c r="X152" s="110">
        <f>X126</f>
        <v>0</v>
      </c>
      <c r="Y152" s="110">
        <f t="shared" si="15"/>
        <v>0</v>
      </c>
      <c r="Z152" s="106">
        <f>Z126</f>
        <v>-4992</v>
      </c>
      <c r="AA152" s="106">
        <f t="shared" si="16"/>
        <v>1142345</v>
      </c>
    </row>
    <row r="153" spans="1:27" ht="15.75">
      <c r="A153" s="111"/>
      <c r="B153" s="111"/>
      <c r="C153" s="111"/>
      <c r="D153" s="111" t="s">
        <v>122</v>
      </c>
      <c r="E153" s="111"/>
      <c r="F153" s="112"/>
      <c r="G153" s="112"/>
      <c r="H153" s="112"/>
      <c r="I153" s="112"/>
      <c r="J153" s="112" t="s">
        <v>246</v>
      </c>
      <c r="K153" s="112"/>
      <c r="L153" s="112"/>
      <c r="M153" s="113">
        <f>SUM(M147:M152)</f>
        <v>48242</v>
      </c>
      <c r="N153" s="231">
        <f>SUM(N147:N152)</f>
        <v>390442</v>
      </c>
      <c r="O153" s="231">
        <f t="shared" si="19"/>
        <v>438684</v>
      </c>
      <c r="P153" s="231" t="e">
        <f>SUM(P147:P152)</f>
        <v>#REF!</v>
      </c>
      <c r="Q153" s="231" t="e">
        <f>SUM(P153/O153)*100</f>
        <v>#REF!</v>
      </c>
      <c r="R153" s="491">
        <f>SUM(R147:R152)</f>
        <v>3515710</v>
      </c>
      <c r="S153" s="491">
        <f t="shared" si="9"/>
        <v>3954394</v>
      </c>
      <c r="T153" s="231">
        <f>T127+T135+T141+T146</f>
        <v>610165</v>
      </c>
      <c r="U153" s="619">
        <f t="shared" si="14"/>
        <v>15.430050723321957</v>
      </c>
      <c r="V153" s="231">
        <f>SUM(V147:V152)</f>
        <v>194600</v>
      </c>
      <c r="W153" s="231">
        <v>4149476</v>
      </c>
      <c r="X153" s="231">
        <f>SUM(X147:X152)</f>
        <v>1061620</v>
      </c>
      <c r="Y153" s="231">
        <f t="shared" si="15"/>
        <v>25.58443523953386</v>
      </c>
      <c r="Z153" s="231">
        <f>SUM(Z147:Z152)</f>
        <v>212305</v>
      </c>
      <c r="AA153" s="231">
        <f t="shared" si="16"/>
        <v>4361781</v>
      </c>
    </row>
    <row r="154" spans="1:27" ht="15.75">
      <c r="A154" s="107"/>
      <c r="B154" s="107"/>
      <c r="C154" s="107"/>
      <c r="D154" s="107"/>
      <c r="E154" s="107"/>
      <c r="F154" s="117"/>
      <c r="G154" s="117"/>
      <c r="H154" s="117"/>
      <c r="I154" s="117"/>
      <c r="J154" s="117"/>
      <c r="K154" s="117"/>
      <c r="L154" s="117"/>
    </row>
    <row r="155" spans="1:27" ht="15.75">
      <c r="A155" s="107"/>
      <c r="B155" s="107"/>
      <c r="C155" s="107"/>
      <c r="D155" s="107"/>
      <c r="E155" s="107"/>
      <c r="F155" s="117"/>
      <c r="G155" s="117"/>
      <c r="H155" s="117"/>
      <c r="I155" s="117"/>
      <c r="J155" s="117"/>
      <c r="K155" s="117"/>
      <c r="L155" s="117"/>
    </row>
    <row r="156" spans="1:27" ht="15.75">
      <c r="A156" s="107"/>
      <c r="B156" s="107"/>
      <c r="C156" s="107"/>
      <c r="D156" s="107"/>
      <c r="E156" s="107"/>
      <c r="F156" s="117"/>
      <c r="G156" s="117"/>
      <c r="H156" s="117"/>
      <c r="I156" s="117"/>
      <c r="J156" s="117"/>
      <c r="K156" s="117"/>
      <c r="L156" s="117"/>
      <c r="M156" s="419"/>
    </row>
    <row r="157" spans="1:27" ht="15.75">
      <c r="A157" s="107"/>
      <c r="B157" s="107"/>
      <c r="C157" s="107"/>
      <c r="D157" s="107"/>
      <c r="E157" s="107"/>
      <c r="F157" s="117"/>
      <c r="G157" s="117"/>
      <c r="H157" s="117"/>
      <c r="I157" s="117"/>
      <c r="J157" s="117"/>
      <c r="K157" s="117"/>
      <c r="L157" s="117"/>
    </row>
    <row r="158" spans="1:27" ht="15.75">
      <c r="A158" s="107"/>
      <c r="B158" s="107"/>
      <c r="C158" s="107"/>
      <c r="D158" s="107"/>
      <c r="E158" s="107"/>
      <c r="F158" s="117"/>
      <c r="G158" s="117"/>
      <c r="H158" s="117"/>
      <c r="I158" s="117"/>
      <c r="J158" s="117"/>
      <c r="K158" s="117"/>
      <c r="L158" s="117"/>
    </row>
    <row r="159" spans="1:27" ht="15.75">
      <c r="A159" s="107"/>
      <c r="B159" s="107"/>
      <c r="C159" s="107"/>
      <c r="D159" s="107"/>
      <c r="E159" s="107"/>
      <c r="F159" s="117"/>
      <c r="G159" s="117"/>
      <c r="H159" s="117"/>
      <c r="I159" s="117"/>
      <c r="J159" s="117"/>
      <c r="K159" s="117"/>
      <c r="L159" s="117"/>
    </row>
    <row r="160" spans="1:27" ht="15.75">
      <c r="A160" s="919" t="s">
        <v>352</v>
      </c>
      <c r="B160" s="919"/>
      <c r="C160" s="919"/>
      <c r="D160" s="919"/>
      <c r="E160" s="919"/>
      <c r="F160" s="919"/>
      <c r="G160" s="919"/>
      <c r="H160" s="919"/>
      <c r="I160" s="919"/>
      <c r="J160" s="919"/>
      <c r="K160" s="919"/>
      <c r="L160" s="919"/>
      <c r="M160" s="913"/>
      <c r="N160" s="913"/>
      <c r="O160" s="913"/>
      <c r="P160" s="913"/>
      <c r="Q160" s="913"/>
      <c r="R160" s="913"/>
      <c r="S160" s="913"/>
      <c r="T160" s="913"/>
      <c r="U160" s="913"/>
      <c r="V160" s="913"/>
      <c r="W160" s="913"/>
      <c r="X160" s="913"/>
      <c r="Y160" s="913"/>
      <c r="Z160" s="913"/>
      <c r="AA160" s="913"/>
    </row>
    <row r="161" spans="1:38" ht="15.75">
      <c r="A161" s="107"/>
      <c r="B161" s="107"/>
      <c r="C161" s="122"/>
      <c r="D161" s="122"/>
      <c r="E161" s="122"/>
      <c r="F161" s="122"/>
      <c r="G161" s="122"/>
      <c r="H161" s="122"/>
      <c r="I161" s="122"/>
      <c r="J161" s="122"/>
      <c r="K161" s="122"/>
      <c r="L161" s="122"/>
      <c r="M161" s="123"/>
      <c r="N161" s="123"/>
    </row>
    <row r="162" spans="1:38" ht="15.75">
      <c r="A162" s="107"/>
      <c r="B162" s="107"/>
      <c r="C162" s="122"/>
      <c r="D162" s="122"/>
      <c r="E162" s="122"/>
      <c r="F162" s="122"/>
      <c r="G162" s="122"/>
      <c r="H162" s="122"/>
      <c r="I162" s="122"/>
      <c r="J162" s="122"/>
      <c r="K162" s="122"/>
      <c r="L162" s="122"/>
      <c r="M162" s="123"/>
      <c r="N162" s="123"/>
    </row>
    <row r="163" spans="1:38" ht="15.75">
      <c r="A163" s="107"/>
      <c r="B163" s="107"/>
      <c r="C163" s="122"/>
      <c r="D163" s="122"/>
      <c r="E163" s="122"/>
      <c r="F163" s="122"/>
      <c r="G163" s="122"/>
      <c r="H163" s="122"/>
      <c r="I163" s="122"/>
      <c r="J163" s="122"/>
      <c r="K163" s="122"/>
      <c r="L163" s="917" t="s">
        <v>103</v>
      </c>
      <c r="M163" s="917"/>
      <c r="N163" s="918"/>
      <c r="O163" s="918"/>
      <c r="P163" s="918"/>
      <c r="Q163" s="918"/>
      <c r="R163" s="918"/>
      <c r="S163" s="918"/>
      <c r="T163" s="918"/>
      <c r="U163" s="918"/>
      <c r="V163" s="918"/>
      <c r="W163" s="918"/>
      <c r="X163" s="918"/>
      <c r="Y163" s="918"/>
      <c r="Z163" s="918"/>
      <c r="AA163" s="918"/>
    </row>
    <row r="164" spans="1:38" ht="95.25">
      <c r="A164" s="108" t="s">
        <v>104</v>
      </c>
      <c r="B164" s="108" t="s">
        <v>105</v>
      </c>
      <c r="C164" s="108" t="s">
        <v>106</v>
      </c>
      <c r="D164" s="108" t="s">
        <v>107</v>
      </c>
      <c r="E164" s="108" t="s">
        <v>108</v>
      </c>
      <c r="F164" s="108" t="s">
        <v>109</v>
      </c>
      <c r="G164" s="108" t="s">
        <v>110</v>
      </c>
      <c r="H164" s="108" t="s">
        <v>111</v>
      </c>
      <c r="I164" s="108" t="s">
        <v>112</v>
      </c>
      <c r="J164" s="108" t="s">
        <v>113</v>
      </c>
      <c r="K164" s="108" t="s">
        <v>114</v>
      </c>
      <c r="L164" s="651" t="s">
        <v>115</v>
      </c>
      <c r="M164" s="652" t="s">
        <v>528</v>
      </c>
      <c r="N164" s="652" t="s">
        <v>432</v>
      </c>
      <c r="O164" s="653" t="s">
        <v>259</v>
      </c>
      <c r="P164" s="128" t="s">
        <v>547</v>
      </c>
      <c r="Q164" s="128" t="s">
        <v>548</v>
      </c>
      <c r="R164" s="654" t="s">
        <v>432</v>
      </c>
      <c r="S164" s="654" t="s">
        <v>592</v>
      </c>
      <c r="T164" s="128" t="s">
        <v>706</v>
      </c>
      <c r="U164" s="650" t="s">
        <v>548</v>
      </c>
      <c r="V164" s="670" t="s">
        <v>432</v>
      </c>
      <c r="W164" s="670" t="s">
        <v>732</v>
      </c>
      <c r="X164" s="713" t="s">
        <v>815</v>
      </c>
      <c r="Y164" s="713" t="s">
        <v>260</v>
      </c>
      <c r="Z164" s="713" t="s">
        <v>432</v>
      </c>
      <c r="AA164" s="713" t="s">
        <v>832</v>
      </c>
    </row>
    <row r="165" spans="1:38" s="7" customFormat="1">
      <c r="A165" s="130" t="s">
        <v>376</v>
      </c>
      <c r="B165" s="130" t="s">
        <v>377</v>
      </c>
      <c r="C165" s="130" t="s">
        <v>378</v>
      </c>
      <c r="D165" s="130" t="s">
        <v>379</v>
      </c>
      <c r="E165" s="130" t="s">
        <v>380</v>
      </c>
      <c r="F165" s="130" t="s">
        <v>381</v>
      </c>
      <c r="G165" s="130" t="s">
        <v>382</v>
      </c>
      <c r="H165" s="130" t="s">
        <v>383</v>
      </c>
      <c r="I165" s="130" t="s">
        <v>384</v>
      </c>
      <c r="J165" s="130" t="s">
        <v>385</v>
      </c>
      <c r="K165" s="130" t="s">
        <v>386</v>
      </c>
      <c r="L165" s="130" t="s">
        <v>387</v>
      </c>
      <c r="M165" s="131" t="s">
        <v>388</v>
      </c>
      <c r="N165" s="285" t="s">
        <v>389</v>
      </c>
      <c r="O165" s="285" t="s">
        <v>389</v>
      </c>
      <c r="P165" s="131" t="s">
        <v>390</v>
      </c>
      <c r="Q165" s="131" t="s">
        <v>546</v>
      </c>
      <c r="R165" s="489" t="s">
        <v>390</v>
      </c>
      <c r="S165" s="489" t="s">
        <v>389</v>
      </c>
      <c r="T165" s="131" t="s">
        <v>390</v>
      </c>
      <c r="U165" s="581" t="s">
        <v>546</v>
      </c>
      <c r="V165" s="131" t="s">
        <v>390</v>
      </c>
      <c r="W165" s="131" t="s">
        <v>389</v>
      </c>
      <c r="X165" s="131" t="s">
        <v>390</v>
      </c>
      <c r="Y165" s="131" t="s">
        <v>546</v>
      </c>
      <c r="Z165" s="131" t="s">
        <v>390</v>
      </c>
      <c r="AA165" s="786" t="s">
        <v>546</v>
      </c>
      <c r="AB165" s="136"/>
      <c r="AC165" s="136"/>
      <c r="AD165" s="136"/>
      <c r="AE165" s="136"/>
      <c r="AF165" s="136"/>
      <c r="AG165" s="136"/>
      <c r="AH165" s="136"/>
      <c r="AI165" s="136"/>
      <c r="AJ165" s="136"/>
      <c r="AK165" s="136"/>
      <c r="AL165" s="136"/>
    </row>
    <row r="166" spans="1:38">
      <c r="A166" s="104" t="s">
        <v>247</v>
      </c>
      <c r="G166" s="105" t="s">
        <v>118</v>
      </c>
    </row>
    <row r="167" spans="1:38">
      <c r="D167" s="104" t="s">
        <v>169</v>
      </c>
      <c r="J167" s="105" t="s">
        <v>248</v>
      </c>
    </row>
    <row r="168" spans="1:38">
      <c r="E168" s="104" t="s">
        <v>249</v>
      </c>
      <c r="K168" s="105" t="s">
        <v>250</v>
      </c>
    </row>
    <row r="169" spans="1:38">
      <c r="K169" s="105" t="s">
        <v>251</v>
      </c>
      <c r="M169" s="106">
        <v>58688</v>
      </c>
      <c r="N169" s="106">
        <v>0</v>
      </c>
      <c r="O169" s="106">
        <f>M169+N169</f>
        <v>58688</v>
      </c>
      <c r="P169" s="106">
        <v>19563</v>
      </c>
      <c r="Q169" s="106">
        <f>SUM(P169/O169)*100</f>
        <v>33.333901308615047</v>
      </c>
      <c r="R169" s="488">
        <v>0</v>
      </c>
      <c r="S169" s="488">
        <f>O169+R169</f>
        <v>58688</v>
      </c>
      <c r="T169" s="110">
        <v>39125</v>
      </c>
      <c r="U169" s="618">
        <f>SUM(T169/S169)*100</f>
        <v>66.66609869138496</v>
      </c>
      <c r="V169" s="106">
        <v>0</v>
      </c>
      <c r="W169" s="106">
        <f>S169+V169</f>
        <v>58688</v>
      </c>
      <c r="X169" s="110">
        <v>39125</v>
      </c>
      <c r="Y169" s="110">
        <f>SUM(X169/W169)*100</f>
        <v>66.66609869138496</v>
      </c>
      <c r="Z169" s="106">
        <v>0</v>
      </c>
      <c r="AA169" s="106">
        <f>W169+Z169</f>
        <v>58688</v>
      </c>
    </row>
    <row r="170" spans="1:38">
      <c r="K170" s="105" t="s">
        <v>252</v>
      </c>
      <c r="M170" s="106">
        <v>10891</v>
      </c>
      <c r="N170" s="293">
        <v>0</v>
      </c>
      <c r="O170" s="293">
        <f>M170+N170</f>
        <v>10891</v>
      </c>
      <c r="P170" s="293">
        <v>7262</v>
      </c>
      <c r="Q170" s="293">
        <f t="shared" ref="Q170:Q176" si="20">SUM(P170/O170)*100</f>
        <v>66.678909191075192</v>
      </c>
      <c r="R170" s="488">
        <v>3631</v>
      </c>
      <c r="S170" s="488">
        <f t="shared" ref="S170:S176" si="21">O170+R170</f>
        <v>14522</v>
      </c>
      <c r="T170" s="293">
        <v>65822</v>
      </c>
      <c r="U170" s="618">
        <f t="shared" ref="U170:U176" si="22">SUM(T170/S170)*100</f>
        <v>453.25712711747695</v>
      </c>
      <c r="V170" s="106">
        <v>0</v>
      </c>
      <c r="W170" s="106">
        <f t="shared" ref="W170:W176" si="23">S170+V170</f>
        <v>14522</v>
      </c>
      <c r="X170" s="110">
        <v>65822</v>
      </c>
      <c r="Y170" s="110">
        <f t="shared" ref="Y170:Y176" si="24">SUM(X170/W170)*100</f>
        <v>453.25712711747695</v>
      </c>
      <c r="Z170" s="106">
        <v>0</v>
      </c>
      <c r="AA170" s="106">
        <f t="shared" ref="AA170:AA176" si="25">W170+Z170</f>
        <v>14522</v>
      </c>
    </row>
    <row r="171" spans="1:38" s="114" customFormat="1" ht="15.75">
      <c r="A171" s="111"/>
      <c r="B171" s="111"/>
      <c r="C171" s="111"/>
      <c r="D171" s="111"/>
      <c r="E171" s="111" t="s">
        <v>249</v>
      </c>
      <c r="F171" s="112"/>
      <c r="G171" s="112" t="s">
        <v>501</v>
      </c>
      <c r="H171" s="112"/>
      <c r="I171" s="112"/>
      <c r="J171" s="112"/>
      <c r="K171" s="112"/>
      <c r="L171" s="112"/>
      <c r="M171" s="113">
        <f>SUM(M169:M170)</f>
        <v>69579</v>
      </c>
      <c r="N171" s="231">
        <v>0</v>
      </c>
      <c r="O171" s="231">
        <f>M171+N171</f>
        <v>69579</v>
      </c>
      <c r="P171" s="231">
        <f>SUM(P169:P170)</f>
        <v>26825</v>
      </c>
      <c r="Q171" s="231">
        <f t="shared" si="20"/>
        <v>38.553299127610344</v>
      </c>
      <c r="R171" s="491">
        <f>SUM(R169:R170)</f>
        <v>3631</v>
      </c>
      <c r="S171" s="491">
        <f t="shared" si="21"/>
        <v>73210</v>
      </c>
      <c r="T171" s="405">
        <f>SUM(T169:T170)</f>
        <v>104947</v>
      </c>
      <c r="U171" s="619">
        <f t="shared" si="22"/>
        <v>143.35063515913126</v>
      </c>
      <c r="V171" s="231">
        <f>SUM(V169:V170)</f>
        <v>0</v>
      </c>
      <c r="W171" s="231">
        <f t="shared" si="23"/>
        <v>73210</v>
      </c>
      <c r="X171" s="231">
        <f>SUM(X169:X170)</f>
        <v>104947</v>
      </c>
      <c r="Y171" s="231">
        <f t="shared" si="24"/>
        <v>143.35063515913126</v>
      </c>
      <c r="Z171" s="231">
        <f>SUM(Z169:Z170)</f>
        <v>0</v>
      </c>
      <c r="AA171" s="231">
        <f t="shared" si="25"/>
        <v>73210</v>
      </c>
    </row>
    <row r="172" spans="1:38">
      <c r="E172" s="104" t="s">
        <v>253</v>
      </c>
      <c r="K172" s="105" t="s">
        <v>254</v>
      </c>
      <c r="U172" s="618"/>
      <c r="X172" s="110"/>
      <c r="Y172" s="110"/>
    </row>
    <row r="173" spans="1:38">
      <c r="K173" s="105" t="s">
        <v>255</v>
      </c>
      <c r="M173" s="106">
        <v>93750</v>
      </c>
      <c r="N173" s="106">
        <v>0</v>
      </c>
      <c r="O173" s="106">
        <f>M173+N173</f>
        <v>93750</v>
      </c>
      <c r="P173" s="106">
        <v>62500</v>
      </c>
      <c r="Q173" s="106">
        <f t="shared" si="20"/>
        <v>66.666666666666657</v>
      </c>
      <c r="R173" s="488">
        <v>0</v>
      </c>
      <c r="S173" s="488">
        <f t="shared" si="21"/>
        <v>93750</v>
      </c>
      <c r="T173" s="110">
        <v>62500</v>
      </c>
      <c r="U173" s="618">
        <f t="shared" si="22"/>
        <v>66.666666666666657</v>
      </c>
      <c r="V173" s="106">
        <v>0</v>
      </c>
      <c r="W173" s="106">
        <f t="shared" si="23"/>
        <v>93750</v>
      </c>
      <c r="X173" s="110">
        <v>125000</v>
      </c>
      <c r="Y173" s="110">
        <f t="shared" si="24"/>
        <v>133.33333333333331</v>
      </c>
      <c r="Z173" s="106">
        <v>0</v>
      </c>
      <c r="AA173" s="106">
        <f t="shared" si="25"/>
        <v>93750</v>
      </c>
    </row>
    <row r="174" spans="1:38">
      <c r="K174" s="105" t="s">
        <v>256</v>
      </c>
      <c r="M174" s="106">
        <v>45000</v>
      </c>
      <c r="N174" s="293">
        <v>0</v>
      </c>
      <c r="O174" s="293">
        <f>M174+N174</f>
        <v>45000</v>
      </c>
      <c r="P174" s="293">
        <v>0</v>
      </c>
      <c r="Q174" s="293">
        <f t="shared" si="20"/>
        <v>0</v>
      </c>
      <c r="R174" s="488">
        <v>0</v>
      </c>
      <c r="S174" s="488">
        <f t="shared" si="21"/>
        <v>45000</v>
      </c>
      <c r="T174" s="293">
        <v>30000</v>
      </c>
      <c r="U174" s="618">
        <f t="shared" si="22"/>
        <v>66.666666666666657</v>
      </c>
      <c r="V174" s="106">
        <v>0</v>
      </c>
      <c r="W174" s="106">
        <f t="shared" si="23"/>
        <v>45000</v>
      </c>
      <c r="X174" s="110">
        <v>30000</v>
      </c>
      <c r="Y174" s="110">
        <f t="shared" si="24"/>
        <v>66.666666666666657</v>
      </c>
      <c r="Z174" s="106">
        <v>0</v>
      </c>
      <c r="AA174" s="106">
        <f t="shared" si="25"/>
        <v>45000</v>
      </c>
    </row>
    <row r="175" spans="1:38" s="114" customFormat="1" ht="15.75">
      <c r="A175" s="111"/>
      <c r="B175" s="111"/>
      <c r="C175" s="111"/>
      <c r="D175" s="111"/>
      <c r="E175" s="111" t="s">
        <v>257</v>
      </c>
      <c r="F175" s="112"/>
      <c r="G175" s="112" t="s">
        <v>492</v>
      </c>
      <c r="H175" s="112"/>
      <c r="I175" s="112"/>
      <c r="J175" s="112"/>
      <c r="K175" s="112"/>
      <c r="L175" s="112"/>
      <c r="M175" s="113">
        <f>SUM(M173:M174)</f>
        <v>138750</v>
      </c>
      <c r="N175" s="231">
        <v>0</v>
      </c>
      <c r="O175" s="231">
        <f>M175+N175</f>
        <v>138750</v>
      </c>
      <c r="P175" s="231">
        <f>SUM(P173:P174)</f>
        <v>62500</v>
      </c>
      <c r="Q175" s="231">
        <f t="shared" si="20"/>
        <v>45.045045045045043</v>
      </c>
      <c r="R175" s="491">
        <v>0</v>
      </c>
      <c r="S175" s="491">
        <f t="shared" si="21"/>
        <v>138750</v>
      </c>
      <c r="T175" s="292">
        <f>SUM(T173:T174)</f>
        <v>92500</v>
      </c>
      <c r="U175" s="619">
        <f t="shared" si="22"/>
        <v>66.666666666666657</v>
      </c>
      <c r="V175" s="231">
        <f>SUM(V173:V174)</f>
        <v>0</v>
      </c>
      <c r="W175" s="231">
        <f t="shared" si="23"/>
        <v>138750</v>
      </c>
      <c r="X175" s="231">
        <f>SUM(X173:X174)</f>
        <v>155000</v>
      </c>
      <c r="Y175" s="231">
        <f t="shared" si="24"/>
        <v>111.7117117117117</v>
      </c>
      <c r="Z175" s="231">
        <f>SUM(Z173:Z174)</f>
        <v>0</v>
      </c>
      <c r="AA175" s="231">
        <f t="shared" si="25"/>
        <v>138750</v>
      </c>
    </row>
    <row r="176" spans="1:38" ht="15.75">
      <c r="A176" s="111" t="s">
        <v>247</v>
      </c>
      <c r="B176" s="111"/>
      <c r="C176" s="111"/>
      <c r="D176" s="111"/>
      <c r="E176" s="111"/>
      <c r="F176" s="112"/>
      <c r="G176" s="116"/>
      <c r="H176" s="112" t="s">
        <v>187</v>
      </c>
      <c r="I176" s="112"/>
      <c r="J176" s="112"/>
      <c r="K176" s="112"/>
      <c r="L176" s="112"/>
      <c r="M176" s="113">
        <f>SUM(M171+M175)</f>
        <v>208329</v>
      </c>
      <c r="N176" s="231">
        <v>0</v>
      </c>
      <c r="O176" s="231">
        <f>M176+N176</f>
        <v>208329</v>
      </c>
      <c r="P176" s="231">
        <f>P171+P175</f>
        <v>89325</v>
      </c>
      <c r="Q176" s="231">
        <f t="shared" si="20"/>
        <v>42.876891839350257</v>
      </c>
      <c r="R176" s="491">
        <f>R171+R175</f>
        <v>3631</v>
      </c>
      <c r="S176" s="491">
        <f t="shared" si="21"/>
        <v>211960</v>
      </c>
      <c r="T176" s="231">
        <f>T171+T175</f>
        <v>197447</v>
      </c>
      <c r="U176" s="619">
        <f t="shared" si="22"/>
        <v>93.152953387431594</v>
      </c>
      <c r="V176" s="231">
        <f>V171+V175</f>
        <v>0</v>
      </c>
      <c r="W176" s="231">
        <f t="shared" si="23"/>
        <v>211960</v>
      </c>
      <c r="X176" s="231">
        <f>X171+X175</f>
        <v>259947</v>
      </c>
      <c r="Y176" s="231">
        <f t="shared" si="24"/>
        <v>122.63964899037553</v>
      </c>
      <c r="Z176" s="231">
        <f>Z171+Z175</f>
        <v>0</v>
      </c>
      <c r="AA176" s="231">
        <f t="shared" si="25"/>
        <v>211960</v>
      </c>
    </row>
    <row r="179" spans="8:8">
      <c r="H179" s="105" t="s">
        <v>155</v>
      </c>
    </row>
  </sheetData>
  <sheetProtection selectLockedCells="1" selectUnlockedCells="1"/>
  <mergeCells count="7">
    <mergeCell ref="L57:AA57"/>
    <mergeCell ref="A160:AA160"/>
    <mergeCell ref="L163:AA163"/>
    <mergeCell ref="L1:AA1"/>
    <mergeCell ref="A3:AA3"/>
    <mergeCell ref="L5:AA5"/>
    <mergeCell ref="A55:AA55"/>
  </mergeCells>
  <phoneticPr fontId="11" type="noConversion"/>
  <printOptions horizontalCentered="1"/>
  <pageMargins left="0.78749999999999998" right="0.78749999999999998" top="0.97" bottom="0.78749999999999998" header="0.51180555555555551" footer="0.51180555555555551"/>
  <pageSetup paperSize="9" scale="46" firstPageNumber="0" orientation="portrait" horizontalDpi="300" verticalDpi="300" r:id="rId1"/>
  <headerFooter alignWithMargins="0">
    <oddFooter>&amp;C&amp;P. oldal</oddFooter>
  </headerFooter>
  <rowBreaks count="2" manualBreakCount="2">
    <brk id="54" max="26" man="1"/>
    <brk id="1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2"/>
  <dimension ref="A1:P70"/>
  <sheetViews>
    <sheetView view="pageBreakPreview" zoomScale="75" zoomScaleNormal="75" zoomScaleSheetLayoutView="100" workbookViewId="0">
      <selection activeCell="A70" sqref="A70"/>
    </sheetView>
  </sheetViews>
  <sheetFormatPr defaultRowHeight="15"/>
  <cols>
    <col min="1" max="1" width="67" customWidth="1"/>
    <col min="2" max="2" width="12.7109375" customWidth="1"/>
    <col min="3" max="3" width="10.28515625" style="3" hidden="1" customWidth="1"/>
    <col min="4" max="4" width="12.28515625" style="3" hidden="1" customWidth="1"/>
    <col min="5" max="5" width="0" style="3" hidden="1" customWidth="1"/>
    <col min="6" max="6" width="0" style="38" hidden="1" customWidth="1"/>
    <col min="7" max="7" width="11.140625" style="556" hidden="1" customWidth="1"/>
    <col min="8" max="8" width="11.7109375" style="3" hidden="1" customWidth="1"/>
    <col min="9" max="9" width="11.5703125" style="3" hidden="1" customWidth="1"/>
    <col min="10" max="10" width="0" style="580" hidden="1" customWidth="1"/>
    <col min="11" max="11" width="10.28515625" style="3" hidden="1" customWidth="1"/>
    <col min="12" max="12" width="11.5703125" style="3" customWidth="1"/>
    <col min="13" max="13" width="11.7109375" style="3" hidden="1" customWidth="1"/>
    <col min="14" max="14" width="6.7109375" style="3" hidden="1" customWidth="1"/>
    <col min="15" max="15" width="9.7109375" style="3" customWidth="1"/>
    <col min="16" max="16" width="11.7109375" style="3" customWidth="1"/>
  </cols>
  <sheetData>
    <row r="1" spans="1:16" ht="14.25">
      <c r="A1" s="922" t="s">
        <v>889</v>
      </c>
      <c r="B1" s="922"/>
      <c r="C1" s="912"/>
      <c r="D1" s="912"/>
      <c r="E1" s="913"/>
      <c r="F1" s="913"/>
      <c r="G1" s="913"/>
      <c r="H1" s="913"/>
      <c r="I1" s="913"/>
      <c r="J1" s="913"/>
      <c r="K1" s="913"/>
      <c r="L1" s="913"/>
      <c r="M1" s="913"/>
      <c r="N1" s="913"/>
      <c r="O1" s="913"/>
      <c r="P1" s="913"/>
    </row>
    <row r="3" spans="1:16" ht="15.75">
      <c r="A3" s="914" t="s">
        <v>353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3"/>
      <c r="O3" s="913"/>
      <c r="P3" s="913"/>
    </row>
    <row r="4" spans="1:16" ht="15.75">
      <c r="A4" s="5"/>
    </row>
    <row r="5" spans="1:16" ht="15.75">
      <c r="A5" s="2"/>
      <c r="B5" s="923" t="s">
        <v>103</v>
      </c>
      <c r="C5" s="924"/>
      <c r="D5" s="924"/>
      <c r="E5" s="924"/>
      <c r="F5" s="924"/>
      <c r="G5" s="916"/>
      <c r="H5" s="916"/>
      <c r="I5" s="916"/>
      <c r="J5" s="916"/>
      <c r="K5" s="916"/>
      <c r="L5" s="916"/>
      <c r="M5" s="916"/>
      <c r="N5" s="916"/>
      <c r="O5" s="913"/>
      <c r="P5" s="913"/>
    </row>
    <row r="6" spans="1:16" s="296" customFormat="1" ht="31.5">
      <c r="A6" s="294" t="s">
        <v>258</v>
      </c>
      <c r="B6" s="129" t="s">
        <v>528</v>
      </c>
      <c r="C6" s="297" t="s">
        <v>116</v>
      </c>
      <c r="D6" s="297" t="s">
        <v>259</v>
      </c>
      <c r="E6" s="297" t="s">
        <v>547</v>
      </c>
      <c r="F6" s="129" t="s">
        <v>548</v>
      </c>
      <c r="G6" s="454" t="s">
        <v>432</v>
      </c>
      <c r="H6" s="297" t="s">
        <v>592</v>
      </c>
      <c r="I6" s="297" t="s">
        <v>706</v>
      </c>
      <c r="J6" s="609" t="s">
        <v>548</v>
      </c>
      <c r="K6" s="456" t="s">
        <v>432</v>
      </c>
      <c r="L6" s="297" t="s">
        <v>732</v>
      </c>
      <c r="M6" s="297" t="s">
        <v>815</v>
      </c>
      <c r="N6" s="297" t="s">
        <v>260</v>
      </c>
      <c r="O6" s="297" t="s">
        <v>432</v>
      </c>
      <c r="P6" s="297" t="s">
        <v>832</v>
      </c>
    </row>
    <row r="7" spans="1:16" s="135" customFormat="1">
      <c r="A7" s="132" t="s">
        <v>391</v>
      </c>
      <c r="B7" s="133" t="s">
        <v>388</v>
      </c>
      <c r="C7" s="131" t="s">
        <v>389</v>
      </c>
      <c r="D7" s="131" t="s">
        <v>389</v>
      </c>
      <c r="E7" s="131" t="s">
        <v>390</v>
      </c>
      <c r="F7" s="131" t="s">
        <v>546</v>
      </c>
      <c r="G7" s="552" t="s">
        <v>390</v>
      </c>
      <c r="H7" s="131" t="s">
        <v>389</v>
      </c>
      <c r="I7" s="131" t="s">
        <v>390</v>
      </c>
      <c r="J7" s="581" t="s">
        <v>546</v>
      </c>
      <c r="K7" s="131" t="s">
        <v>390</v>
      </c>
      <c r="L7" s="128" t="s">
        <v>389</v>
      </c>
      <c r="M7" s="128" t="s">
        <v>390</v>
      </c>
      <c r="N7" s="128" t="s">
        <v>546</v>
      </c>
      <c r="O7" s="552" t="s">
        <v>390</v>
      </c>
      <c r="P7" s="552" t="s">
        <v>546</v>
      </c>
    </row>
    <row r="8" spans="1:16">
      <c r="A8" s="19" t="s">
        <v>261</v>
      </c>
      <c r="B8" s="3">
        <v>6000</v>
      </c>
      <c r="C8" s="3">
        <v>0</v>
      </c>
      <c r="D8" s="3">
        <f t="shared" ref="D8:D15" si="0">B8+C8</f>
        <v>6000</v>
      </c>
      <c r="E8" s="3">
        <v>1850</v>
      </c>
      <c r="F8" s="38">
        <f t="shared" ref="F8:F15" si="1">SUM(E8/D8)*100</f>
        <v>30.833333333333336</v>
      </c>
      <c r="G8" s="556">
        <v>0</v>
      </c>
      <c r="H8" s="3">
        <f>D8+G8</f>
        <v>6000</v>
      </c>
      <c r="I8" s="3">
        <v>3114</v>
      </c>
      <c r="J8" s="580">
        <f>SUM(I8/H8)*100</f>
        <v>51.9</v>
      </c>
      <c r="K8" s="3">
        <v>0</v>
      </c>
      <c r="L8" s="3">
        <f>H8+K8</f>
        <v>6000</v>
      </c>
      <c r="M8" s="20">
        <v>4191</v>
      </c>
      <c r="N8" s="20">
        <f>SUM(M8/L8)*100</f>
        <v>69.849999999999994</v>
      </c>
      <c r="O8" s="3">
        <v>800</v>
      </c>
      <c r="P8" s="3">
        <f>L8+O8</f>
        <v>6800</v>
      </c>
    </row>
    <row r="9" spans="1:16">
      <c r="A9" s="19" t="s">
        <v>445</v>
      </c>
      <c r="B9" s="3">
        <v>2700</v>
      </c>
      <c r="C9" s="3">
        <v>0</v>
      </c>
      <c r="D9" s="3">
        <f t="shared" si="0"/>
        <v>2700</v>
      </c>
      <c r="E9" s="3">
        <v>49</v>
      </c>
      <c r="F9" s="38">
        <f t="shared" si="1"/>
        <v>1.8148148148148149</v>
      </c>
      <c r="G9" s="556">
        <v>0</v>
      </c>
      <c r="H9" s="3">
        <f t="shared" ref="H9:H69" si="2">D9+G9</f>
        <v>2700</v>
      </c>
      <c r="I9" s="20">
        <v>423</v>
      </c>
      <c r="J9" s="580">
        <f t="shared" ref="J9:J69" si="3">SUM(I9/H9)*100</f>
        <v>15.666666666666668</v>
      </c>
      <c r="K9" s="3">
        <v>0</v>
      </c>
      <c r="L9" s="3">
        <f>H9+K9</f>
        <v>2700</v>
      </c>
      <c r="M9" s="20">
        <v>670</v>
      </c>
      <c r="N9" s="20">
        <f t="shared" ref="N9:N69" si="4">SUM(M9/L9)*100</f>
        <v>24.814814814814813</v>
      </c>
      <c r="O9" s="3">
        <v>0</v>
      </c>
      <c r="P9" s="3">
        <f t="shared" ref="P9:P69" si="5">L9+O9</f>
        <v>2700</v>
      </c>
    </row>
    <row r="10" spans="1:16">
      <c r="A10" s="2" t="s">
        <v>446</v>
      </c>
      <c r="B10" s="3">
        <v>14534</v>
      </c>
      <c r="C10" s="3">
        <v>0</v>
      </c>
      <c r="D10" s="3">
        <f t="shared" si="0"/>
        <v>14534</v>
      </c>
      <c r="E10" s="3">
        <v>4283</v>
      </c>
      <c r="F10" s="38">
        <f t="shared" si="1"/>
        <v>29.468831704967663</v>
      </c>
      <c r="G10" s="556">
        <v>0</v>
      </c>
      <c r="H10" s="3">
        <f t="shared" si="2"/>
        <v>14534</v>
      </c>
      <c r="I10" s="20">
        <v>9143</v>
      </c>
      <c r="J10" s="580">
        <f t="shared" si="3"/>
        <v>62.907664786018991</v>
      </c>
      <c r="K10" s="3">
        <v>0</v>
      </c>
      <c r="L10" s="3">
        <f t="shared" ref="L10:L69" si="6">H10+K10</f>
        <v>14534</v>
      </c>
      <c r="M10" s="20">
        <v>12768</v>
      </c>
      <c r="N10" s="20">
        <f t="shared" si="4"/>
        <v>87.849181230218804</v>
      </c>
      <c r="O10" s="3">
        <v>0</v>
      </c>
      <c r="P10" s="3">
        <f t="shared" si="5"/>
        <v>14534</v>
      </c>
    </row>
    <row r="11" spans="1:16">
      <c r="A11" s="11" t="s">
        <v>262</v>
      </c>
      <c r="B11" s="12">
        <f>SUM(B12:B12)</f>
        <v>100000</v>
      </c>
      <c r="C11" s="124">
        <f>C12</f>
        <v>0</v>
      </c>
      <c r="D11" s="124">
        <f t="shared" si="0"/>
        <v>100000</v>
      </c>
      <c r="E11" s="124" t="e">
        <f>E12+#REF!+#REF!</f>
        <v>#REF!</v>
      </c>
      <c r="F11" s="421" t="e">
        <f t="shared" si="1"/>
        <v>#REF!</v>
      </c>
      <c r="G11" s="211">
        <f>G12</f>
        <v>0</v>
      </c>
      <c r="H11" s="124">
        <f t="shared" si="2"/>
        <v>100000</v>
      </c>
      <c r="I11" s="124">
        <v>47654</v>
      </c>
      <c r="J11" s="580">
        <f t="shared" si="3"/>
        <v>47.654000000000003</v>
      </c>
      <c r="K11" s="124">
        <v>0</v>
      </c>
      <c r="L11" s="124">
        <f t="shared" si="6"/>
        <v>100000</v>
      </c>
      <c r="M11" s="124">
        <f>M12+M13+M14</f>
        <v>54436</v>
      </c>
      <c r="N11" s="124">
        <f t="shared" si="4"/>
        <v>54.435999999999993</v>
      </c>
      <c r="O11" s="124">
        <f>O12+O13+O14</f>
        <v>6030</v>
      </c>
      <c r="P11" s="124">
        <f t="shared" si="5"/>
        <v>106030</v>
      </c>
    </row>
    <row r="12" spans="1:16">
      <c r="A12" s="2" t="s">
        <v>263</v>
      </c>
      <c r="B12" s="667">
        <v>100000</v>
      </c>
      <c r="C12" s="608">
        <v>0</v>
      </c>
      <c r="D12" s="608">
        <f t="shared" si="0"/>
        <v>100000</v>
      </c>
      <c r="E12" s="608">
        <v>17324</v>
      </c>
      <c r="F12" s="668">
        <f t="shared" si="1"/>
        <v>17.324000000000002</v>
      </c>
      <c r="G12" s="21">
        <v>0</v>
      </c>
      <c r="H12" s="20">
        <f t="shared" si="2"/>
        <v>100000</v>
      </c>
      <c r="I12" s="3">
        <v>43083</v>
      </c>
      <c r="J12" s="585">
        <f t="shared" si="3"/>
        <v>43.082999999999998</v>
      </c>
      <c r="K12" s="3">
        <v>0</v>
      </c>
      <c r="L12" s="3">
        <f t="shared" si="6"/>
        <v>100000</v>
      </c>
      <c r="M12" s="20">
        <v>49562</v>
      </c>
      <c r="N12" s="20">
        <f t="shared" si="4"/>
        <v>49.561999999999998</v>
      </c>
      <c r="O12" s="3">
        <v>0</v>
      </c>
      <c r="P12" s="3">
        <f t="shared" si="5"/>
        <v>100000</v>
      </c>
    </row>
    <row r="13" spans="1:16">
      <c r="A13" s="2" t="s">
        <v>276</v>
      </c>
      <c r="B13" s="20">
        <v>0</v>
      </c>
      <c r="C13" s="20"/>
      <c r="D13" s="20"/>
      <c r="E13" s="20"/>
      <c r="F13" s="452"/>
      <c r="G13" s="21"/>
      <c r="H13" s="20">
        <v>0</v>
      </c>
      <c r="J13" s="582"/>
      <c r="K13" s="3">
        <v>0</v>
      </c>
      <c r="L13" s="3">
        <f t="shared" si="6"/>
        <v>0</v>
      </c>
      <c r="M13" s="20">
        <v>1633</v>
      </c>
      <c r="N13" s="20">
        <v>0</v>
      </c>
      <c r="O13" s="3">
        <v>1670</v>
      </c>
      <c r="P13" s="3">
        <f t="shared" si="5"/>
        <v>1670</v>
      </c>
    </row>
    <row r="14" spans="1:16">
      <c r="A14" s="2" t="s">
        <v>733</v>
      </c>
      <c r="B14" s="124">
        <v>0</v>
      </c>
      <c r="C14" s="124"/>
      <c r="D14" s="124"/>
      <c r="E14" s="124"/>
      <c r="F14" s="421"/>
      <c r="G14" s="211"/>
      <c r="H14" s="124">
        <v>0</v>
      </c>
      <c r="J14" s="582"/>
      <c r="K14" s="124">
        <v>0</v>
      </c>
      <c r="L14" s="124">
        <f t="shared" si="6"/>
        <v>0</v>
      </c>
      <c r="M14" s="124">
        <v>3241</v>
      </c>
      <c r="N14" s="124">
        <v>0</v>
      </c>
      <c r="O14" s="124">
        <v>4360</v>
      </c>
      <c r="P14" s="124">
        <f t="shared" si="5"/>
        <v>4360</v>
      </c>
    </row>
    <row r="15" spans="1:16">
      <c r="A15" s="9" t="s">
        <v>702</v>
      </c>
      <c r="B15" s="21">
        <v>18588</v>
      </c>
      <c r="C15" s="20">
        <v>0</v>
      </c>
      <c r="D15" s="20">
        <f t="shared" si="0"/>
        <v>18588</v>
      </c>
      <c r="E15" s="20">
        <v>3451</v>
      </c>
      <c r="F15" s="452">
        <f t="shared" si="1"/>
        <v>18.565741338497958</v>
      </c>
      <c r="G15" s="21">
        <v>30970</v>
      </c>
      <c r="H15" s="20">
        <f t="shared" si="2"/>
        <v>49558</v>
      </c>
      <c r="I15" s="608">
        <v>19985</v>
      </c>
      <c r="J15" s="580">
        <f t="shared" si="3"/>
        <v>40.326486137455106</v>
      </c>
      <c r="K15" s="3">
        <v>0</v>
      </c>
      <c r="L15" s="3">
        <f t="shared" si="6"/>
        <v>49558</v>
      </c>
      <c r="M15" s="20">
        <v>41873</v>
      </c>
      <c r="N15" s="20">
        <f t="shared" si="4"/>
        <v>84.492917389725179</v>
      </c>
      <c r="O15" s="3">
        <f>2067+1899</f>
        <v>3966</v>
      </c>
      <c r="P15" s="3">
        <f t="shared" si="5"/>
        <v>53524</v>
      </c>
    </row>
    <row r="16" spans="1:16">
      <c r="A16" s="19" t="s">
        <v>734</v>
      </c>
      <c r="B16" s="21">
        <v>0</v>
      </c>
      <c r="C16" s="20"/>
      <c r="D16" s="20"/>
      <c r="E16" s="20"/>
      <c r="F16" s="452"/>
      <c r="G16" s="21"/>
      <c r="H16" s="20">
        <v>0</v>
      </c>
      <c r="I16" s="20"/>
      <c r="K16" s="3">
        <v>49489</v>
      </c>
      <c r="L16" s="3">
        <f t="shared" si="6"/>
        <v>49489</v>
      </c>
      <c r="M16" s="20">
        <v>160158</v>
      </c>
      <c r="N16" s="20">
        <f t="shared" si="4"/>
        <v>323.6234314696195</v>
      </c>
      <c r="O16" s="3">
        <v>132549</v>
      </c>
      <c r="P16" s="3">
        <f t="shared" si="5"/>
        <v>182038</v>
      </c>
    </row>
    <row r="17" spans="1:16">
      <c r="A17" s="127" t="s">
        <v>595</v>
      </c>
      <c r="B17" s="211">
        <v>0</v>
      </c>
      <c r="C17" s="124"/>
      <c r="D17" s="124">
        <v>0</v>
      </c>
      <c r="E17" s="124">
        <v>38687</v>
      </c>
      <c r="F17" s="421">
        <v>0</v>
      </c>
      <c r="G17" s="556">
        <v>37507</v>
      </c>
      <c r="H17" s="3">
        <f t="shared" si="2"/>
        <v>37507</v>
      </c>
      <c r="I17" s="124">
        <v>124101</v>
      </c>
      <c r="J17" s="580">
        <f t="shared" si="3"/>
        <v>330.87423680912894</v>
      </c>
      <c r="K17" s="3">
        <v>121241</v>
      </c>
      <c r="L17" s="3">
        <f t="shared" si="6"/>
        <v>158748</v>
      </c>
      <c r="M17" s="20">
        <v>193385</v>
      </c>
      <c r="N17" s="20">
        <f t="shared" si="4"/>
        <v>121.81885756041022</v>
      </c>
      <c r="O17" s="3">
        <f>-2067+242753</f>
        <v>240686</v>
      </c>
      <c r="P17" s="3">
        <f t="shared" si="5"/>
        <v>399434</v>
      </c>
    </row>
    <row r="18" spans="1:16" s="296" customFormat="1" ht="15.75">
      <c r="A18" s="429" t="s">
        <v>264</v>
      </c>
      <c r="B18" s="430">
        <f>SUM(B8+B9+B10+B11+B15)</f>
        <v>141822</v>
      </c>
      <c r="C18" s="289">
        <f>C8+C9+C10+C11+C15</f>
        <v>0</v>
      </c>
      <c r="D18" s="289">
        <f>B18+C18</f>
        <v>141822</v>
      </c>
      <c r="E18" s="286" t="e">
        <f>E8+E9+E10+E11+E15+E17</f>
        <v>#REF!</v>
      </c>
      <c r="F18" s="431" t="e">
        <f>SUM(E18/D18)*100</f>
        <v>#REF!</v>
      </c>
      <c r="G18" s="464">
        <f>SUM(G15:G17)</f>
        <v>68477</v>
      </c>
      <c r="H18" s="286">
        <f t="shared" si="2"/>
        <v>210299</v>
      </c>
      <c r="I18" s="99">
        <f>I8+I9+I10+I11+I15+I17</f>
        <v>204420</v>
      </c>
      <c r="J18" s="584">
        <f t="shared" si="3"/>
        <v>97.20445651191875</v>
      </c>
      <c r="K18" s="286">
        <f>SUM(K8:K17)</f>
        <v>170730</v>
      </c>
      <c r="L18" s="289">
        <f t="shared" si="6"/>
        <v>381029</v>
      </c>
      <c r="M18" s="286">
        <f>SUM(M8:M11)+SUM(M15:M17)</f>
        <v>467481</v>
      </c>
      <c r="N18" s="289">
        <f t="shared" si="4"/>
        <v>122.68908665744603</v>
      </c>
      <c r="O18" s="286">
        <f>O8+O9+O10+O11+O15+O16+O17</f>
        <v>384031</v>
      </c>
      <c r="P18" s="286">
        <f t="shared" si="5"/>
        <v>765060</v>
      </c>
    </row>
    <row r="19" spans="1:16">
      <c r="A19" s="2" t="s">
        <v>265</v>
      </c>
      <c r="B19" s="21">
        <v>7818</v>
      </c>
      <c r="C19" s="3">
        <v>0</v>
      </c>
      <c r="D19" s="3">
        <f>B19+C19</f>
        <v>7818</v>
      </c>
      <c r="E19" s="3">
        <v>5681</v>
      </c>
      <c r="F19" s="38">
        <f>SUM(E19/D19)*100</f>
        <v>72.665643387055511</v>
      </c>
      <c r="G19" s="556">
        <v>0</v>
      </c>
      <c r="H19" s="3">
        <f t="shared" si="2"/>
        <v>7818</v>
      </c>
      <c r="I19" s="3">
        <v>5680</v>
      </c>
      <c r="J19" s="580">
        <f t="shared" si="3"/>
        <v>72.652852391916085</v>
      </c>
      <c r="K19" s="3">
        <v>0</v>
      </c>
      <c r="L19" s="3">
        <f t="shared" si="6"/>
        <v>7818</v>
      </c>
      <c r="M19" s="20">
        <v>9416</v>
      </c>
      <c r="N19" s="20">
        <f t="shared" si="4"/>
        <v>120.44001023279611</v>
      </c>
      <c r="O19" s="3">
        <v>1506</v>
      </c>
      <c r="P19" s="3">
        <f t="shared" si="5"/>
        <v>9324</v>
      </c>
    </row>
    <row r="20" spans="1:16">
      <c r="A20" s="2" t="s">
        <v>368</v>
      </c>
      <c r="B20" s="21">
        <v>1800</v>
      </c>
      <c r="C20" s="20">
        <v>0</v>
      </c>
      <c r="D20" s="20">
        <f>B20+C20</f>
        <v>1800</v>
      </c>
      <c r="E20" s="3">
        <v>450</v>
      </c>
      <c r="F20" s="38">
        <f>SUM(E20/D20)*100</f>
        <v>25</v>
      </c>
      <c r="G20" s="556">
        <v>0</v>
      </c>
      <c r="H20" s="3">
        <f t="shared" si="2"/>
        <v>1800</v>
      </c>
      <c r="I20" s="20">
        <v>450</v>
      </c>
      <c r="J20" s="580">
        <f t="shared" si="3"/>
        <v>25</v>
      </c>
      <c r="K20" s="3">
        <v>0</v>
      </c>
      <c r="L20" s="3">
        <f t="shared" si="6"/>
        <v>1800</v>
      </c>
      <c r="M20" s="20">
        <v>1350</v>
      </c>
      <c r="N20" s="20">
        <f t="shared" si="4"/>
        <v>75</v>
      </c>
      <c r="O20" s="3">
        <v>0</v>
      </c>
      <c r="P20" s="3">
        <f t="shared" si="5"/>
        <v>1800</v>
      </c>
    </row>
    <row r="21" spans="1:16">
      <c r="A21" s="2" t="s">
        <v>533</v>
      </c>
      <c r="B21" s="21">
        <v>0</v>
      </c>
      <c r="C21" s="124">
        <v>406</v>
      </c>
      <c r="D21" s="20">
        <f>B21+C21</f>
        <v>406</v>
      </c>
      <c r="E21" s="20">
        <v>406</v>
      </c>
      <c r="F21" s="452">
        <f>SUM(E21/D21)*100</f>
        <v>100</v>
      </c>
      <c r="G21" s="556">
        <v>0</v>
      </c>
      <c r="H21" s="3">
        <f t="shared" si="2"/>
        <v>406</v>
      </c>
      <c r="I21" s="20">
        <v>406</v>
      </c>
      <c r="J21" s="580">
        <f t="shared" si="3"/>
        <v>100</v>
      </c>
      <c r="K21" s="3">
        <v>0</v>
      </c>
      <c r="L21" s="3">
        <f t="shared" si="6"/>
        <v>406</v>
      </c>
      <c r="M21" s="20">
        <v>406</v>
      </c>
      <c r="N21" s="20">
        <f t="shared" si="4"/>
        <v>100</v>
      </c>
      <c r="O21" s="3">
        <v>0</v>
      </c>
      <c r="P21" s="3">
        <f t="shared" si="5"/>
        <v>406</v>
      </c>
    </row>
    <row r="22" spans="1:16">
      <c r="A22" s="2" t="s">
        <v>575</v>
      </c>
      <c r="B22" s="21">
        <v>0</v>
      </c>
      <c r="C22" s="124"/>
      <c r="D22" s="20">
        <v>0</v>
      </c>
      <c r="E22" s="20">
        <v>248</v>
      </c>
      <c r="F22" s="452">
        <v>0</v>
      </c>
      <c r="G22" s="556">
        <v>248</v>
      </c>
      <c r="H22" s="3">
        <f t="shared" si="2"/>
        <v>248</v>
      </c>
      <c r="I22" s="20">
        <v>331</v>
      </c>
      <c r="J22" s="580">
        <f t="shared" si="3"/>
        <v>133.46774193548387</v>
      </c>
      <c r="K22" s="3">
        <v>0</v>
      </c>
      <c r="L22" s="3">
        <f t="shared" si="6"/>
        <v>248</v>
      </c>
      <c r="M22" s="20">
        <v>701</v>
      </c>
      <c r="N22" s="20">
        <f t="shared" si="4"/>
        <v>282.66129032258067</v>
      </c>
      <c r="O22" s="3">
        <v>0</v>
      </c>
      <c r="P22" s="3">
        <f t="shared" si="5"/>
        <v>248</v>
      </c>
    </row>
    <row r="23" spans="1:16">
      <c r="A23" s="2" t="s">
        <v>576</v>
      </c>
      <c r="B23" s="21">
        <v>0</v>
      </c>
      <c r="C23" s="124"/>
      <c r="D23" s="20">
        <v>0</v>
      </c>
      <c r="E23" s="20">
        <v>262</v>
      </c>
      <c r="F23" s="452">
        <v>0</v>
      </c>
      <c r="G23" s="556">
        <v>262</v>
      </c>
      <c r="H23" s="3">
        <f t="shared" si="2"/>
        <v>262</v>
      </c>
      <c r="I23" s="20">
        <v>262</v>
      </c>
      <c r="J23" s="580">
        <f t="shared" si="3"/>
        <v>100</v>
      </c>
      <c r="K23" s="3">
        <v>0</v>
      </c>
      <c r="L23" s="3">
        <f t="shared" si="6"/>
        <v>262</v>
      </c>
      <c r="M23" s="20">
        <v>262</v>
      </c>
      <c r="N23" s="20">
        <f t="shared" si="4"/>
        <v>100</v>
      </c>
      <c r="O23" s="3">
        <v>0</v>
      </c>
      <c r="P23" s="3">
        <f t="shared" si="5"/>
        <v>262</v>
      </c>
    </row>
    <row r="24" spans="1:16">
      <c r="A24" s="2" t="s">
        <v>577</v>
      </c>
      <c r="B24" s="21">
        <v>0</v>
      </c>
      <c r="C24" s="124"/>
      <c r="D24" s="20">
        <v>0</v>
      </c>
      <c r="E24" s="20">
        <v>23348</v>
      </c>
      <c r="F24" s="452">
        <v>0</v>
      </c>
      <c r="G24" s="556">
        <v>23102</v>
      </c>
      <c r="H24" s="3">
        <f t="shared" si="2"/>
        <v>23102</v>
      </c>
      <c r="I24" s="20">
        <v>23102</v>
      </c>
      <c r="J24" s="580">
        <f t="shared" si="3"/>
        <v>100</v>
      </c>
      <c r="K24" s="3">
        <v>0</v>
      </c>
      <c r="L24" s="3">
        <f t="shared" si="6"/>
        <v>23102</v>
      </c>
      <c r="M24" s="20">
        <v>23102</v>
      </c>
      <c r="N24" s="20">
        <f t="shared" si="4"/>
        <v>100</v>
      </c>
      <c r="O24" s="3">
        <v>0</v>
      </c>
      <c r="P24" s="3">
        <f t="shared" si="5"/>
        <v>23102</v>
      </c>
    </row>
    <row r="25" spans="1:16">
      <c r="A25" s="2" t="s">
        <v>596</v>
      </c>
      <c r="B25" s="21">
        <v>0</v>
      </c>
      <c r="C25" s="124"/>
      <c r="D25" s="20">
        <v>0</v>
      </c>
      <c r="E25" s="20"/>
      <c r="F25" s="452"/>
      <c r="G25" s="556">
        <v>503</v>
      </c>
      <c r="H25" s="3">
        <f t="shared" si="2"/>
        <v>503</v>
      </c>
      <c r="I25" s="20">
        <v>246</v>
      </c>
      <c r="J25" s="580">
        <f t="shared" si="3"/>
        <v>48.906560636182903</v>
      </c>
      <c r="K25" s="3">
        <v>0</v>
      </c>
      <c r="L25" s="3">
        <f t="shared" si="6"/>
        <v>503</v>
      </c>
      <c r="M25" s="20">
        <v>246</v>
      </c>
      <c r="N25" s="20">
        <f t="shared" si="4"/>
        <v>48.906560636182903</v>
      </c>
      <c r="O25" s="3">
        <v>0</v>
      </c>
      <c r="P25" s="3">
        <f t="shared" si="5"/>
        <v>503</v>
      </c>
    </row>
    <row r="26" spans="1:16">
      <c r="A26" s="2" t="s">
        <v>578</v>
      </c>
      <c r="B26" s="21">
        <v>0</v>
      </c>
      <c r="C26" s="124"/>
      <c r="D26" s="20">
        <v>0</v>
      </c>
      <c r="E26" s="20">
        <v>168</v>
      </c>
      <c r="F26" s="452">
        <v>0</v>
      </c>
      <c r="G26" s="556">
        <v>3872</v>
      </c>
      <c r="H26" s="3">
        <f t="shared" si="2"/>
        <v>3872</v>
      </c>
      <c r="I26" s="20">
        <v>2020</v>
      </c>
      <c r="J26" s="580">
        <f t="shared" si="3"/>
        <v>52.169421487603309</v>
      </c>
      <c r="K26" s="3">
        <v>0</v>
      </c>
      <c r="L26" s="3">
        <f t="shared" si="6"/>
        <v>3872</v>
      </c>
      <c r="M26" s="20">
        <v>2516</v>
      </c>
      <c r="N26" s="20">
        <f t="shared" si="4"/>
        <v>64.97933884297521</v>
      </c>
      <c r="O26" s="3">
        <v>0</v>
      </c>
      <c r="P26" s="3">
        <f t="shared" si="5"/>
        <v>3872</v>
      </c>
    </row>
    <row r="27" spans="1:16">
      <c r="A27" s="2" t="s">
        <v>599</v>
      </c>
      <c r="B27" s="21">
        <v>0</v>
      </c>
      <c r="C27" s="124"/>
      <c r="D27" s="20">
        <v>0</v>
      </c>
      <c r="E27" s="20"/>
      <c r="F27" s="452"/>
      <c r="G27" s="556">
        <v>269</v>
      </c>
      <c r="H27" s="3">
        <f t="shared" si="2"/>
        <v>269</v>
      </c>
      <c r="I27" s="20">
        <v>0</v>
      </c>
      <c r="J27" s="580">
        <f t="shared" si="3"/>
        <v>0</v>
      </c>
      <c r="K27" s="3">
        <v>0</v>
      </c>
      <c r="L27" s="3">
        <f t="shared" si="6"/>
        <v>269</v>
      </c>
      <c r="M27" s="20">
        <v>0</v>
      </c>
      <c r="N27" s="20">
        <f t="shared" si="4"/>
        <v>0</v>
      </c>
      <c r="O27" s="3">
        <v>0</v>
      </c>
      <c r="P27" s="3">
        <f t="shared" si="5"/>
        <v>269</v>
      </c>
    </row>
    <row r="28" spans="1:16">
      <c r="A28" s="2" t="s">
        <v>579</v>
      </c>
      <c r="B28" s="21">
        <v>0</v>
      </c>
      <c r="C28" s="124"/>
      <c r="D28" s="20">
        <v>0</v>
      </c>
      <c r="E28" s="20">
        <v>402</v>
      </c>
      <c r="F28" s="452">
        <v>0</v>
      </c>
      <c r="G28" s="556">
        <v>402</v>
      </c>
      <c r="H28" s="3">
        <f t="shared" si="2"/>
        <v>402</v>
      </c>
      <c r="I28" s="20">
        <v>402</v>
      </c>
      <c r="J28" s="580">
        <f t="shared" si="3"/>
        <v>100</v>
      </c>
      <c r="K28" s="3">
        <v>0</v>
      </c>
      <c r="L28" s="3">
        <f t="shared" si="6"/>
        <v>402</v>
      </c>
      <c r="M28" s="20">
        <v>402</v>
      </c>
      <c r="N28" s="20">
        <f t="shared" si="4"/>
        <v>100</v>
      </c>
      <c r="O28" s="3">
        <v>11310</v>
      </c>
      <c r="P28" s="3">
        <f t="shared" si="5"/>
        <v>11712</v>
      </c>
    </row>
    <row r="29" spans="1:16">
      <c r="A29" s="2" t="s">
        <v>580</v>
      </c>
      <c r="B29" s="21">
        <v>0</v>
      </c>
      <c r="C29" s="124"/>
      <c r="D29" s="20">
        <v>0</v>
      </c>
      <c r="E29" s="20">
        <v>91508</v>
      </c>
      <c r="F29" s="452">
        <v>0</v>
      </c>
      <c r="G29" s="556">
        <v>351974</v>
      </c>
      <c r="H29" s="3">
        <f t="shared" si="2"/>
        <v>351974</v>
      </c>
      <c r="I29" s="20">
        <v>180092</v>
      </c>
      <c r="J29" s="580">
        <f t="shared" si="3"/>
        <v>51.166279327450326</v>
      </c>
      <c r="K29" s="3">
        <v>0</v>
      </c>
      <c r="L29" s="3">
        <f t="shared" si="6"/>
        <v>351974</v>
      </c>
      <c r="M29" s="20">
        <v>258942</v>
      </c>
      <c r="N29" s="20">
        <f t="shared" si="4"/>
        <v>73.568502218913906</v>
      </c>
      <c r="O29" s="3">
        <v>0</v>
      </c>
      <c r="P29" s="3">
        <f t="shared" si="5"/>
        <v>351974</v>
      </c>
    </row>
    <row r="30" spans="1:16">
      <c r="A30" s="2" t="s">
        <v>581</v>
      </c>
      <c r="B30" s="21">
        <v>0</v>
      </c>
      <c r="C30" s="124"/>
      <c r="D30" s="20">
        <v>0</v>
      </c>
      <c r="E30" s="20">
        <v>1692</v>
      </c>
      <c r="F30" s="452">
        <v>0</v>
      </c>
      <c r="G30" s="556">
        <v>1692</v>
      </c>
      <c r="H30" s="3">
        <f t="shared" si="2"/>
        <v>1692</v>
      </c>
      <c r="I30" s="20">
        <v>1692</v>
      </c>
      <c r="J30" s="580">
        <f t="shared" si="3"/>
        <v>100</v>
      </c>
      <c r="K30" s="3">
        <v>0</v>
      </c>
      <c r="L30" s="3">
        <f t="shared" si="6"/>
        <v>1692</v>
      </c>
      <c r="M30" s="20">
        <v>1692</v>
      </c>
      <c r="N30" s="20">
        <f t="shared" si="4"/>
        <v>100</v>
      </c>
      <c r="O30" s="3">
        <v>1892</v>
      </c>
      <c r="P30" s="3">
        <f t="shared" si="5"/>
        <v>3584</v>
      </c>
    </row>
    <row r="31" spans="1:16">
      <c r="A31" s="2" t="s">
        <v>597</v>
      </c>
      <c r="B31" s="21">
        <v>0</v>
      </c>
      <c r="C31" s="124"/>
      <c r="D31" s="20">
        <v>0</v>
      </c>
      <c r="E31" s="20"/>
      <c r="F31" s="452"/>
      <c r="G31" s="556">
        <v>450</v>
      </c>
      <c r="H31" s="3">
        <f t="shared" si="2"/>
        <v>450</v>
      </c>
      <c r="I31" s="20">
        <v>450</v>
      </c>
      <c r="J31" s="580">
        <f t="shared" si="3"/>
        <v>100</v>
      </c>
      <c r="K31" s="3">
        <v>0</v>
      </c>
      <c r="L31" s="3">
        <f t="shared" si="6"/>
        <v>450</v>
      </c>
      <c r="M31" s="20">
        <v>450</v>
      </c>
      <c r="N31" s="20">
        <f t="shared" si="4"/>
        <v>100</v>
      </c>
      <c r="O31" s="3">
        <v>0</v>
      </c>
      <c r="P31" s="3">
        <f t="shared" si="5"/>
        <v>450</v>
      </c>
    </row>
    <row r="32" spans="1:16">
      <c r="A32" s="2" t="s">
        <v>716</v>
      </c>
      <c r="B32" s="21">
        <v>0</v>
      </c>
      <c r="C32" s="124"/>
      <c r="D32" s="20"/>
      <c r="E32" s="20"/>
      <c r="F32" s="452"/>
      <c r="H32" s="3">
        <v>0</v>
      </c>
      <c r="I32" s="20">
        <v>600</v>
      </c>
      <c r="J32" s="580">
        <v>0</v>
      </c>
      <c r="K32" s="3">
        <v>600</v>
      </c>
      <c r="L32" s="3">
        <f t="shared" si="6"/>
        <v>600</v>
      </c>
      <c r="M32" s="20">
        <v>600</v>
      </c>
      <c r="N32" s="20">
        <f t="shared" si="4"/>
        <v>100</v>
      </c>
      <c r="O32" s="3">
        <v>0</v>
      </c>
      <c r="P32" s="3">
        <f t="shared" si="5"/>
        <v>600</v>
      </c>
    </row>
    <row r="33" spans="1:16">
      <c r="A33" s="2" t="s">
        <v>598</v>
      </c>
      <c r="B33" s="21">
        <v>0</v>
      </c>
      <c r="C33" s="124"/>
      <c r="D33" s="20">
        <v>0</v>
      </c>
      <c r="E33" s="20"/>
      <c r="F33" s="452"/>
      <c r="G33" s="556">
        <v>13267</v>
      </c>
      <c r="H33" s="3">
        <f t="shared" si="2"/>
        <v>13267</v>
      </c>
      <c r="I33" s="20">
        <v>13898</v>
      </c>
      <c r="J33" s="580">
        <f t="shared" si="3"/>
        <v>104.75616190547976</v>
      </c>
      <c r="K33" s="3">
        <v>0</v>
      </c>
      <c r="L33" s="3">
        <f t="shared" si="6"/>
        <v>13267</v>
      </c>
      <c r="M33" s="20">
        <v>13899</v>
      </c>
      <c r="N33" s="20">
        <f t="shared" si="4"/>
        <v>104.76369940453758</v>
      </c>
      <c r="O33" s="3">
        <v>0</v>
      </c>
      <c r="P33" s="3">
        <f t="shared" si="5"/>
        <v>13267</v>
      </c>
    </row>
    <row r="34" spans="1:16">
      <c r="A34" s="2" t="s">
        <v>715</v>
      </c>
      <c r="B34" s="21">
        <v>0</v>
      </c>
      <c r="C34" s="124"/>
      <c r="D34" s="20"/>
      <c r="E34" s="20"/>
      <c r="F34" s="452"/>
      <c r="H34" s="3">
        <v>0</v>
      </c>
      <c r="I34" s="20">
        <v>314</v>
      </c>
      <c r="J34" s="580">
        <v>0</v>
      </c>
      <c r="K34" s="3">
        <v>263</v>
      </c>
      <c r="L34" s="3">
        <f t="shared" si="6"/>
        <v>263</v>
      </c>
      <c r="M34" s="20">
        <v>314</v>
      </c>
      <c r="N34" s="20">
        <f t="shared" si="4"/>
        <v>119.3916349809886</v>
      </c>
      <c r="O34" s="3">
        <v>0</v>
      </c>
      <c r="P34" s="3">
        <f t="shared" si="5"/>
        <v>263</v>
      </c>
    </row>
    <row r="35" spans="1:16">
      <c r="A35" s="2" t="s">
        <v>818</v>
      </c>
      <c r="B35" s="21">
        <v>0</v>
      </c>
      <c r="C35" s="124"/>
      <c r="D35" s="20"/>
      <c r="E35" s="20"/>
      <c r="F35" s="452"/>
      <c r="I35" s="20"/>
      <c r="L35" s="3">
        <v>0</v>
      </c>
      <c r="M35" s="20">
        <v>262</v>
      </c>
      <c r="N35" s="20">
        <v>0</v>
      </c>
      <c r="O35" s="3">
        <v>0</v>
      </c>
      <c r="P35" s="3">
        <f t="shared" si="5"/>
        <v>0</v>
      </c>
    </row>
    <row r="36" spans="1:16">
      <c r="A36" s="2" t="s">
        <v>735</v>
      </c>
      <c r="B36" s="21">
        <v>0</v>
      </c>
      <c r="C36" s="124"/>
      <c r="D36" s="20"/>
      <c r="E36" s="20"/>
      <c r="F36" s="452"/>
      <c r="H36" s="3">
        <v>0</v>
      </c>
      <c r="I36" s="20"/>
      <c r="K36" s="3">
        <v>3984</v>
      </c>
      <c r="L36" s="3">
        <f t="shared" si="6"/>
        <v>3984</v>
      </c>
      <c r="M36" s="20">
        <v>0</v>
      </c>
      <c r="N36" s="20">
        <f t="shared" si="4"/>
        <v>0</v>
      </c>
      <c r="O36" s="3">
        <v>0</v>
      </c>
      <c r="P36" s="3">
        <f t="shared" si="5"/>
        <v>3984</v>
      </c>
    </row>
    <row r="37" spans="1:16">
      <c r="A37" s="2" t="s">
        <v>835</v>
      </c>
      <c r="B37" s="21">
        <v>0</v>
      </c>
      <c r="C37" s="124"/>
      <c r="D37" s="20"/>
      <c r="E37" s="20"/>
      <c r="F37" s="452"/>
      <c r="I37" s="20"/>
      <c r="L37" s="3">
        <v>0</v>
      </c>
      <c r="M37" s="20"/>
      <c r="N37" s="20"/>
      <c r="O37" s="3">
        <v>1327</v>
      </c>
      <c r="P37" s="3">
        <f t="shared" si="5"/>
        <v>1327</v>
      </c>
    </row>
    <row r="38" spans="1:16" s="296" customFormat="1" ht="15.75">
      <c r="A38" s="432" t="s">
        <v>174</v>
      </c>
      <c r="B38" s="433">
        <f>SUM(B19:B37)</f>
        <v>9618</v>
      </c>
      <c r="C38" s="289">
        <f>SUM(C19:C21)</f>
        <v>406</v>
      </c>
      <c r="D38" s="289">
        <f>B38+C38</f>
        <v>10024</v>
      </c>
      <c r="E38" s="286">
        <f>SUM(E19:E33)</f>
        <v>124165</v>
      </c>
      <c r="F38" s="431">
        <f>SUM(E38/D38)*100</f>
        <v>1238.6771747805267</v>
      </c>
      <c r="G38" s="464">
        <f>SUM(G19:G33)</f>
        <v>396041</v>
      </c>
      <c r="H38" s="286">
        <f t="shared" si="2"/>
        <v>406065</v>
      </c>
      <c r="I38" s="23">
        <f>SUM(I19:I34)</f>
        <v>229945</v>
      </c>
      <c r="J38" s="584">
        <f t="shared" si="3"/>
        <v>56.627633506950858</v>
      </c>
      <c r="K38" s="286">
        <f>SUM(K19:K36)</f>
        <v>4847</v>
      </c>
      <c r="L38" s="289">
        <f t="shared" si="6"/>
        <v>410912</v>
      </c>
      <c r="M38" s="286">
        <f>SUM(M19:M36)</f>
        <v>314560</v>
      </c>
      <c r="N38" s="289">
        <f t="shared" si="4"/>
        <v>76.551670430651825</v>
      </c>
      <c r="O38" s="289">
        <f>SUM(O19:O37)</f>
        <v>16035</v>
      </c>
      <c r="P38" s="289">
        <f t="shared" si="5"/>
        <v>426947</v>
      </c>
    </row>
    <row r="39" spans="1:16" s="135" customFormat="1">
      <c r="A39" s="395" t="s">
        <v>534</v>
      </c>
      <c r="B39" s="396">
        <v>0</v>
      </c>
      <c r="C39" s="396">
        <v>492</v>
      </c>
      <c r="D39" s="396">
        <f>B39+C39</f>
        <v>492</v>
      </c>
      <c r="E39" s="3">
        <v>492</v>
      </c>
      <c r="F39" s="38">
        <f>SUM(E39/D39)*100</f>
        <v>100</v>
      </c>
      <c r="G39" s="556">
        <v>0</v>
      </c>
      <c r="H39" s="3">
        <f t="shared" si="2"/>
        <v>492</v>
      </c>
      <c r="I39" s="608">
        <v>492</v>
      </c>
      <c r="J39" s="580">
        <f t="shared" si="3"/>
        <v>100</v>
      </c>
      <c r="K39" s="3">
        <v>0</v>
      </c>
      <c r="L39" s="3">
        <f t="shared" si="6"/>
        <v>492</v>
      </c>
      <c r="M39" s="20">
        <v>492</v>
      </c>
      <c r="N39" s="20">
        <f t="shared" si="4"/>
        <v>100</v>
      </c>
      <c r="O39" s="3">
        <v>0</v>
      </c>
      <c r="P39" s="3">
        <f t="shared" si="5"/>
        <v>492</v>
      </c>
    </row>
    <row r="40" spans="1:16" s="135" customFormat="1">
      <c r="A40" s="395" t="s">
        <v>535</v>
      </c>
      <c r="B40" s="396">
        <v>0</v>
      </c>
      <c r="C40" s="396">
        <v>263917</v>
      </c>
      <c r="D40" s="396">
        <f>B40+C40</f>
        <v>263917</v>
      </c>
      <c r="E40" s="20">
        <v>0</v>
      </c>
      <c r="F40" s="452">
        <f>SUM(E40/D40)*100</f>
        <v>0</v>
      </c>
      <c r="G40" s="556">
        <v>0</v>
      </c>
      <c r="H40" s="3">
        <f t="shared" si="2"/>
        <v>263917</v>
      </c>
      <c r="I40" s="20">
        <v>0</v>
      </c>
      <c r="J40" s="580">
        <f t="shared" si="3"/>
        <v>0</v>
      </c>
      <c r="K40" s="3">
        <v>0</v>
      </c>
      <c r="L40" s="3">
        <f t="shared" si="6"/>
        <v>263917</v>
      </c>
      <c r="M40" s="20">
        <v>30865</v>
      </c>
      <c r="N40" s="20">
        <f t="shared" si="4"/>
        <v>11.694964704812499</v>
      </c>
      <c r="O40" s="3">
        <v>0</v>
      </c>
      <c r="P40" s="3">
        <f t="shared" si="5"/>
        <v>263917</v>
      </c>
    </row>
    <row r="41" spans="1:16" s="135" customFormat="1">
      <c r="A41" s="395" t="s">
        <v>600</v>
      </c>
      <c r="B41" s="396">
        <v>0</v>
      </c>
      <c r="C41" s="396"/>
      <c r="D41" s="396">
        <v>0</v>
      </c>
      <c r="E41" s="20">
        <v>16208</v>
      </c>
      <c r="F41" s="452">
        <v>0</v>
      </c>
      <c r="G41" s="556">
        <v>368</v>
      </c>
      <c r="H41" s="3">
        <f t="shared" si="2"/>
        <v>368</v>
      </c>
      <c r="I41" s="20">
        <v>368</v>
      </c>
      <c r="J41" s="580">
        <f t="shared" si="3"/>
        <v>100</v>
      </c>
      <c r="K41" s="3">
        <v>0</v>
      </c>
      <c r="L41" s="3">
        <f t="shared" si="6"/>
        <v>368</v>
      </c>
      <c r="M41" s="20">
        <v>368</v>
      </c>
      <c r="N41" s="20">
        <f t="shared" si="4"/>
        <v>100</v>
      </c>
      <c r="O41" s="3">
        <v>0</v>
      </c>
      <c r="P41" s="3">
        <f t="shared" si="5"/>
        <v>368</v>
      </c>
    </row>
    <row r="42" spans="1:16" s="135" customFormat="1">
      <c r="A42" s="395" t="s">
        <v>819</v>
      </c>
      <c r="B42" s="396">
        <v>0</v>
      </c>
      <c r="C42" s="396"/>
      <c r="D42" s="396"/>
      <c r="E42" s="20"/>
      <c r="F42" s="452"/>
      <c r="G42" s="556"/>
      <c r="H42" s="3"/>
      <c r="I42" s="20"/>
      <c r="J42" s="580"/>
      <c r="K42" s="3"/>
      <c r="L42" s="3">
        <v>0</v>
      </c>
      <c r="M42" s="20">
        <v>16208</v>
      </c>
      <c r="N42" s="20">
        <v>0</v>
      </c>
      <c r="O42" s="3">
        <v>8604</v>
      </c>
      <c r="P42" s="3">
        <f t="shared" si="5"/>
        <v>8604</v>
      </c>
    </row>
    <row r="43" spans="1:16" s="135" customFormat="1">
      <c r="A43" s="395" t="s">
        <v>601</v>
      </c>
      <c r="B43" s="396">
        <v>0</v>
      </c>
      <c r="C43" s="396"/>
      <c r="D43" s="396">
        <v>0</v>
      </c>
      <c r="E43" s="20"/>
      <c r="F43" s="452"/>
      <c r="G43" s="556">
        <v>17307</v>
      </c>
      <c r="H43" s="3">
        <f t="shared" si="2"/>
        <v>17307</v>
      </c>
      <c r="I43" s="20">
        <v>0</v>
      </c>
      <c r="J43" s="580">
        <f t="shared" si="3"/>
        <v>0</v>
      </c>
      <c r="K43" s="3">
        <v>0</v>
      </c>
      <c r="L43" s="3">
        <f t="shared" si="6"/>
        <v>17307</v>
      </c>
      <c r="M43" s="20">
        <v>1799</v>
      </c>
      <c r="N43" s="20">
        <f t="shared" si="4"/>
        <v>10.394638007742532</v>
      </c>
      <c r="O43" s="3">
        <v>0</v>
      </c>
      <c r="P43" s="3">
        <f t="shared" si="5"/>
        <v>17307</v>
      </c>
    </row>
    <row r="44" spans="1:16" s="135" customFormat="1">
      <c r="A44" s="395" t="s">
        <v>582</v>
      </c>
      <c r="B44" s="396">
        <v>0</v>
      </c>
      <c r="C44" s="396"/>
      <c r="D44" s="396">
        <v>0</v>
      </c>
      <c r="E44" s="20">
        <v>139350</v>
      </c>
      <c r="F44" s="452">
        <v>0</v>
      </c>
      <c r="G44" s="556">
        <v>139350</v>
      </c>
      <c r="H44" s="3">
        <f t="shared" si="2"/>
        <v>139350</v>
      </c>
      <c r="I44" s="20">
        <v>139350</v>
      </c>
      <c r="J44" s="580">
        <f t="shared" si="3"/>
        <v>100</v>
      </c>
      <c r="K44" s="3">
        <v>0</v>
      </c>
      <c r="L44" s="3">
        <f t="shared" si="6"/>
        <v>139350</v>
      </c>
      <c r="M44" s="20">
        <v>139350</v>
      </c>
      <c r="N44" s="20">
        <f t="shared" si="4"/>
        <v>100</v>
      </c>
      <c r="O44" s="3">
        <v>0</v>
      </c>
      <c r="P44" s="3">
        <f t="shared" si="5"/>
        <v>139350</v>
      </c>
    </row>
    <row r="45" spans="1:16" s="135" customFormat="1">
      <c r="A45" s="395" t="s">
        <v>583</v>
      </c>
      <c r="B45" s="396">
        <v>0</v>
      </c>
      <c r="C45" s="396"/>
      <c r="D45" s="396">
        <v>0</v>
      </c>
      <c r="E45" s="20">
        <v>23922</v>
      </c>
      <c r="F45" s="452">
        <v>0</v>
      </c>
      <c r="G45" s="556">
        <v>896922</v>
      </c>
      <c r="H45" s="3">
        <f t="shared" si="2"/>
        <v>896922</v>
      </c>
      <c r="I45" s="20">
        <v>23922</v>
      </c>
      <c r="J45" s="580">
        <f t="shared" si="3"/>
        <v>2.6671215557205645</v>
      </c>
      <c r="K45" s="21">
        <v>0</v>
      </c>
      <c r="L45" s="3">
        <f t="shared" si="6"/>
        <v>896922</v>
      </c>
      <c r="M45" s="20">
        <v>138956</v>
      </c>
      <c r="N45" s="20">
        <f t="shared" si="4"/>
        <v>15.492540042500908</v>
      </c>
      <c r="O45" s="3">
        <v>0</v>
      </c>
      <c r="P45" s="3">
        <f t="shared" si="5"/>
        <v>896922</v>
      </c>
    </row>
    <row r="46" spans="1:16" s="135" customFormat="1">
      <c r="A46" s="395" t="s">
        <v>591</v>
      </c>
      <c r="B46" s="396">
        <v>0</v>
      </c>
      <c r="C46" s="396"/>
      <c r="D46" s="396">
        <v>0</v>
      </c>
      <c r="E46" s="20">
        <v>4221</v>
      </c>
      <c r="F46" s="452">
        <v>0</v>
      </c>
      <c r="G46" s="556">
        <v>38502</v>
      </c>
      <c r="H46" s="3">
        <f t="shared" si="2"/>
        <v>38502</v>
      </c>
      <c r="I46" s="20">
        <v>4221</v>
      </c>
      <c r="J46" s="580">
        <f t="shared" si="3"/>
        <v>10.96306685366994</v>
      </c>
      <c r="K46" s="3">
        <v>0</v>
      </c>
      <c r="L46" s="3">
        <f t="shared" si="6"/>
        <v>38502</v>
      </c>
      <c r="M46" s="20">
        <v>23847</v>
      </c>
      <c r="N46" s="20">
        <f t="shared" si="4"/>
        <v>61.937042231572384</v>
      </c>
      <c r="O46" s="3">
        <v>0</v>
      </c>
      <c r="P46" s="3">
        <f t="shared" si="5"/>
        <v>38502</v>
      </c>
    </row>
    <row r="47" spans="1:16" s="135" customFormat="1">
      <c r="A47" s="395" t="s">
        <v>602</v>
      </c>
      <c r="B47" s="396">
        <v>0</v>
      </c>
      <c r="C47" s="396"/>
      <c r="D47" s="396">
        <v>0</v>
      </c>
      <c r="E47" s="20"/>
      <c r="F47" s="452"/>
      <c r="G47" s="556">
        <v>721757</v>
      </c>
      <c r="H47" s="3">
        <f t="shared" si="2"/>
        <v>721757</v>
      </c>
      <c r="I47" s="20">
        <v>268833</v>
      </c>
      <c r="J47" s="580">
        <f t="shared" si="3"/>
        <v>37.247023582729369</v>
      </c>
      <c r="K47" s="3">
        <v>0</v>
      </c>
      <c r="L47" s="3">
        <f t="shared" si="6"/>
        <v>721757</v>
      </c>
      <c r="M47" s="20">
        <v>312122</v>
      </c>
      <c r="N47" s="20">
        <f t="shared" si="4"/>
        <v>43.244748578815305</v>
      </c>
      <c r="O47" s="3">
        <v>0</v>
      </c>
      <c r="P47" s="3">
        <f t="shared" si="5"/>
        <v>721757</v>
      </c>
    </row>
    <row r="48" spans="1:16" s="135" customFormat="1">
      <c r="A48" s="395" t="s">
        <v>717</v>
      </c>
      <c r="B48" s="396">
        <v>0</v>
      </c>
      <c r="C48" s="396"/>
      <c r="D48" s="396"/>
      <c r="E48" s="20"/>
      <c r="F48" s="452"/>
      <c r="G48" s="556"/>
      <c r="H48" s="3">
        <v>0</v>
      </c>
      <c r="I48" s="20">
        <v>26773</v>
      </c>
      <c r="J48" s="580">
        <v>0</v>
      </c>
      <c r="K48" s="21">
        <v>24973</v>
      </c>
      <c r="L48" s="3">
        <f t="shared" si="6"/>
        <v>24973</v>
      </c>
      <c r="M48" s="20">
        <v>24973</v>
      </c>
      <c r="N48" s="20">
        <f t="shared" si="4"/>
        <v>100</v>
      </c>
      <c r="O48" s="3">
        <v>0</v>
      </c>
      <c r="P48" s="3">
        <f t="shared" si="5"/>
        <v>24973</v>
      </c>
    </row>
    <row r="49" spans="1:16" s="135" customFormat="1">
      <c r="A49" s="395" t="s">
        <v>624</v>
      </c>
      <c r="B49" s="396">
        <v>0</v>
      </c>
      <c r="C49" s="396"/>
      <c r="D49" s="396">
        <v>0</v>
      </c>
      <c r="E49" s="20"/>
      <c r="F49" s="452"/>
      <c r="G49" s="556">
        <v>24998</v>
      </c>
      <c r="H49" s="3">
        <f t="shared" si="2"/>
        <v>24998</v>
      </c>
      <c r="I49" s="20">
        <v>0</v>
      </c>
      <c r="J49" s="580">
        <f t="shared" si="3"/>
        <v>0</v>
      </c>
      <c r="K49" s="3">
        <v>11451</v>
      </c>
      <c r="L49" s="3">
        <f t="shared" si="6"/>
        <v>36449</v>
      </c>
      <c r="M49" s="20">
        <v>0</v>
      </c>
      <c r="N49" s="20">
        <f t="shared" si="4"/>
        <v>0</v>
      </c>
      <c r="O49" s="3">
        <v>0</v>
      </c>
      <c r="P49" s="3">
        <f t="shared" si="5"/>
        <v>36449</v>
      </c>
    </row>
    <row r="50" spans="1:16" s="135" customFormat="1">
      <c r="A50" s="395" t="s">
        <v>584</v>
      </c>
      <c r="B50" s="396">
        <v>0</v>
      </c>
      <c r="C50" s="396"/>
      <c r="D50" s="396">
        <v>0</v>
      </c>
      <c r="E50" s="20">
        <v>1027</v>
      </c>
      <c r="F50" s="452">
        <v>0</v>
      </c>
      <c r="G50" s="556">
        <v>1027</v>
      </c>
      <c r="H50" s="3">
        <f t="shared" si="2"/>
        <v>1027</v>
      </c>
      <c r="I50" s="20">
        <v>1027</v>
      </c>
      <c r="J50" s="580">
        <f t="shared" si="3"/>
        <v>100</v>
      </c>
      <c r="K50" s="3">
        <v>0</v>
      </c>
      <c r="L50" s="3">
        <f t="shared" si="6"/>
        <v>1027</v>
      </c>
      <c r="M50" s="20">
        <v>76097</v>
      </c>
      <c r="N50" s="20">
        <f t="shared" si="4"/>
        <v>7409.6397273612465</v>
      </c>
      <c r="O50" s="3">
        <v>0</v>
      </c>
      <c r="P50" s="3">
        <f t="shared" si="5"/>
        <v>1027</v>
      </c>
    </row>
    <row r="51" spans="1:16" s="135" customFormat="1">
      <c r="A51" s="395" t="s">
        <v>585</v>
      </c>
      <c r="B51" s="396">
        <v>0</v>
      </c>
      <c r="C51" s="396"/>
      <c r="D51" s="396">
        <v>0</v>
      </c>
      <c r="E51" s="20">
        <v>5394</v>
      </c>
      <c r="F51" s="452">
        <v>0</v>
      </c>
      <c r="G51" s="556">
        <v>119931</v>
      </c>
      <c r="H51" s="3">
        <f t="shared" si="2"/>
        <v>119931</v>
      </c>
      <c r="I51" s="20">
        <v>5394</v>
      </c>
      <c r="J51" s="580">
        <f t="shared" si="3"/>
        <v>4.4975861120144085</v>
      </c>
      <c r="K51" s="3">
        <v>0</v>
      </c>
      <c r="L51" s="3">
        <f t="shared" si="6"/>
        <v>119931</v>
      </c>
      <c r="M51" s="20">
        <v>32745</v>
      </c>
      <c r="N51" s="20">
        <f t="shared" si="4"/>
        <v>27.303199339620281</v>
      </c>
      <c r="O51" s="3">
        <v>0</v>
      </c>
      <c r="P51" s="3">
        <f t="shared" si="5"/>
        <v>119931</v>
      </c>
    </row>
    <row r="52" spans="1:16" s="135" customFormat="1">
      <c r="A52" s="395" t="s">
        <v>718</v>
      </c>
      <c r="B52" s="396">
        <v>0</v>
      </c>
      <c r="C52" s="396"/>
      <c r="D52" s="396"/>
      <c r="E52" s="20"/>
      <c r="F52" s="452"/>
      <c r="G52" s="556"/>
      <c r="H52" s="3">
        <v>0</v>
      </c>
      <c r="I52" s="124">
        <v>5715</v>
      </c>
      <c r="J52" s="580">
        <v>0</v>
      </c>
      <c r="K52" s="3">
        <v>4831</v>
      </c>
      <c r="L52" s="3">
        <f t="shared" si="6"/>
        <v>4831</v>
      </c>
      <c r="M52" s="20">
        <v>5715</v>
      </c>
      <c r="N52" s="20">
        <f t="shared" si="4"/>
        <v>118.29848892568826</v>
      </c>
      <c r="O52" s="3">
        <v>263</v>
      </c>
      <c r="P52" s="3">
        <f t="shared" si="5"/>
        <v>5094</v>
      </c>
    </row>
    <row r="53" spans="1:16" s="135" customFormat="1">
      <c r="A53" s="395" t="s">
        <v>836</v>
      </c>
      <c r="B53" s="396">
        <v>0</v>
      </c>
      <c r="C53" s="396"/>
      <c r="D53" s="396"/>
      <c r="E53" s="20"/>
      <c r="F53" s="452"/>
      <c r="G53" s="556"/>
      <c r="H53" s="3"/>
      <c r="I53" s="20"/>
      <c r="J53" s="580"/>
      <c r="K53" s="3"/>
      <c r="L53" s="3">
        <v>0</v>
      </c>
      <c r="M53" s="20"/>
      <c r="N53" s="20"/>
      <c r="O53" s="3">
        <v>339997</v>
      </c>
      <c r="P53" s="3">
        <f t="shared" si="5"/>
        <v>339997</v>
      </c>
    </row>
    <row r="54" spans="1:16" s="296" customFormat="1" ht="15.75">
      <c r="A54" s="227" t="s">
        <v>536</v>
      </c>
      <c r="B54" s="289">
        <f>SUM(B39:B53)</f>
        <v>0</v>
      </c>
      <c r="C54" s="289">
        <f>SUM(C39:C40)</f>
        <v>264409</v>
      </c>
      <c r="D54" s="289">
        <f>B54+C54</f>
        <v>264409</v>
      </c>
      <c r="E54" s="286">
        <f>SUM(E39:E51)</f>
        <v>190614</v>
      </c>
      <c r="F54" s="431">
        <f>SUM(E54/D54)*100</f>
        <v>72.090586931609749</v>
      </c>
      <c r="G54" s="464">
        <f>SUM(G39:G51)</f>
        <v>1960162</v>
      </c>
      <c r="H54" s="286">
        <f t="shared" si="2"/>
        <v>2224571</v>
      </c>
      <c r="I54" s="23">
        <f>SUM(I39:I52)</f>
        <v>476095</v>
      </c>
      <c r="J54" s="584">
        <f t="shared" si="3"/>
        <v>21.401654521253761</v>
      </c>
      <c r="K54" s="286">
        <f>SUM(K39:K52)</f>
        <v>41255</v>
      </c>
      <c r="L54" s="289">
        <f t="shared" si="6"/>
        <v>2265826</v>
      </c>
      <c r="M54" s="286">
        <f>SUM(M39:M52)</f>
        <v>803537</v>
      </c>
      <c r="N54" s="289">
        <f t="shared" si="4"/>
        <v>35.463314482224142</v>
      </c>
      <c r="O54" s="289">
        <f>SUM(O39:O53)</f>
        <v>348864</v>
      </c>
      <c r="P54" s="289">
        <f t="shared" si="5"/>
        <v>2614690</v>
      </c>
    </row>
    <row r="55" spans="1:16" s="296" customFormat="1">
      <c r="A55" s="395" t="s">
        <v>586</v>
      </c>
      <c r="B55" s="396">
        <v>0</v>
      </c>
      <c r="C55" s="396"/>
      <c r="D55" s="396">
        <v>0</v>
      </c>
      <c r="E55" s="396">
        <v>7127</v>
      </c>
      <c r="F55" s="453">
        <v>0</v>
      </c>
      <c r="G55" s="560">
        <v>7127</v>
      </c>
      <c r="H55" s="3">
        <f t="shared" si="2"/>
        <v>7127</v>
      </c>
      <c r="I55" s="607">
        <v>7127</v>
      </c>
      <c r="J55" s="580">
        <f t="shared" si="3"/>
        <v>100</v>
      </c>
      <c r="K55" s="98">
        <v>0</v>
      </c>
      <c r="L55" s="3">
        <f t="shared" si="6"/>
        <v>7127</v>
      </c>
      <c r="M55" s="396">
        <v>7127</v>
      </c>
      <c r="N55" s="20">
        <f t="shared" si="4"/>
        <v>100</v>
      </c>
      <c r="O55" s="98">
        <v>0</v>
      </c>
      <c r="P55" s="3">
        <f t="shared" si="5"/>
        <v>7127</v>
      </c>
    </row>
    <row r="56" spans="1:16" s="296" customFormat="1">
      <c r="A56" s="395" t="s">
        <v>587</v>
      </c>
      <c r="B56" s="396">
        <v>0</v>
      </c>
      <c r="C56" s="396"/>
      <c r="D56" s="396">
        <v>0</v>
      </c>
      <c r="E56" s="290">
        <v>322</v>
      </c>
      <c r="F56" s="423">
        <v>0</v>
      </c>
      <c r="G56" s="560">
        <v>322</v>
      </c>
      <c r="H56" s="3">
        <f t="shared" si="2"/>
        <v>322</v>
      </c>
      <c r="I56" s="396">
        <v>322</v>
      </c>
      <c r="J56" s="580">
        <f t="shared" si="3"/>
        <v>100</v>
      </c>
      <c r="K56" s="98">
        <v>0</v>
      </c>
      <c r="L56" s="3">
        <f t="shared" si="6"/>
        <v>322</v>
      </c>
      <c r="M56" s="396">
        <v>322</v>
      </c>
      <c r="N56" s="20">
        <f t="shared" si="4"/>
        <v>100</v>
      </c>
      <c r="O56" s="98">
        <v>0</v>
      </c>
      <c r="P56" s="3">
        <f t="shared" si="5"/>
        <v>322</v>
      </c>
    </row>
    <row r="57" spans="1:16" s="296" customFormat="1">
      <c r="A57" s="397" t="s">
        <v>700</v>
      </c>
      <c r="B57" s="290">
        <v>0</v>
      </c>
      <c r="C57" s="290"/>
      <c r="D57" s="290">
        <v>0</v>
      </c>
      <c r="E57" s="290"/>
      <c r="F57" s="423"/>
      <c r="G57" s="560">
        <v>1000</v>
      </c>
      <c r="H57" s="3">
        <f t="shared" si="2"/>
        <v>1000</v>
      </c>
      <c r="I57" s="290">
        <v>0</v>
      </c>
      <c r="J57" s="580">
        <f t="shared" si="3"/>
        <v>0</v>
      </c>
      <c r="K57" s="98">
        <v>0</v>
      </c>
      <c r="L57" s="3">
        <f t="shared" si="6"/>
        <v>1000</v>
      </c>
      <c r="M57" s="396">
        <v>0</v>
      </c>
      <c r="N57" s="20">
        <f t="shared" si="4"/>
        <v>0</v>
      </c>
      <c r="O57" s="98">
        <v>0</v>
      </c>
      <c r="P57" s="3">
        <f t="shared" si="5"/>
        <v>1000</v>
      </c>
    </row>
    <row r="58" spans="1:16" s="296" customFormat="1" ht="15.75">
      <c r="A58" s="227" t="s">
        <v>588</v>
      </c>
      <c r="B58" s="289">
        <f>SUM(B55:B57)</f>
        <v>0</v>
      </c>
      <c r="C58" s="289"/>
      <c r="D58" s="289">
        <f>SUM(D55:D57)</f>
        <v>0</v>
      </c>
      <c r="E58" s="286">
        <f>SUM(E55:E56)</f>
        <v>7449</v>
      </c>
      <c r="F58" s="431">
        <f>SUM(F55:F56)</f>
        <v>0</v>
      </c>
      <c r="G58" s="464">
        <f>SUM(G55:G57)</f>
        <v>8449</v>
      </c>
      <c r="H58" s="286">
        <f t="shared" si="2"/>
        <v>8449</v>
      </c>
      <c r="I58" s="23">
        <f>SUM(I55:I57)</f>
        <v>7449</v>
      </c>
      <c r="J58" s="584">
        <f t="shared" si="3"/>
        <v>88.164279796425618</v>
      </c>
      <c r="K58" s="286">
        <f>SUM(K55:K57)</f>
        <v>0</v>
      </c>
      <c r="L58" s="289">
        <f t="shared" si="6"/>
        <v>8449</v>
      </c>
      <c r="M58" s="286">
        <f>SUM(M55:M57)</f>
        <v>7449</v>
      </c>
      <c r="N58" s="289">
        <f t="shared" si="4"/>
        <v>88.164279796425618</v>
      </c>
      <c r="O58" s="289">
        <f>SUM(O55:O57)</f>
        <v>0</v>
      </c>
      <c r="P58" s="289">
        <f t="shared" si="5"/>
        <v>8449</v>
      </c>
    </row>
    <row r="59" spans="1:16">
      <c r="A59" s="2" t="s">
        <v>266</v>
      </c>
      <c r="B59" s="21">
        <v>5000</v>
      </c>
      <c r="C59" s="3">
        <v>0</v>
      </c>
      <c r="D59" s="396">
        <f t="shared" ref="D59:D66" si="7">B59+C59</f>
        <v>5000</v>
      </c>
      <c r="E59" s="3">
        <v>0</v>
      </c>
      <c r="F59" s="38">
        <f t="shared" ref="F59:F66" si="8">SUM(E59/D59)*100</f>
        <v>0</v>
      </c>
      <c r="G59" s="556">
        <v>0</v>
      </c>
      <c r="H59" s="3">
        <f t="shared" si="2"/>
        <v>5000</v>
      </c>
      <c r="I59" s="608">
        <v>0</v>
      </c>
      <c r="J59" s="580">
        <f t="shared" si="3"/>
        <v>0</v>
      </c>
      <c r="K59" s="3">
        <v>0</v>
      </c>
      <c r="L59" s="3">
        <f t="shared" si="6"/>
        <v>5000</v>
      </c>
      <c r="M59" s="20">
        <v>243</v>
      </c>
      <c r="N59" s="20">
        <f t="shared" si="4"/>
        <v>4.8599999999999994</v>
      </c>
      <c r="O59" s="3">
        <v>0</v>
      </c>
      <c r="P59" s="3">
        <f t="shared" si="5"/>
        <v>5000</v>
      </c>
    </row>
    <row r="60" spans="1:16">
      <c r="A60" s="2" t="s">
        <v>267</v>
      </c>
      <c r="B60" s="21">
        <v>12000</v>
      </c>
      <c r="C60" s="3">
        <v>0</v>
      </c>
      <c r="D60" s="3">
        <f t="shared" si="7"/>
        <v>12000</v>
      </c>
      <c r="E60" s="3">
        <v>0</v>
      </c>
      <c r="F60" s="38">
        <f t="shared" si="8"/>
        <v>0</v>
      </c>
      <c r="G60" s="556">
        <v>0</v>
      </c>
      <c r="H60" s="3">
        <f t="shared" si="2"/>
        <v>12000</v>
      </c>
      <c r="I60" s="20">
        <v>0</v>
      </c>
      <c r="J60" s="580">
        <f t="shared" si="3"/>
        <v>0</v>
      </c>
      <c r="K60" s="3">
        <v>235</v>
      </c>
      <c r="L60" s="3">
        <f t="shared" si="6"/>
        <v>12235</v>
      </c>
      <c r="M60" s="20">
        <v>12402</v>
      </c>
      <c r="N60" s="20">
        <f t="shared" si="4"/>
        <v>101.36493665713118</v>
      </c>
      <c r="O60" s="3">
        <v>0</v>
      </c>
      <c r="P60" s="3">
        <f t="shared" si="5"/>
        <v>12235</v>
      </c>
    </row>
    <row r="61" spans="1:16">
      <c r="A61" s="2" t="s">
        <v>369</v>
      </c>
      <c r="B61" s="21">
        <v>70530</v>
      </c>
      <c r="C61" s="124">
        <v>0</v>
      </c>
      <c r="D61" s="124">
        <f t="shared" si="7"/>
        <v>70530</v>
      </c>
      <c r="E61" s="124">
        <v>10225</v>
      </c>
      <c r="F61" s="421">
        <f t="shared" si="8"/>
        <v>14.49737700269389</v>
      </c>
      <c r="G61" s="556">
        <v>-30969</v>
      </c>
      <c r="H61" s="3">
        <f t="shared" si="2"/>
        <v>39561</v>
      </c>
      <c r="I61" s="124">
        <v>1800</v>
      </c>
      <c r="J61" s="580">
        <f t="shared" si="3"/>
        <v>4.5499355425798127</v>
      </c>
      <c r="K61" s="3">
        <v>0</v>
      </c>
      <c r="L61" s="3">
        <f t="shared" si="6"/>
        <v>39561</v>
      </c>
      <c r="M61" s="20">
        <v>2700</v>
      </c>
      <c r="N61" s="20">
        <f t="shared" si="4"/>
        <v>6.8249033138697204</v>
      </c>
      <c r="O61" s="3">
        <v>0</v>
      </c>
      <c r="P61" s="3">
        <f t="shared" si="5"/>
        <v>39561</v>
      </c>
    </row>
    <row r="62" spans="1:16" s="296" customFormat="1" ht="15.75">
      <c r="A62" s="432" t="s">
        <v>268</v>
      </c>
      <c r="B62" s="433">
        <f>SUM(B59:B61)</f>
        <v>87530</v>
      </c>
      <c r="C62" s="289">
        <f>SUM(C59:C61)</f>
        <v>0</v>
      </c>
      <c r="D62" s="289">
        <f t="shared" si="7"/>
        <v>87530</v>
      </c>
      <c r="E62" s="286">
        <f>SUM(E59:E61)</f>
        <v>10225</v>
      </c>
      <c r="F62" s="431">
        <f t="shared" si="8"/>
        <v>11.681709128298868</v>
      </c>
      <c r="G62" s="464">
        <f>SUM(G59:G61)</f>
        <v>-30969</v>
      </c>
      <c r="H62" s="286">
        <f t="shared" si="2"/>
        <v>56561</v>
      </c>
      <c r="I62" s="286">
        <f>SUM(I59:I61)</f>
        <v>1800</v>
      </c>
      <c r="J62" s="584">
        <f t="shared" si="3"/>
        <v>3.1824048372553522</v>
      </c>
      <c r="K62" s="286">
        <f>SUM(K59:K61)</f>
        <v>235</v>
      </c>
      <c r="L62" s="289">
        <f t="shared" si="6"/>
        <v>56796</v>
      </c>
      <c r="M62" s="286">
        <f>SUM(M59:M61)</f>
        <v>15345</v>
      </c>
      <c r="N62" s="289">
        <f t="shared" si="4"/>
        <v>27.017747728713289</v>
      </c>
      <c r="O62" s="289">
        <f>SUM(O59:O61)</f>
        <v>0</v>
      </c>
      <c r="P62" s="289">
        <f t="shared" si="5"/>
        <v>56796</v>
      </c>
    </row>
    <row r="63" spans="1:16">
      <c r="A63" s="19" t="s">
        <v>269</v>
      </c>
      <c r="B63" s="21">
        <v>500</v>
      </c>
      <c r="C63" s="287">
        <v>0</v>
      </c>
      <c r="D63" s="287">
        <f t="shared" si="7"/>
        <v>500</v>
      </c>
      <c r="E63" s="287">
        <v>148</v>
      </c>
      <c r="F63" s="422">
        <f t="shared" si="8"/>
        <v>29.599999999999998</v>
      </c>
      <c r="G63" s="556">
        <v>0</v>
      </c>
      <c r="H63" s="3">
        <f t="shared" si="2"/>
        <v>500</v>
      </c>
      <c r="I63" s="20">
        <v>266</v>
      </c>
      <c r="J63" s="580">
        <f t="shared" si="3"/>
        <v>53.2</v>
      </c>
      <c r="K63" s="3">
        <v>0</v>
      </c>
      <c r="L63" s="3">
        <f t="shared" si="6"/>
        <v>500</v>
      </c>
      <c r="M63" s="20">
        <v>358</v>
      </c>
      <c r="N63" s="20">
        <f t="shared" si="4"/>
        <v>71.599999999999994</v>
      </c>
      <c r="O63" s="3">
        <v>0</v>
      </c>
      <c r="P63" s="3">
        <f t="shared" si="5"/>
        <v>500</v>
      </c>
    </row>
    <row r="64" spans="1:16" s="296" customFormat="1" ht="15.75">
      <c r="A64" s="432" t="s">
        <v>270</v>
      </c>
      <c r="B64" s="433">
        <f>SUM(B63:B63)</f>
        <v>500</v>
      </c>
      <c r="C64" s="289">
        <f>SUM(C63)</f>
        <v>0</v>
      </c>
      <c r="D64" s="289">
        <f t="shared" si="7"/>
        <v>500</v>
      </c>
      <c r="E64" s="286">
        <f>SUM(E63)</f>
        <v>148</v>
      </c>
      <c r="F64" s="431">
        <f t="shared" si="8"/>
        <v>29.599999999999998</v>
      </c>
      <c r="G64" s="464">
        <v>0</v>
      </c>
      <c r="H64" s="286">
        <f t="shared" si="2"/>
        <v>500</v>
      </c>
      <c r="I64" s="23">
        <f>SUM(I63:I63)</f>
        <v>266</v>
      </c>
      <c r="J64" s="584">
        <f t="shared" si="3"/>
        <v>53.2</v>
      </c>
      <c r="K64" s="286">
        <f>SUM(K63:K63)</f>
        <v>0</v>
      </c>
      <c r="L64" s="289">
        <f t="shared" si="6"/>
        <v>500</v>
      </c>
      <c r="M64" s="286">
        <f>SUM(M63)</f>
        <v>358</v>
      </c>
      <c r="N64" s="289">
        <f t="shared" si="4"/>
        <v>71.599999999999994</v>
      </c>
      <c r="O64" s="289">
        <f>SUM(O63)</f>
        <v>0</v>
      </c>
      <c r="P64" s="289">
        <f t="shared" si="5"/>
        <v>500</v>
      </c>
    </row>
    <row r="65" spans="1:16">
      <c r="A65" s="2" t="s">
        <v>271</v>
      </c>
      <c r="B65" s="21">
        <v>3000</v>
      </c>
      <c r="C65" s="98">
        <v>0</v>
      </c>
      <c r="D65" s="3">
        <f t="shared" si="7"/>
        <v>3000</v>
      </c>
      <c r="E65" s="3">
        <v>908</v>
      </c>
      <c r="F65" s="38">
        <f t="shared" si="8"/>
        <v>30.266666666666666</v>
      </c>
      <c r="G65" s="556">
        <v>0</v>
      </c>
      <c r="H65" s="3">
        <f t="shared" si="2"/>
        <v>3000</v>
      </c>
      <c r="I65" s="608">
        <v>1709</v>
      </c>
      <c r="J65" s="580">
        <f t="shared" si="3"/>
        <v>56.966666666666669</v>
      </c>
      <c r="K65" s="3">
        <v>0</v>
      </c>
      <c r="L65" s="3">
        <f t="shared" si="6"/>
        <v>3000</v>
      </c>
      <c r="M65" s="20">
        <v>2603</v>
      </c>
      <c r="N65" s="20">
        <f t="shared" si="4"/>
        <v>86.766666666666666</v>
      </c>
      <c r="O65" s="3">
        <v>0</v>
      </c>
      <c r="P65" s="3">
        <f t="shared" si="5"/>
        <v>3000</v>
      </c>
    </row>
    <row r="66" spans="1:16">
      <c r="A66" s="2" t="s">
        <v>272</v>
      </c>
      <c r="B66" s="21">
        <v>100</v>
      </c>
      <c r="C66" s="290">
        <v>0</v>
      </c>
      <c r="D66" s="20">
        <f t="shared" si="7"/>
        <v>100</v>
      </c>
      <c r="E66" s="20">
        <v>80</v>
      </c>
      <c r="F66" s="452">
        <f t="shared" si="8"/>
        <v>80</v>
      </c>
      <c r="G66" s="556">
        <v>0</v>
      </c>
      <c r="H66" s="3">
        <f t="shared" si="2"/>
        <v>100</v>
      </c>
      <c r="I66" s="20">
        <v>80</v>
      </c>
      <c r="J66" s="580">
        <f t="shared" si="3"/>
        <v>80</v>
      </c>
      <c r="K66" s="3">
        <v>0</v>
      </c>
      <c r="L66" s="3">
        <f t="shared" si="6"/>
        <v>100</v>
      </c>
      <c r="M66" s="20">
        <v>80</v>
      </c>
      <c r="N66" s="20">
        <f t="shared" si="4"/>
        <v>80</v>
      </c>
      <c r="O66" s="3">
        <v>0</v>
      </c>
      <c r="P66" s="3">
        <f t="shared" si="5"/>
        <v>100</v>
      </c>
    </row>
    <row r="67" spans="1:16">
      <c r="A67" s="2" t="s">
        <v>719</v>
      </c>
      <c r="B67" s="21">
        <v>0</v>
      </c>
      <c r="C67" s="290"/>
      <c r="D67" s="20"/>
      <c r="E67" s="20"/>
      <c r="F67" s="452"/>
      <c r="H67" s="3">
        <v>0</v>
      </c>
      <c r="I67" s="124">
        <v>1946</v>
      </c>
      <c r="J67" s="580">
        <v>0</v>
      </c>
      <c r="K67" s="3">
        <v>1946</v>
      </c>
      <c r="L67" s="3">
        <f t="shared" si="6"/>
        <v>1946</v>
      </c>
      <c r="M67" s="20">
        <v>1946</v>
      </c>
      <c r="N67" s="20">
        <f t="shared" si="4"/>
        <v>100</v>
      </c>
      <c r="O67" s="3">
        <v>0</v>
      </c>
      <c r="P67" s="3">
        <f t="shared" si="5"/>
        <v>1946</v>
      </c>
    </row>
    <row r="68" spans="1:16" s="296" customFormat="1" ht="15.75">
      <c r="A68" s="432" t="s">
        <v>273</v>
      </c>
      <c r="B68" s="433">
        <f>SUM(B65:B67)</f>
        <v>3100</v>
      </c>
      <c r="C68" s="289">
        <f>SUM(C65:C66)</f>
        <v>0</v>
      </c>
      <c r="D68" s="289">
        <f>B68+C68</f>
        <v>3100</v>
      </c>
      <c r="E68" s="286">
        <f>SUM(E65:E66)</f>
        <v>988</v>
      </c>
      <c r="F68" s="431">
        <f>SUM(E68/D68)*100</f>
        <v>31.870967741935484</v>
      </c>
      <c r="G68" s="464">
        <v>0</v>
      </c>
      <c r="H68" s="286">
        <f t="shared" si="2"/>
        <v>3100</v>
      </c>
      <c r="I68" s="99">
        <f>SUM(I65:I67)</f>
        <v>3735</v>
      </c>
      <c r="J68" s="584">
        <f t="shared" si="3"/>
        <v>120.48387096774194</v>
      </c>
      <c r="K68" s="286">
        <f>SUM(K65:K67)</f>
        <v>1946</v>
      </c>
      <c r="L68" s="289">
        <f t="shared" si="6"/>
        <v>5046</v>
      </c>
      <c r="M68" s="286">
        <f>SUM(M65:M67)</f>
        <v>4629</v>
      </c>
      <c r="N68" s="289">
        <f t="shared" si="4"/>
        <v>91.736028537455411</v>
      </c>
      <c r="O68" s="289">
        <f>SUM(O65:O67)</f>
        <v>0</v>
      </c>
      <c r="P68" s="289">
        <f t="shared" si="5"/>
        <v>5046</v>
      </c>
    </row>
    <row r="69" spans="1:16" s="296" customFormat="1" ht="15.75">
      <c r="A69" s="432" t="s">
        <v>274</v>
      </c>
      <c r="B69" s="433">
        <f>B18+B38+B62+B64+B68</f>
        <v>242570</v>
      </c>
      <c r="C69" s="289">
        <f>C18+C38+C54+C62+C64+C68</f>
        <v>264815</v>
      </c>
      <c r="D69" s="289">
        <f>B69+C69</f>
        <v>507385</v>
      </c>
      <c r="E69" s="286" t="e">
        <f>E18+E38+E54+E58+E62+E64+E68</f>
        <v>#REF!</v>
      </c>
      <c r="F69" s="431" t="e">
        <f>SUM(E69/D69)*100</f>
        <v>#REF!</v>
      </c>
      <c r="G69" s="464">
        <f>G18+G38+G54+G58+G62+G64+G68</f>
        <v>2402160</v>
      </c>
      <c r="H69" s="286">
        <f t="shared" si="2"/>
        <v>2909545</v>
      </c>
      <c r="I69" s="286">
        <f>I18+I38+I54+I58+I62+I64+I68</f>
        <v>923710</v>
      </c>
      <c r="J69" s="584">
        <f t="shared" si="3"/>
        <v>31.747575651863091</v>
      </c>
      <c r="K69" s="286">
        <f>K18+K38+K54+K58+K62+K64+K68</f>
        <v>219013</v>
      </c>
      <c r="L69" s="289">
        <f t="shared" si="6"/>
        <v>3128558</v>
      </c>
      <c r="M69" s="286">
        <f>M18+M38+M54+M58+M62+M64+M68</f>
        <v>1613359</v>
      </c>
      <c r="N69" s="289">
        <f t="shared" si="4"/>
        <v>51.568773856837559</v>
      </c>
      <c r="O69" s="289">
        <f>O18+O38+O54+O58+O62+O64+O68</f>
        <v>748930</v>
      </c>
      <c r="P69" s="289">
        <f t="shared" si="5"/>
        <v>3877488</v>
      </c>
    </row>
    <row r="70" spans="1:16">
      <c r="A70" s="859" t="s">
        <v>3</v>
      </c>
    </row>
  </sheetData>
  <sheetProtection selectLockedCells="1" selectUnlockedCells="1"/>
  <mergeCells count="3">
    <mergeCell ref="A1:P1"/>
    <mergeCell ref="A3:P3"/>
    <mergeCell ref="B5:P5"/>
  </mergeCells>
  <phoneticPr fontId="11" type="noConversion"/>
  <printOptions horizontalCentered="1"/>
  <pageMargins left="0.55138888888888893" right="0.51180555555555551" top="0.6" bottom="0.35416666666666669" header="0.51180555555555551" footer="0.51180555555555551"/>
  <pageSetup paperSize="9" scale="73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3"/>
  <dimension ref="A1:P27"/>
  <sheetViews>
    <sheetView view="pageBreakPreview" zoomScale="75" zoomScaleNormal="75" zoomScaleSheetLayoutView="100" workbookViewId="0">
      <selection activeCell="A27" sqref="A27"/>
    </sheetView>
  </sheetViews>
  <sheetFormatPr defaultRowHeight="15"/>
  <cols>
    <col min="1" max="1" width="47.85546875" customWidth="1"/>
    <col min="2" max="2" width="12.42578125" style="38" customWidth="1"/>
    <col min="3" max="3" width="9.7109375" style="2" hidden="1" customWidth="1"/>
    <col min="4" max="4" width="12.28515625" style="3" hidden="1" customWidth="1"/>
    <col min="5" max="6" width="0" style="3" hidden="1" customWidth="1"/>
    <col min="7" max="7" width="9.85546875" style="556" hidden="1" customWidth="1"/>
    <col min="8" max="8" width="0" style="556" hidden="1" customWidth="1"/>
    <col min="9" max="9" width="0" style="3" hidden="1" customWidth="1"/>
    <col min="10" max="10" width="0" style="580" hidden="1" customWidth="1"/>
    <col min="11" max="11" width="10.28515625" style="3" hidden="1" customWidth="1"/>
    <col min="12" max="12" width="8.85546875" style="3" customWidth="1"/>
    <col min="13" max="13" width="0" style="3" hidden="1" customWidth="1"/>
    <col min="14" max="14" width="7.140625" style="3" hidden="1" customWidth="1"/>
    <col min="15" max="15" width="9.85546875" style="3" customWidth="1"/>
    <col min="16" max="16" width="8.85546875" style="3" customWidth="1"/>
  </cols>
  <sheetData>
    <row r="1" spans="1:16" ht="14.25">
      <c r="A1" s="922" t="s">
        <v>890</v>
      </c>
      <c r="B1" s="922"/>
      <c r="C1" s="912"/>
      <c r="D1" s="912"/>
      <c r="E1" s="913"/>
      <c r="F1" s="913"/>
      <c r="G1" s="913"/>
      <c r="H1" s="913"/>
      <c r="I1" s="913"/>
      <c r="J1" s="913"/>
      <c r="K1" s="913"/>
      <c r="L1" s="913"/>
      <c r="M1" s="913"/>
      <c r="N1" s="913"/>
      <c r="O1" s="913"/>
      <c r="P1" s="913"/>
    </row>
    <row r="3" spans="1:16" ht="15.75">
      <c r="A3" s="914" t="s">
        <v>354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3"/>
      <c r="O3" s="913"/>
      <c r="P3" s="913"/>
    </row>
    <row r="4" spans="1:16" ht="15.75">
      <c r="A4" s="5"/>
    </row>
    <row r="5" spans="1:16" ht="15.75">
      <c r="A5" s="2"/>
      <c r="B5" s="925" t="s">
        <v>103</v>
      </c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</row>
    <row r="6" spans="1:16" ht="31.5">
      <c r="A6" s="137" t="s">
        <v>258</v>
      </c>
      <c r="B6" s="299" t="s">
        <v>528</v>
      </c>
      <c r="C6" s="656" t="s">
        <v>116</v>
      </c>
      <c r="D6" s="657" t="s">
        <v>259</v>
      </c>
      <c r="E6" s="658" t="s">
        <v>547</v>
      </c>
      <c r="F6" s="658" t="s">
        <v>548</v>
      </c>
      <c r="G6" s="657" t="s">
        <v>432</v>
      </c>
      <c r="H6" s="657" t="s">
        <v>592</v>
      </c>
      <c r="I6" s="658" t="s">
        <v>706</v>
      </c>
      <c r="J6" s="659" t="s">
        <v>548</v>
      </c>
      <c r="K6" s="655" t="s">
        <v>432</v>
      </c>
      <c r="L6" s="655" t="s">
        <v>732</v>
      </c>
      <c r="M6" s="454" t="s">
        <v>815</v>
      </c>
      <c r="N6" s="454" t="s">
        <v>260</v>
      </c>
      <c r="O6" s="454" t="s">
        <v>432</v>
      </c>
      <c r="P6" s="454" t="s">
        <v>832</v>
      </c>
    </row>
    <row r="7" spans="1:16" s="135" customFormat="1">
      <c r="A7" s="132" t="s">
        <v>387</v>
      </c>
      <c r="B7" s="134" t="s">
        <v>388</v>
      </c>
      <c r="C7" s="300" t="s">
        <v>389</v>
      </c>
      <c r="D7" s="455" t="s">
        <v>389</v>
      </c>
      <c r="E7" s="131" t="s">
        <v>390</v>
      </c>
      <c r="F7" s="131" t="s">
        <v>546</v>
      </c>
      <c r="G7" s="573" t="s">
        <v>389</v>
      </c>
      <c r="H7" s="573" t="s">
        <v>389</v>
      </c>
      <c r="I7" s="131" t="s">
        <v>390</v>
      </c>
      <c r="J7" s="581" t="s">
        <v>546</v>
      </c>
      <c r="K7" s="455" t="s">
        <v>390</v>
      </c>
      <c r="L7" s="455" t="s">
        <v>389</v>
      </c>
      <c r="M7" s="573" t="s">
        <v>390</v>
      </c>
      <c r="N7" s="573" t="s">
        <v>546</v>
      </c>
      <c r="O7" s="573" t="s">
        <v>390</v>
      </c>
      <c r="P7" s="573" t="s">
        <v>546</v>
      </c>
    </row>
    <row r="8" spans="1:16">
      <c r="A8" s="2" t="s">
        <v>275</v>
      </c>
      <c r="B8" s="3">
        <v>1000</v>
      </c>
      <c r="C8" s="2">
        <v>0</v>
      </c>
      <c r="D8" s="3">
        <f>B8+C8</f>
        <v>1000</v>
      </c>
      <c r="E8" s="3">
        <v>0</v>
      </c>
      <c r="F8" s="3">
        <f>SUM(E8/D8)*100</f>
        <v>0</v>
      </c>
      <c r="G8" s="556">
        <v>0</v>
      </c>
      <c r="H8" s="556">
        <f t="shared" ref="H8:H25" si="0">D8+G8</f>
        <v>1000</v>
      </c>
      <c r="I8" s="3">
        <v>481</v>
      </c>
      <c r="J8" s="580">
        <f>SUM(I8/H8)*100</f>
        <v>48.1</v>
      </c>
      <c r="K8" s="3">
        <v>0</v>
      </c>
      <c r="L8" s="3">
        <f>H8+K8</f>
        <v>1000</v>
      </c>
      <c r="M8" s="20">
        <v>1180</v>
      </c>
      <c r="N8" s="20">
        <f>SUM(M8/L8)*100</f>
        <v>118</v>
      </c>
      <c r="O8" s="3">
        <v>299</v>
      </c>
      <c r="P8" s="3">
        <f>L8+O8</f>
        <v>1299</v>
      </c>
    </row>
    <row r="9" spans="1:16">
      <c r="A9" s="11" t="s">
        <v>262</v>
      </c>
      <c r="B9" s="12">
        <f>SUM(B10:B12)</f>
        <v>8000</v>
      </c>
      <c r="C9" s="127">
        <v>0</v>
      </c>
      <c r="D9" s="124">
        <f t="shared" ref="D9:D25" si="1">B9+C9</f>
        <v>8000</v>
      </c>
      <c r="E9" s="124" t="e">
        <f>E10+E11+#REF!+E12</f>
        <v>#REF!</v>
      </c>
      <c r="F9" s="124" t="e">
        <f t="shared" ref="F9:F25" si="2">SUM(E9/D9)*100</f>
        <v>#REF!</v>
      </c>
      <c r="G9" s="211">
        <f>G10+G11+G12</f>
        <v>4688</v>
      </c>
      <c r="H9" s="211">
        <f t="shared" si="0"/>
        <v>12688</v>
      </c>
      <c r="I9" s="124">
        <f>SUM(I10:I13)</f>
        <v>4901</v>
      </c>
      <c r="J9" s="583">
        <f t="shared" ref="J9:J25" si="3">SUM(I9/H9)*100</f>
        <v>38.627049180327873</v>
      </c>
      <c r="K9" s="124">
        <v>0</v>
      </c>
      <c r="L9" s="124">
        <v>16188</v>
      </c>
      <c r="M9" s="124">
        <f>M10+M11+M12+M13</f>
        <v>5540</v>
      </c>
      <c r="N9" s="124">
        <f t="shared" ref="N9:N25" si="4">SUM(M9/L9)*100</f>
        <v>34.222881146528294</v>
      </c>
      <c r="O9" s="124">
        <v>-9646</v>
      </c>
      <c r="P9" s="124">
        <f t="shared" ref="P9:P25" si="5">L9+O9</f>
        <v>6542</v>
      </c>
    </row>
    <row r="10" spans="1:16">
      <c r="A10" s="2" t="s">
        <v>545</v>
      </c>
      <c r="B10" s="3">
        <v>1000</v>
      </c>
      <c r="C10" s="2">
        <v>0</v>
      </c>
      <c r="D10" s="3">
        <f t="shared" si="1"/>
        <v>1000</v>
      </c>
      <c r="E10" s="3">
        <v>353</v>
      </c>
      <c r="F10" s="3">
        <f t="shared" si="2"/>
        <v>35.299999999999997</v>
      </c>
      <c r="G10" s="556">
        <v>0</v>
      </c>
      <c r="H10" s="556">
        <f t="shared" si="0"/>
        <v>1000</v>
      </c>
      <c r="I10" s="3">
        <v>461</v>
      </c>
      <c r="J10" s="580">
        <f t="shared" si="3"/>
        <v>46.1</v>
      </c>
      <c r="K10" s="3">
        <v>0</v>
      </c>
      <c r="L10" s="3">
        <f t="shared" ref="L10:L22" si="6">H10+K10</f>
        <v>1000</v>
      </c>
      <c r="M10" s="20">
        <v>634</v>
      </c>
      <c r="N10" s="20">
        <f t="shared" si="4"/>
        <v>63.4</v>
      </c>
      <c r="O10" s="3">
        <v>0</v>
      </c>
      <c r="P10" s="3">
        <f t="shared" si="5"/>
        <v>1000</v>
      </c>
    </row>
    <row r="11" spans="1:16">
      <c r="A11" s="2" t="s">
        <v>276</v>
      </c>
      <c r="B11" s="3">
        <v>5000</v>
      </c>
      <c r="C11" s="2">
        <v>0</v>
      </c>
      <c r="D11" s="3">
        <f t="shared" si="1"/>
        <v>5000</v>
      </c>
      <c r="E11" s="3">
        <v>1358</v>
      </c>
      <c r="F11" s="3">
        <f t="shared" si="2"/>
        <v>27.16</v>
      </c>
      <c r="G11" s="556">
        <v>4688</v>
      </c>
      <c r="H11" s="556">
        <f t="shared" si="0"/>
        <v>9688</v>
      </c>
      <c r="I11" s="20">
        <v>4293</v>
      </c>
      <c r="J11" s="580">
        <f t="shared" si="3"/>
        <v>44.312551610239467</v>
      </c>
      <c r="K11" s="3">
        <v>3500</v>
      </c>
      <c r="L11" s="3">
        <f t="shared" si="6"/>
        <v>13188</v>
      </c>
      <c r="M11" s="20">
        <v>4695</v>
      </c>
      <c r="N11" s="20">
        <f t="shared" si="4"/>
        <v>35.600545950864422</v>
      </c>
      <c r="O11" s="3">
        <v>-9646</v>
      </c>
      <c r="P11" s="3">
        <f t="shared" si="5"/>
        <v>3542</v>
      </c>
    </row>
    <row r="12" spans="1:16">
      <c r="A12" s="19" t="s">
        <v>277</v>
      </c>
      <c r="B12" s="21">
        <v>2000</v>
      </c>
      <c r="C12" s="19">
        <v>0</v>
      </c>
      <c r="D12" s="124">
        <f t="shared" si="1"/>
        <v>2000</v>
      </c>
      <c r="E12" s="20">
        <v>83</v>
      </c>
      <c r="F12" s="20">
        <f t="shared" si="2"/>
        <v>4.1500000000000004</v>
      </c>
      <c r="G12" s="556">
        <v>0</v>
      </c>
      <c r="H12" s="556">
        <f t="shared" si="0"/>
        <v>2000</v>
      </c>
      <c r="I12" s="3">
        <v>50</v>
      </c>
      <c r="J12" s="580">
        <f t="shared" si="3"/>
        <v>2.5</v>
      </c>
      <c r="K12" s="3">
        <v>0</v>
      </c>
      <c r="L12" s="3">
        <f t="shared" si="6"/>
        <v>2000</v>
      </c>
      <c r="M12" s="20">
        <v>65</v>
      </c>
      <c r="N12" s="20">
        <f t="shared" si="4"/>
        <v>3.25</v>
      </c>
      <c r="O12" s="3">
        <v>0</v>
      </c>
      <c r="P12" s="3">
        <f t="shared" si="5"/>
        <v>2000</v>
      </c>
    </row>
    <row r="13" spans="1:16">
      <c r="A13" s="127" t="s">
        <v>263</v>
      </c>
      <c r="B13" s="211">
        <v>0</v>
      </c>
      <c r="C13" s="127"/>
      <c r="D13" s="124"/>
      <c r="E13" s="124"/>
      <c r="F13" s="124"/>
      <c r="G13" s="211"/>
      <c r="H13" s="211">
        <v>0</v>
      </c>
      <c r="I13" s="124">
        <v>97</v>
      </c>
      <c r="J13" s="583">
        <v>0</v>
      </c>
      <c r="K13" s="124">
        <v>0</v>
      </c>
      <c r="L13" s="124">
        <f t="shared" si="6"/>
        <v>0</v>
      </c>
      <c r="M13" s="124">
        <v>146</v>
      </c>
      <c r="N13" s="124">
        <v>0</v>
      </c>
      <c r="O13" s="124">
        <v>0</v>
      </c>
      <c r="P13" s="124">
        <f t="shared" si="5"/>
        <v>0</v>
      </c>
    </row>
    <row r="14" spans="1:16">
      <c r="A14" s="19" t="s">
        <v>720</v>
      </c>
      <c r="B14" s="21">
        <v>0</v>
      </c>
      <c r="C14" s="19"/>
      <c r="D14" s="20"/>
      <c r="E14" s="20"/>
      <c r="F14" s="20"/>
      <c r="G14" s="21"/>
      <c r="H14" s="21">
        <v>0</v>
      </c>
      <c r="I14" s="20">
        <v>4673</v>
      </c>
      <c r="J14" s="580">
        <v>0</v>
      </c>
      <c r="K14" s="3">
        <v>0</v>
      </c>
      <c r="L14" s="3">
        <f t="shared" si="6"/>
        <v>0</v>
      </c>
      <c r="M14" s="20">
        <v>8886</v>
      </c>
      <c r="N14" s="20">
        <v>0</v>
      </c>
      <c r="O14" s="3">
        <v>9646</v>
      </c>
      <c r="P14" s="3">
        <f t="shared" si="5"/>
        <v>9646</v>
      </c>
    </row>
    <row r="15" spans="1:16">
      <c r="A15" s="127" t="s">
        <v>589</v>
      </c>
      <c r="B15" s="124">
        <v>0</v>
      </c>
      <c r="D15" s="3">
        <v>0</v>
      </c>
      <c r="E15" s="3">
        <v>53</v>
      </c>
      <c r="F15" s="3">
        <v>0</v>
      </c>
      <c r="G15" s="211">
        <v>0</v>
      </c>
      <c r="H15" s="211">
        <f t="shared" si="0"/>
        <v>0</v>
      </c>
      <c r="I15" s="124">
        <v>152</v>
      </c>
      <c r="J15" s="580">
        <v>0</v>
      </c>
      <c r="K15" s="3">
        <v>140</v>
      </c>
      <c r="L15" s="3">
        <f t="shared" si="6"/>
        <v>140</v>
      </c>
      <c r="M15" s="20">
        <v>151</v>
      </c>
      <c r="N15" s="20">
        <f t="shared" si="4"/>
        <v>107.85714285714285</v>
      </c>
      <c r="O15" s="3">
        <v>160</v>
      </c>
      <c r="P15" s="3">
        <f t="shared" si="5"/>
        <v>300</v>
      </c>
    </row>
    <row r="16" spans="1:16" s="296" customFormat="1" ht="15.75">
      <c r="A16" s="429" t="s">
        <v>264</v>
      </c>
      <c r="B16" s="430">
        <f>SUM(B8+B9)</f>
        <v>9000</v>
      </c>
      <c r="C16" s="227">
        <v>0</v>
      </c>
      <c r="D16" s="289">
        <f t="shared" si="1"/>
        <v>9000</v>
      </c>
      <c r="E16" s="286" t="e">
        <f>#REF!+E8+E9+E15</f>
        <v>#REF!</v>
      </c>
      <c r="F16" s="286" t="e">
        <f t="shared" si="2"/>
        <v>#REF!</v>
      </c>
      <c r="G16" s="463">
        <f>G8+G9+G15</f>
        <v>4688</v>
      </c>
      <c r="H16" s="463">
        <f>D16+G16</f>
        <v>13688</v>
      </c>
      <c r="I16" s="286">
        <f>I8+I9+I15+I14</f>
        <v>10207</v>
      </c>
      <c r="J16" s="610">
        <f t="shared" si="3"/>
        <v>74.568965517241381</v>
      </c>
      <c r="K16" s="289">
        <f>SUM(K8:K15)</f>
        <v>3640</v>
      </c>
      <c r="L16" s="289">
        <f t="shared" si="6"/>
        <v>17328</v>
      </c>
      <c r="M16" s="286">
        <f>M8+M9+M14+M15</f>
        <v>15757</v>
      </c>
      <c r="N16" s="289">
        <f t="shared" si="4"/>
        <v>90.933748845798718</v>
      </c>
      <c r="O16" s="289">
        <f>O8+O9+O14+O15</f>
        <v>459</v>
      </c>
      <c r="P16" s="289">
        <f t="shared" si="5"/>
        <v>17787</v>
      </c>
    </row>
    <row r="17" spans="1:16">
      <c r="A17" s="2" t="s">
        <v>278</v>
      </c>
      <c r="B17" s="3">
        <v>1000</v>
      </c>
      <c r="C17" s="298">
        <v>0</v>
      </c>
      <c r="D17" s="20">
        <f t="shared" si="1"/>
        <v>1000</v>
      </c>
      <c r="E17" s="20">
        <v>191</v>
      </c>
      <c r="F17" s="20">
        <f t="shared" si="2"/>
        <v>19.100000000000001</v>
      </c>
      <c r="G17" s="556">
        <v>0</v>
      </c>
      <c r="H17" s="556">
        <f t="shared" si="0"/>
        <v>1000</v>
      </c>
      <c r="I17" s="20">
        <v>257</v>
      </c>
      <c r="J17" s="580">
        <f t="shared" si="3"/>
        <v>25.7</v>
      </c>
      <c r="K17" s="3">
        <v>0</v>
      </c>
      <c r="L17" s="3">
        <f t="shared" si="6"/>
        <v>1000</v>
      </c>
      <c r="M17" s="20">
        <v>257</v>
      </c>
      <c r="N17" s="20">
        <f t="shared" si="4"/>
        <v>25.7</v>
      </c>
      <c r="O17" s="3">
        <v>0</v>
      </c>
      <c r="P17" s="3">
        <f t="shared" si="5"/>
        <v>1000</v>
      </c>
    </row>
    <row r="18" spans="1:16">
      <c r="A18" s="2" t="s">
        <v>738</v>
      </c>
      <c r="B18" s="3">
        <v>0</v>
      </c>
      <c r="C18" s="298"/>
      <c r="D18" s="20"/>
      <c r="E18" s="20"/>
      <c r="F18" s="20"/>
      <c r="H18" s="556">
        <v>0</v>
      </c>
      <c r="I18" s="124"/>
      <c r="K18" s="124">
        <v>11764</v>
      </c>
      <c r="L18" s="20">
        <f t="shared" si="6"/>
        <v>11764</v>
      </c>
      <c r="M18" s="20">
        <v>0</v>
      </c>
      <c r="N18" s="20">
        <f t="shared" si="4"/>
        <v>0</v>
      </c>
      <c r="O18" s="3">
        <v>0</v>
      </c>
      <c r="P18" s="3">
        <f t="shared" si="5"/>
        <v>11764</v>
      </c>
    </row>
    <row r="19" spans="1:16">
      <c r="A19" s="2" t="s">
        <v>820</v>
      </c>
      <c r="B19" s="3">
        <v>0</v>
      </c>
      <c r="C19" s="298"/>
      <c r="D19" s="20"/>
      <c r="E19" s="20"/>
      <c r="F19" s="20"/>
      <c r="I19" s="124"/>
      <c r="K19" s="124"/>
      <c r="L19" s="20">
        <v>0</v>
      </c>
      <c r="M19" s="20">
        <v>174</v>
      </c>
      <c r="N19" s="20">
        <v>0</v>
      </c>
      <c r="O19" s="3">
        <v>0</v>
      </c>
      <c r="P19" s="3">
        <f t="shared" si="5"/>
        <v>0</v>
      </c>
    </row>
    <row r="20" spans="1:16">
      <c r="A20" s="2" t="s">
        <v>821</v>
      </c>
      <c r="B20" s="3">
        <v>0</v>
      </c>
      <c r="C20" s="298"/>
      <c r="D20" s="20"/>
      <c r="E20" s="20"/>
      <c r="F20" s="20"/>
      <c r="I20" s="124"/>
      <c r="K20" s="124"/>
      <c r="L20" s="20">
        <v>0</v>
      </c>
      <c r="M20" s="20">
        <v>8763</v>
      </c>
      <c r="N20" s="20">
        <v>0</v>
      </c>
      <c r="O20" s="3">
        <v>0</v>
      </c>
      <c r="P20" s="3">
        <f t="shared" si="5"/>
        <v>0</v>
      </c>
    </row>
    <row r="21" spans="1:16">
      <c r="A21" s="2" t="s">
        <v>827</v>
      </c>
      <c r="B21" s="3">
        <v>0</v>
      </c>
      <c r="C21" s="298"/>
      <c r="D21" s="20"/>
      <c r="E21" s="20"/>
      <c r="F21" s="20"/>
      <c r="I21" s="124"/>
      <c r="K21" s="124"/>
      <c r="L21" s="124">
        <v>0</v>
      </c>
      <c r="M21" s="20">
        <v>3730</v>
      </c>
      <c r="N21" s="20">
        <v>0</v>
      </c>
      <c r="O21" s="3">
        <v>14919</v>
      </c>
      <c r="P21" s="3">
        <f t="shared" si="5"/>
        <v>14919</v>
      </c>
    </row>
    <row r="22" spans="1:16" s="296" customFormat="1" ht="15.75">
      <c r="A22" s="432" t="s">
        <v>174</v>
      </c>
      <c r="B22" s="433">
        <f>SUM(B17:B17)</f>
        <v>1000</v>
      </c>
      <c r="C22" s="227">
        <v>0</v>
      </c>
      <c r="D22" s="289">
        <f t="shared" si="1"/>
        <v>1000</v>
      </c>
      <c r="E22" s="286">
        <f>SUM(E17:E17)</f>
        <v>191</v>
      </c>
      <c r="F22" s="286">
        <f t="shared" si="2"/>
        <v>19.100000000000001</v>
      </c>
      <c r="G22" s="463">
        <f>SUM(G17:G17)</f>
        <v>0</v>
      </c>
      <c r="H22" s="463">
        <f t="shared" si="0"/>
        <v>1000</v>
      </c>
      <c r="I22" s="286">
        <f>SUM(I17:I17)</f>
        <v>257</v>
      </c>
      <c r="J22" s="610">
        <f t="shared" si="3"/>
        <v>25.7</v>
      </c>
      <c r="K22" s="286">
        <f>SUM(K17:K18)</f>
        <v>11764</v>
      </c>
      <c r="L22" s="289">
        <f t="shared" si="6"/>
        <v>12764</v>
      </c>
      <c r="M22" s="286">
        <f>SUM(M17:M21)</f>
        <v>12924</v>
      </c>
      <c r="N22" s="289">
        <f t="shared" si="4"/>
        <v>101.25352554058288</v>
      </c>
      <c r="O22" s="289">
        <f>SUM(O17:O21)</f>
        <v>14919</v>
      </c>
      <c r="P22" s="289">
        <f t="shared" si="5"/>
        <v>27683</v>
      </c>
    </row>
    <row r="23" spans="1:16" s="135" customFormat="1">
      <c r="A23" s="725" t="s">
        <v>533</v>
      </c>
      <c r="B23" s="726">
        <v>0</v>
      </c>
      <c r="C23" s="727"/>
      <c r="D23" s="288"/>
      <c r="E23" s="288"/>
      <c r="F23" s="288"/>
      <c r="G23" s="562"/>
      <c r="H23" s="562"/>
      <c r="I23" s="288"/>
      <c r="J23" s="728"/>
      <c r="K23" s="290"/>
      <c r="L23" s="290">
        <v>0</v>
      </c>
      <c r="M23" s="20">
        <v>51</v>
      </c>
      <c r="N23" s="20">
        <v>0</v>
      </c>
      <c r="O23" s="3">
        <v>0</v>
      </c>
      <c r="P23" s="3">
        <f t="shared" si="5"/>
        <v>0</v>
      </c>
    </row>
    <row r="24" spans="1:16" s="296" customFormat="1" ht="15.75">
      <c r="A24" s="432" t="s">
        <v>590</v>
      </c>
      <c r="B24" s="430">
        <v>0</v>
      </c>
      <c r="C24" s="724"/>
      <c r="D24" s="451">
        <v>0</v>
      </c>
      <c r="E24" s="99" t="e">
        <f>SUM(#REF!)</f>
        <v>#REF!</v>
      </c>
      <c r="F24" s="99" t="e">
        <f>SUM(#REF!)</f>
        <v>#REF!</v>
      </c>
      <c r="G24" s="465">
        <v>0</v>
      </c>
      <c r="H24" s="465">
        <f t="shared" si="0"/>
        <v>0</v>
      </c>
      <c r="I24" s="99" t="e">
        <f>SUM(#REF!)</f>
        <v>#REF!</v>
      </c>
      <c r="J24" s="589">
        <v>0</v>
      </c>
      <c r="K24" s="23" t="e">
        <f>SUM(#REF!)</f>
        <v>#REF!</v>
      </c>
      <c r="L24" s="606">
        <v>0</v>
      </c>
      <c r="M24" s="286">
        <f>SUM(M23)</f>
        <v>51</v>
      </c>
      <c r="N24" s="289">
        <v>0</v>
      </c>
      <c r="O24" s="289">
        <v>0</v>
      </c>
      <c r="P24" s="289">
        <f t="shared" si="5"/>
        <v>0</v>
      </c>
    </row>
    <row r="25" spans="1:16" s="296" customFormat="1" ht="15.75">
      <c r="A25" s="432" t="s">
        <v>274</v>
      </c>
      <c r="B25" s="433">
        <f>B16+B22+B24</f>
        <v>10000</v>
      </c>
      <c r="C25" s="227">
        <v>0</v>
      </c>
      <c r="D25" s="289">
        <f t="shared" si="1"/>
        <v>10000</v>
      </c>
      <c r="E25" s="286" t="e">
        <f>E16+E22+E24</f>
        <v>#REF!</v>
      </c>
      <c r="F25" s="286" t="e">
        <f t="shared" si="2"/>
        <v>#REF!</v>
      </c>
      <c r="G25" s="463">
        <f>G16+G22+G24</f>
        <v>4688</v>
      </c>
      <c r="H25" s="463">
        <f t="shared" si="0"/>
        <v>14688</v>
      </c>
      <c r="I25" s="286" t="e">
        <f>I16+I22+I24</f>
        <v>#REF!</v>
      </c>
      <c r="J25" s="610" t="e">
        <f t="shared" si="3"/>
        <v>#REF!</v>
      </c>
      <c r="K25" s="286" t="e">
        <f>K16+K22+K24</f>
        <v>#REF!</v>
      </c>
      <c r="L25" s="289">
        <f>L16+L22+L24</f>
        <v>30092</v>
      </c>
      <c r="M25" s="286">
        <f>M16+M22+M24</f>
        <v>28732</v>
      </c>
      <c r="N25" s="289">
        <f t="shared" si="4"/>
        <v>95.480526385750366</v>
      </c>
      <c r="O25" s="289">
        <f>O16+O22+O24</f>
        <v>15378</v>
      </c>
      <c r="P25" s="289">
        <f t="shared" si="5"/>
        <v>45470</v>
      </c>
    </row>
    <row r="27" spans="1:16">
      <c r="A27" s="859" t="s">
        <v>3</v>
      </c>
    </row>
  </sheetData>
  <sheetProtection selectLockedCells="1" selectUnlockedCells="1"/>
  <mergeCells count="3">
    <mergeCell ref="A1:P1"/>
    <mergeCell ref="A3:P3"/>
    <mergeCell ref="B5:P5"/>
  </mergeCells>
  <phoneticPr fontId="11" type="noConversion"/>
  <printOptions horizontalCentered="1"/>
  <pageMargins left="0.55138888888888893" right="0.51180555555555551" top="0.6" bottom="0.35416666666666669" header="0.51180555555555551" footer="0.51180555555555551"/>
  <pageSetup paperSize="9" scale="90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4"/>
  <dimension ref="A1:P110"/>
  <sheetViews>
    <sheetView view="pageBreakPreview" zoomScale="75" zoomScaleNormal="75" zoomScaleSheetLayoutView="75" workbookViewId="0">
      <selection activeCell="B20" sqref="B20"/>
    </sheetView>
  </sheetViews>
  <sheetFormatPr defaultRowHeight="14.25"/>
  <cols>
    <col min="1" max="1" width="64.85546875" style="39" customWidth="1"/>
    <col min="2" max="2" width="13.5703125" style="40" customWidth="1"/>
    <col min="3" max="3" width="9.42578125" style="40" hidden="1" customWidth="1"/>
    <col min="4" max="4" width="12.28515625" style="40" hidden="1" customWidth="1"/>
    <col min="5" max="6" width="9.140625" style="40" hidden="1" customWidth="1"/>
    <col min="7" max="7" width="10.5703125" style="46" hidden="1" customWidth="1"/>
    <col min="8" max="8" width="10.85546875" style="40" hidden="1" customWidth="1"/>
    <col min="9" max="9" width="9.140625" style="40" hidden="1" customWidth="1"/>
    <col min="10" max="10" width="9.140625" style="611" hidden="1" customWidth="1"/>
    <col min="11" max="11" width="10.7109375" style="40" hidden="1" customWidth="1"/>
    <col min="12" max="12" width="11" style="40" customWidth="1"/>
    <col min="13" max="13" width="11.28515625" style="40" hidden="1" customWidth="1"/>
    <col min="14" max="14" width="6.28515625" style="40" hidden="1" customWidth="1"/>
    <col min="15" max="15" width="10.5703125" style="40" customWidth="1"/>
    <col min="16" max="16" width="11" style="40" customWidth="1"/>
    <col min="17" max="16384" width="9.140625" style="39"/>
  </cols>
  <sheetData>
    <row r="1" spans="1:16" ht="17.25">
      <c r="A1" s="926" t="s">
        <v>891</v>
      </c>
      <c r="B1" s="926"/>
      <c r="C1" s="912"/>
      <c r="D1" s="912"/>
      <c r="E1" s="913"/>
      <c r="F1" s="913"/>
      <c r="G1" s="913"/>
      <c r="H1" s="913"/>
      <c r="I1" s="913"/>
      <c r="J1" s="913"/>
      <c r="K1" s="913"/>
      <c r="L1" s="913"/>
      <c r="M1" s="913"/>
      <c r="N1" s="913"/>
      <c r="O1" s="913"/>
      <c r="P1" s="913"/>
    </row>
    <row r="3" spans="1:16" ht="15">
      <c r="A3" s="927" t="s">
        <v>355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3"/>
      <c r="O3" s="913"/>
      <c r="P3" s="913"/>
    </row>
    <row r="4" spans="1:16" ht="15">
      <c r="A4" s="420"/>
    </row>
    <row r="5" spans="1:16" ht="15">
      <c r="B5" s="928" t="s">
        <v>103</v>
      </c>
      <c r="C5" s="924"/>
      <c r="D5" s="924"/>
      <c r="E5" s="916"/>
      <c r="F5" s="916"/>
      <c r="G5" s="916"/>
      <c r="H5" s="916"/>
      <c r="I5" s="916"/>
      <c r="J5" s="916"/>
      <c r="K5" s="916"/>
      <c r="L5" s="916"/>
      <c r="M5" s="916"/>
      <c r="N5" s="916"/>
      <c r="O5" s="913"/>
      <c r="P5" s="913"/>
    </row>
    <row r="6" spans="1:16" ht="31.5">
      <c r="A6" s="138" t="s">
        <v>258</v>
      </c>
      <c r="B6" s="129" t="s">
        <v>528</v>
      </c>
      <c r="C6" s="301" t="s">
        <v>432</v>
      </c>
      <c r="D6" s="295" t="s">
        <v>259</v>
      </c>
      <c r="E6" s="129" t="s">
        <v>547</v>
      </c>
      <c r="F6" s="129" t="s">
        <v>548</v>
      </c>
      <c r="G6" s="548" t="s">
        <v>432</v>
      </c>
      <c r="H6" s="295" t="s">
        <v>592</v>
      </c>
      <c r="I6" s="129" t="s">
        <v>706</v>
      </c>
      <c r="J6" s="612" t="s">
        <v>548</v>
      </c>
      <c r="K6" s="295" t="s">
        <v>432</v>
      </c>
      <c r="L6" s="295" t="s">
        <v>732</v>
      </c>
      <c r="M6" s="295" t="s">
        <v>815</v>
      </c>
      <c r="N6" s="295" t="s">
        <v>260</v>
      </c>
      <c r="O6" s="295" t="s">
        <v>432</v>
      </c>
      <c r="P6" s="295" t="s">
        <v>832</v>
      </c>
    </row>
    <row r="7" spans="1:16" ht="15">
      <c r="A7" s="139" t="s">
        <v>391</v>
      </c>
      <c r="B7" s="785" t="s">
        <v>388</v>
      </c>
      <c r="C7" s="787" t="s">
        <v>389</v>
      </c>
      <c r="D7" s="787" t="s">
        <v>389</v>
      </c>
      <c r="E7" s="128" t="s">
        <v>390</v>
      </c>
      <c r="F7" s="128" t="s">
        <v>546</v>
      </c>
      <c r="G7" s="788" t="s">
        <v>389</v>
      </c>
      <c r="H7" s="787" t="s">
        <v>389</v>
      </c>
      <c r="I7" s="128" t="s">
        <v>390</v>
      </c>
      <c r="J7" s="650" t="s">
        <v>546</v>
      </c>
      <c r="K7" s="787" t="s">
        <v>390</v>
      </c>
      <c r="L7" s="787" t="s">
        <v>389</v>
      </c>
      <c r="M7" s="787" t="s">
        <v>390</v>
      </c>
      <c r="N7" s="787" t="s">
        <v>546</v>
      </c>
      <c r="O7" s="302" t="s">
        <v>390</v>
      </c>
      <c r="P7" s="302" t="s">
        <v>546</v>
      </c>
    </row>
    <row r="8" spans="1:16">
      <c r="A8" s="39" t="s">
        <v>279</v>
      </c>
      <c r="B8" s="40">
        <v>28000</v>
      </c>
      <c r="C8" s="40">
        <v>0</v>
      </c>
      <c r="D8" s="40">
        <f>B8+C8</f>
        <v>28000</v>
      </c>
      <c r="E8" s="40">
        <v>8642</v>
      </c>
      <c r="F8" s="40">
        <f>SUM(E8/D8)*100</f>
        <v>30.864285714285717</v>
      </c>
      <c r="G8" s="46">
        <v>0</v>
      </c>
      <c r="H8" s="40">
        <f>D8+G8</f>
        <v>28000</v>
      </c>
      <c r="I8" s="40">
        <v>8095</v>
      </c>
      <c r="J8" s="611">
        <f>SUM(I8/H8)*100</f>
        <v>28.910714285714285</v>
      </c>
      <c r="K8" s="46">
        <v>2067</v>
      </c>
      <c r="L8" s="40">
        <f>H8+K8</f>
        <v>30067</v>
      </c>
      <c r="M8" s="44">
        <v>21253</v>
      </c>
      <c r="N8" s="44">
        <f>SUM(M8/L8)*100</f>
        <v>70.685469118967632</v>
      </c>
      <c r="O8" s="40">
        <f>746+1899</f>
        <v>2645</v>
      </c>
      <c r="P8" s="40">
        <f>L8+O8</f>
        <v>32712</v>
      </c>
    </row>
    <row r="9" spans="1:16">
      <c r="A9" s="39" t="s">
        <v>280</v>
      </c>
      <c r="B9" s="40">
        <v>485</v>
      </c>
      <c r="C9" s="40">
        <v>0</v>
      </c>
      <c r="D9" s="40">
        <f t="shared" ref="D9:D109" si="0">B9+C9</f>
        <v>485</v>
      </c>
      <c r="E9" s="40">
        <v>10</v>
      </c>
      <c r="F9" s="40">
        <f t="shared" ref="F9:F109" si="1">SUM(E9/D9)*100</f>
        <v>2.0618556701030926</v>
      </c>
      <c r="G9" s="46">
        <v>-80</v>
      </c>
      <c r="H9" s="40">
        <f t="shared" ref="H9:H99" si="2">D9+G9</f>
        <v>405</v>
      </c>
      <c r="I9" s="44">
        <v>43</v>
      </c>
      <c r="J9" s="611">
        <f t="shared" ref="J9:J78" si="3">SUM(I9/H9)*100</f>
        <v>10.617283950617285</v>
      </c>
      <c r="K9" s="40">
        <v>0</v>
      </c>
      <c r="L9" s="40">
        <f t="shared" ref="L9:L73" si="4">H9+K9</f>
        <v>405</v>
      </c>
      <c r="M9" s="44">
        <v>50</v>
      </c>
      <c r="N9" s="44">
        <f t="shared" ref="N9:N77" si="5">SUM(M9/L9)*100</f>
        <v>12.345679012345679</v>
      </c>
      <c r="O9" s="40">
        <v>0</v>
      </c>
      <c r="P9" s="40">
        <f t="shared" ref="P9:P77" si="6">L9+O9</f>
        <v>405</v>
      </c>
    </row>
    <row r="10" spans="1:16">
      <c r="A10" s="41" t="s">
        <v>281</v>
      </c>
      <c r="B10" s="42">
        <f>SUM(B11:B13)</f>
        <v>10375</v>
      </c>
      <c r="C10" s="103">
        <v>0</v>
      </c>
      <c r="D10" s="103">
        <f t="shared" si="0"/>
        <v>10375</v>
      </c>
      <c r="E10" s="103" t="e">
        <f>E11+E12+E13+E14+E15+#REF!+#REF!</f>
        <v>#REF!</v>
      </c>
      <c r="F10" s="103" t="e">
        <f t="shared" si="1"/>
        <v>#REF!</v>
      </c>
      <c r="G10" s="549">
        <f>SUM(G11:G20)</f>
        <v>83098</v>
      </c>
      <c r="H10" s="103">
        <f t="shared" si="2"/>
        <v>93473</v>
      </c>
      <c r="I10" s="40">
        <v>28151</v>
      </c>
      <c r="J10" s="613">
        <f t="shared" si="3"/>
        <v>30.11671819669851</v>
      </c>
      <c r="K10" s="103">
        <f>SUM(K11:K22)</f>
        <v>2454</v>
      </c>
      <c r="L10" s="103">
        <v>92552</v>
      </c>
      <c r="M10" s="103">
        <f>SUM(M11:M22)</f>
        <v>35635</v>
      </c>
      <c r="N10" s="103">
        <f t="shared" si="5"/>
        <v>38.502679574725562</v>
      </c>
      <c r="O10" s="103">
        <v>221772</v>
      </c>
      <c r="P10" s="103">
        <f t="shared" si="6"/>
        <v>314324</v>
      </c>
    </row>
    <row r="11" spans="1:16">
      <c r="A11" s="39" t="s">
        <v>282</v>
      </c>
      <c r="B11" s="40">
        <v>2200</v>
      </c>
      <c r="C11" s="40">
        <v>0</v>
      </c>
      <c r="D11" s="40">
        <f t="shared" si="0"/>
        <v>2200</v>
      </c>
      <c r="E11" s="40">
        <v>298</v>
      </c>
      <c r="F11" s="40">
        <f t="shared" si="1"/>
        <v>13.545454545454547</v>
      </c>
      <c r="G11" s="46">
        <v>0</v>
      </c>
      <c r="H11" s="40">
        <f t="shared" si="2"/>
        <v>2200</v>
      </c>
      <c r="I11" s="616">
        <v>598</v>
      </c>
      <c r="J11" s="611">
        <f t="shared" si="3"/>
        <v>27.18181818181818</v>
      </c>
      <c r="K11" s="40">
        <v>0</v>
      </c>
      <c r="L11" s="40">
        <f t="shared" si="4"/>
        <v>2200</v>
      </c>
      <c r="M11" s="44">
        <v>1092</v>
      </c>
      <c r="N11" s="44">
        <f t="shared" si="5"/>
        <v>49.636363636363633</v>
      </c>
      <c r="O11" s="40">
        <v>8</v>
      </c>
      <c r="P11" s="40">
        <f t="shared" si="6"/>
        <v>2208</v>
      </c>
    </row>
    <row r="12" spans="1:16">
      <c r="A12" s="43" t="s">
        <v>283</v>
      </c>
      <c r="B12" s="44">
        <v>6175</v>
      </c>
      <c r="C12" s="40">
        <v>0</v>
      </c>
      <c r="D12" s="40">
        <f t="shared" si="0"/>
        <v>6175</v>
      </c>
      <c r="E12" s="40">
        <v>75</v>
      </c>
      <c r="F12" s="40">
        <f t="shared" si="1"/>
        <v>1.214574898785425</v>
      </c>
      <c r="G12" s="46">
        <v>0</v>
      </c>
      <c r="H12" s="40">
        <f t="shared" si="2"/>
        <v>6175</v>
      </c>
      <c r="I12" s="44">
        <v>1668</v>
      </c>
      <c r="J12" s="611">
        <f t="shared" si="3"/>
        <v>27.012145748987855</v>
      </c>
      <c r="K12" s="46">
        <v>-139</v>
      </c>
      <c r="L12" s="40">
        <f t="shared" si="4"/>
        <v>6036</v>
      </c>
      <c r="M12" s="44">
        <v>3024</v>
      </c>
      <c r="N12" s="44">
        <f t="shared" si="5"/>
        <v>50.099403578528822</v>
      </c>
      <c r="O12" s="40">
        <v>0</v>
      </c>
      <c r="P12" s="40">
        <f t="shared" si="6"/>
        <v>6036</v>
      </c>
    </row>
    <row r="13" spans="1:16">
      <c r="A13" s="43" t="s">
        <v>284</v>
      </c>
      <c r="B13" s="44">
        <v>2000</v>
      </c>
      <c r="C13" s="44">
        <v>0</v>
      </c>
      <c r="D13" s="44">
        <f t="shared" si="0"/>
        <v>2000</v>
      </c>
      <c r="E13" s="44">
        <v>1372</v>
      </c>
      <c r="F13" s="44">
        <f t="shared" si="1"/>
        <v>68.600000000000009</v>
      </c>
      <c r="G13" s="46">
        <v>448</v>
      </c>
      <c r="H13" s="40">
        <f t="shared" si="2"/>
        <v>2448</v>
      </c>
      <c r="I13" s="44">
        <v>3529</v>
      </c>
      <c r="J13" s="611">
        <f t="shared" si="3"/>
        <v>144.15849673202615</v>
      </c>
      <c r="K13" s="46">
        <v>1945</v>
      </c>
      <c r="L13" s="40">
        <f t="shared" si="4"/>
        <v>4393</v>
      </c>
      <c r="M13" s="44">
        <v>5653</v>
      </c>
      <c r="N13" s="44">
        <f t="shared" si="5"/>
        <v>128.68199408149329</v>
      </c>
      <c r="O13" s="40">
        <v>-231</v>
      </c>
      <c r="P13" s="40">
        <f t="shared" si="6"/>
        <v>4162</v>
      </c>
    </row>
    <row r="14" spans="1:16">
      <c r="A14" s="43" t="s">
        <v>551</v>
      </c>
      <c r="B14" s="44">
        <v>0</v>
      </c>
      <c r="C14" s="44"/>
      <c r="D14" s="44">
        <v>0</v>
      </c>
      <c r="E14" s="44">
        <v>20</v>
      </c>
      <c r="F14" s="44">
        <v>0</v>
      </c>
      <c r="G14" s="46">
        <v>234</v>
      </c>
      <c r="H14" s="40">
        <f t="shared" si="2"/>
        <v>234</v>
      </c>
      <c r="I14" s="44">
        <v>196</v>
      </c>
      <c r="J14" s="611">
        <f t="shared" si="3"/>
        <v>83.760683760683762</v>
      </c>
      <c r="K14" s="40">
        <v>0</v>
      </c>
      <c r="L14" s="40">
        <f t="shared" si="4"/>
        <v>234</v>
      </c>
      <c r="M14" s="44">
        <v>1779</v>
      </c>
      <c r="N14" s="44">
        <f t="shared" si="5"/>
        <v>760.25641025641016</v>
      </c>
      <c r="O14" s="40">
        <v>0</v>
      </c>
      <c r="P14" s="40">
        <f t="shared" si="6"/>
        <v>234</v>
      </c>
    </row>
    <row r="15" spans="1:16">
      <c r="A15" s="43" t="s">
        <v>552</v>
      </c>
      <c r="B15" s="44">
        <v>0</v>
      </c>
      <c r="C15" s="44"/>
      <c r="D15" s="44">
        <v>0</v>
      </c>
      <c r="E15" s="44">
        <v>1016</v>
      </c>
      <c r="F15" s="44">
        <v>0</v>
      </c>
      <c r="G15" s="46">
        <v>12974</v>
      </c>
      <c r="H15" s="40">
        <f t="shared" si="2"/>
        <v>12974</v>
      </c>
      <c r="I15" s="44">
        <v>1016</v>
      </c>
      <c r="J15" s="611">
        <f t="shared" si="3"/>
        <v>7.8310467088022193</v>
      </c>
      <c r="K15" s="40">
        <v>0</v>
      </c>
      <c r="L15" s="40">
        <f t="shared" si="4"/>
        <v>12974</v>
      </c>
      <c r="M15" s="44">
        <v>1016</v>
      </c>
      <c r="N15" s="44">
        <f t="shared" si="5"/>
        <v>7.8310467088022193</v>
      </c>
      <c r="O15" s="40">
        <v>0</v>
      </c>
      <c r="P15" s="40">
        <f t="shared" si="6"/>
        <v>12974</v>
      </c>
    </row>
    <row r="16" spans="1:16">
      <c r="A16" s="43" t="s">
        <v>837</v>
      </c>
      <c r="B16" s="44">
        <v>0</v>
      </c>
      <c r="C16" s="44"/>
      <c r="D16" s="44"/>
      <c r="E16" s="44"/>
      <c r="F16" s="44"/>
      <c r="I16" s="44"/>
      <c r="L16" s="40">
        <v>-3375</v>
      </c>
      <c r="M16" s="44"/>
      <c r="N16" s="44"/>
      <c r="O16" s="40">
        <v>0</v>
      </c>
      <c r="P16" s="40">
        <v>0</v>
      </c>
    </row>
    <row r="17" spans="1:16">
      <c r="A17" s="43" t="s">
        <v>628</v>
      </c>
      <c r="B17" s="44">
        <v>0</v>
      </c>
      <c r="C17" s="44"/>
      <c r="D17" s="44">
        <v>0</v>
      </c>
      <c r="E17" s="44"/>
      <c r="F17" s="44"/>
      <c r="G17" s="550">
        <v>15821</v>
      </c>
      <c r="H17" s="40">
        <f t="shared" si="2"/>
        <v>15821</v>
      </c>
      <c r="I17" s="44">
        <v>15822</v>
      </c>
      <c r="J17" s="611">
        <f t="shared" si="3"/>
        <v>100.00632071297642</v>
      </c>
      <c r="K17" s="40">
        <v>0</v>
      </c>
      <c r="L17" s="40">
        <f t="shared" si="4"/>
        <v>15821</v>
      </c>
      <c r="M17" s="44">
        <v>15822</v>
      </c>
      <c r="N17" s="44">
        <f t="shared" si="5"/>
        <v>100.00632071297642</v>
      </c>
      <c r="O17" s="40">
        <v>103</v>
      </c>
      <c r="P17" s="40">
        <f t="shared" si="6"/>
        <v>15924</v>
      </c>
    </row>
    <row r="18" spans="1:16">
      <c r="A18" s="43" t="s">
        <v>623</v>
      </c>
      <c r="B18" s="44">
        <v>0</v>
      </c>
      <c r="C18" s="44"/>
      <c r="D18" s="44">
        <v>0</v>
      </c>
      <c r="E18" s="44"/>
      <c r="F18" s="44"/>
      <c r="G18" s="550">
        <v>7056</v>
      </c>
      <c r="H18" s="40">
        <f t="shared" si="2"/>
        <v>7056</v>
      </c>
      <c r="I18" s="44">
        <v>0</v>
      </c>
      <c r="J18" s="611">
        <f t="shared" si="3"/>
        <v>0</v>
      </c>
      <c r="K18" s="40">
        <v>0</v>
      </c>
      <c r="L18" s="40">
        <f t="shared" si="4"/>
        <v>7056</v>
      </c>
      <c r="M18" s="44">
        <v>1520</v>
      </c>
      <c r="N18" s="44">
        <f t="shared" si="5"/>
        <v>21.541950113378686</v>
      </c>
      <c r="O18" s="40">
        <v>0</v>
      </c>
      <c r="P18" s="40">
        <f t="shared" si="6"/>
        <v>7056</v>
      </c>
    </row>
    <row r="19" spans="1:16">
      <c r="A19" s="43" t="s">
        <v>625</v>
      </c>
      <c r="B19" s="44">
        <v>0</v>
      </c>
      <c r="C19" s="44"/>
      <c r="D19" s="44">
        <v>0</v>
      </c>
      <c r="E19" s="44"/>
      <c r="F19" s="44"/>
      <c r="G19" s="550">
        <v>41498</v>
      </c>
      <c r="H19" s="40">
        <f t="shared" si="2"/>
        <v>41498</v>
      </c>
      <c r="I19" s="44">
        <v>29</v>
      </c>
      <c r="J19" s="611">
        <f t="shared" si="3"/>
        <v>6.9882885922213117E-2</v>
      </c>
      <c r="K19" s="40">
        <v>0</v>
      </c>
      <c r="L19" s="40">
        <f t="shared" si="4"/>
        <v>41498</v>
      </c>
      <c r="M19" s="44">
        <v>43</v>
      </c>
      <c r="N19" s="44">
        <f t="shared" si="5"/>
        <v>0.10361945153983323</v>
      </c>
      <c r="O19" s="40">
        <v>292</v>
      </c>
      <c r="P19" s="40">
        <f t="shared" si="6"/>
        <v>41790</v>
      </c>
    </row>
    <row r="20" spans="1:16">
      <c r="A20" s="43" t="s">
        <v>627</v>
      </c>
      <c r="B20" s="44">
        <v>0</v>
      </c>
      <c r="C20" s="44"/>
      <c r="D20" s="44">
        <v>0</v>
      </c>
      <c r="E20" s="44"/>
      <c r="F20" s="44"/>
      <c r="G20" s="550">
        <v>5067</v>
      </c>
      <c r="H20" s="44">
        <f t="shared" si="2"/>
        <v>5067</v>
      </c>
      <c r="I20" s="40">
        <v>5067</v>
      </c>
      <c r="J20" s="611">
        <f t="shared" si="3"/>
        <v>100</v>
      </c>
      <c r="K20" s="40">
        <v>0</v>
      </c>
      <c r="L20" s="40">
        <f t="shared" si="4"/>
        <v>5067</v>
      </c>
      <c r="M20" s="44">
        <v>5069</v>
      </c>
      <c r="N20" s="44">
        <f t="shared" si="5"/>
        <v>100.03947108742845</v>
      </c>
      <c r="O20" s="40">
        <v>0</v>
      </c>
      <c r="P20" s="40">
        <f t="shared" si="6"/>
        <v>5067</v>
      </c>
    </row>
    <row r="21" spans="1:16">
      <c r="A21" s="43" t="s">
        <v>721</v>
      </c>
      <c r="B21" s="44">
        <v>0</v>
      </c>
      <c r="C21" s="44"/>
      <c r="D21" s="44"/>
      <c r="E21" s="44"/>
      <c r="F21" s="44"/>
      <c r="G21" s="550"/>
      <c r="H21" s="44">
        <v>0</v>
      </c>
      <c r="I21" s="40">
        <v>161</v>
      </c>
      <c r="J21" s="611">
        <v>0</v>
      </c>
      <c r="K21" s="40">
        <v>162</v>
      </c>
      <c r="L21" s="40">
        <f t="shared" si="4"/>
        <v>162</v>
      </c>
      <c r="M21" s="44">
        <v>162</v>
      </c>
      <c r="N21" s="44">
        <f t="shared" si="5"/>
        <v>100</v>
      </c>
      <c r="O21" s="40">
        <v>0</v>
      </c>
      <c r="P21" s="40">
        <f t="shared" si="6"/>
        <v>162</v>
      </c>
    </row>
    <row r="22" spans="1:16">
      <c r="A22" s="43" t="s">
        <v>722</v>
      </c>
      <c r="B22" s="44">
        <v>0</v>
      </c>
      <c r="C22" s="44"/>
      <c r="D22" s="44"/>
      <c r="E22" s="44"/>
      <c r="F22" s="44"/>
      <c r="G22" s="550"/>
      <c r="H22" s="44">
        <v>0</v>
      </c>
      <c r="I22" s="44">
        <v>30</v>
      </c>
      <c r="J22" s="807">
        <v>0</v>
      </c>
      <c r="K22" s="44">
        <v>486</v>
      </c>
      <c r="L22" s="44">
        <f t="shared" si="4"/>
        <v>486</v>
      </c>
      <c r="M22" s="44">
        <v>455</v>
      </c>
      <c r="N22" s="44">
        <f t="shared" si="5"/>
        <v>93.621399176954739</v>
      </c>
      <c r="O22" s="44">
        <v>0</v>
      </c>
      <c r="P22" s="44">
        <f t="shared" si="6"/>
        <v>486</v>
      </c>
    </row>
    <row r="23" spans="1:16">
      <c r="A23" s="102" t="s">
        <v>838</v>
      </c>
      <c r="B23" s="103">
        <v>0</v>
      </c>
      <c r="C23" s="103"/>
      <c r="D23" s="103"/>
      <c r="E23" s="103"/>
      <c r="F23" s="103"/>
      <c r="G23" s="549"/>
      <c r="H23" s="103"/>
      <c r="I23" s="103"/>
      <c r="J23" s="613"/>
      <c r="K23" s="103"/>
      <c r="L23" s="103">
        <v>0</v>
      </c>
      <c r="M23" s="103"/>
      <c r="N23" s="103"/>
      <c r="O23" s="103">
        <v>221600</v>
      </c>
      <c r="P23" s="103">
        <f t="shared" si="6"/>
        <v>221600</v>
      </c>
    </row>
    <row r="24" spans="1:16">
      <c r="A24" s="45" t="s">
        <v>285</v>
      </c>
      <c r="B24" s="40">
        <v>2500</v>
      </c>
      <c r="C24" s="40">
        <v>0</v>
      </c>
      <c r="D24" s="40">
        <f t="shared" si="0"/>
        <v>2500</v>
      </c>
      <c r="E24" s="40">
        <v>219</v>
      </c>
      <c r="F24" s="40">
        <f t="shared" si="1"/>
        <v>8.76</v>
      </c>
      <c r="G24" s="46">
        <v>0</v>
      </c>
      <c r="H24" s="40">
        <f t="shared" si="2"/>
        <v>2500</v>
      </c>
      <c r="I24" s="44">
        <v>1788</v>
      </c>
      <c r="J24" s="611">
        <f t="shared" si="3"/>
        <v>71.52</v>
      </c>
      <c r="K24" s="40">
        <v>0</v>
      </c>
      <c r="L24" s="40">
        <f t="shared" si="4"/>
        <v>2500</v>
      </c>
      <c r="M24" s="44">
        <v>3257</v>
      </c>
      <c r="N24" s="44">
        <f t="shared" si="5"/>
        <v>130.28</v>
      </c>
      <c r="O24" s="40">
        <v>1000</v>
      </c>
      <c r="P24" s="40">
        <f t="shared" si="6"/>
        <v>3500</v>
      </c>
    </row>
    <row r="25" spans="1:16">
      <c r="A25" s="45" t="s">
        <v>286</v>
      </c>
      <c r="B25" s="40">
        <v>50000</v>
      </c>
      <c r="C25" s="40">
        <v>0</v>
      </c>
      <c r="D25" s="40">
        <f t="shared" si="0"/>
        <v>50000</v>
      </c>
      <c r="E25" s="40">
        <v>12083</v>
      </c>
      <c r="F25" s="40">
        <f t="shared" si="1"/>
        <v>24.166</v>
      </c>
      <c r="G25" s="46">
        <v>0</v>
      </c>
      <c r="H25" s="40">
        <f t="shared" si="2"/>
        <v>50000</v>
      </c>
      <c r="I25" s="44">
        <v>16038</v>
      </c>
      <c r="J25" s="611">
        <f t="shared" si="3"/>
        <v>32.076000000000001</v>
      </c>
      <c r="K25" s="40">
        <v>0</v>
      </c>
      <c r="L25" s="40">
        <f t="shared" si="4"/>
        <v>50000</v>
      </c>
      <c r="M25" s="44">
        <v>23824</v>
      </c>
      <c r="N25" s="44">
        <f t="shared" si="5"/>
        <v>47.648000000000003</v>
      </c>
      <c r="O25" s="40">
        <v>0</v>
      </c>
      <c r="P25" s="40">
        <f t="shared" si="6"/>
        <v>50000</v>
      </c>
    </row>
    <row r="26" spans="1:16">
      <c r="A26" s="45" t="s">
        <v>287</v>
      </c>
      <c r="B26" s="40">
        <v>300</v>
      </c>
      <c r="C26" s="40">
        <v>0</v>
      </c>
      <c r="D26" s="40">
        <f t="shared" si="0"/>
        <v>300</v>
      </c>
      <c r="E26" s="40">
        <v>0</v>
      </c>
      <c r="F26" s="40">
        <f t="shared" si="1"/>
        <v>0</v>
      </c>
      <c r="G26" s="46">
        <v>0</v>
      </c>
      <c r="H26" s="40">
        <f t="shared" si="2"/>
        <v>300</v>
      </c>
      <c r="I26" s="44">
        <v>0</v>
      </c>
      <c r="J26" s="611">
        <f t="shared" si="3"/>
        <v>0</v>
      </c>
      <c r="K26" s="40">
        <v>0</v>
      </c>
      <c r="L26" s="40">
        <f t="shared" si="4"/>
        <v>300</v>
      </c>
      <c r="M26" s="44">
        <v>0</v>
      </c>
      <c r="N26" s="44">
        <f t="shared" si="5"/>
        <v>0</v>
      </c>
      <c r="O26" s="40">
        <v>0</v>
      </c>
      <c r="P26" s="40">
        <f t="shared" si="6"/>
        <v>300</v>
      </c>
    </row>
    <row r="27" spans="1:16">
      <c r="A27" s="45" t="s">
        <v>288</v>
      </c>
      <c r="B27" s="40">
        <v>5093</v>
      </c>
      <c r="C27" s="40">
        <v>0</v>
      </c>
      <c r="D27" s="40">
        <f t="shared" si="0"/>
        <v>5093</v>
      </c>
      <c r="E27" s="40">
        <v>1728</v>
      </c>
      <c r="F27" s="40">
        <f t="shared" si="1"/>
        <v>33.928922049872376</v>
      </c>
      <c r="G27" s="46">
        <v>0</v>
      </c>
      <c r="H27" s="40">
        <f t="shared" si="2"/>
        <v>5093</v>
      </c>
      <c r="I27" s="44">
        <v>3045</v>
      </c>
      <c r="J27" s="611">
        <f t="shared" si="3"/>
        <v>59.787944237188299</v>
      </c>
      <c r="K27" s="40">
        <v>0</v>
      </c>
      <c r="L27" s="40">
        <f t="shared" si="4"/>
        <v>5093</v>
      </c>
      <c r="M27" s="44">
        <v>4362</v>
      </c>
      <c r="N27" s="44">
        <f t="shared" si="5"/>
        <v>85.646966424504228</v>
      </c>
      <c r="O27" s="40">
        <v>0</v>
      </c>
      <c r="P27" s="40">
        <f t="shared" si="6"/>
        <v>5093</v>
      </c>
    </row>
    <row r="28" spans="1:16">
      <c r="A28" s="45" t="s">
        <v>289</v>
      </c>
      <c r="B28" s="40">
        <v>6000</v>
      </c>
      <c r="C28" s="40">
        <v>0</v>
      </c>
      <c r="D28" s="40">
        <f t="shared" si="0"/>
        <v>6000</v>
      </c>
      <c r="E28" s="40">
        <v>2245</v>
      </c>
      <c r="F28" s="40">
        <f t="shared" si="1"/>
        <v>37.416666666666664</v>
      </c>
      <c r="G28" s="46">
        <v>0</v>
      </c>
      <c r="H28" s="40">
        <f t="shared" si="2"/>
        <v>6000</v>
      </c>
      <c r="I28" s="44">
        <v>4449</v>
      </c>
      <c r="J28" s="611">
        <f t="shared" si="3"/>
        <v>74.150000000000006</v>
      </c>
      <c r="K28" s="40">
        <v>0</v>
      </c>
      <c r="L28" s="40">
        <f t="shared" si="4"/>
        <v>6000</v>
      </c>
      <c r="M28" s="44">
        <v>5640</v>
      </c>
      <c r="N28" s="44">
        <f t="shared" si="5"/>
        <v>94</v>
      </c>
      <c r="O28" s="40">
        <v>800</v>
      </c>
      <c r="P28" s="40">
        <f t="shared" si="6"/>
        <v>6800</v>
      </c>
    </row>
    <row r="29" spans="1:16">
      <c r="A29" s="45" t="s">
        <v>450</v>
      </c>
      <c r="B29" s="40">
        <v>14320</v>
      </c>
      <c r="C29" s="40">
        <v>0</v>
      </c>
      <c r="D29" s="40">
        <f t="shared" si="0"/>
        <v>14320</v>
      </c>
      <c r="E29" s="40">
        <v>62</v>
      </c>
      <c r="F29" s="40">
        <f t="shared" si="1"/>
        <v>0.43296089385474856</v>
      </c>
      <c r="G29" s="46">
        <v>3588</v>
      </c>
      <c r="H29" s="40">
        <f t="shared" si="2"/>
        <v>17908</v>
      </c>
      <c r="I29" s="44">
        <v>5730</v>
      </c>
      <c r="J29" s="611">
        <f t="shared" si="3"/>
        <v>31.996872905963812</v>
      </c>
      <c r="K29" s="40">
        <v>0</v>
      </c>
      <c r="L29" s="40">
        <f t="shared" si="4"/>
        <v>17908</v>
      </c>
      <c r="M29" s="44">
        <v>8701</v>
      </c>
      <c r="N29" s="44">
        <f t="shared" si="5"/>
        <v>48.58722358722359</v>
      </c>
      <c r="O29" s="40">
        <v>-45</v>
      </c>
      <c r="P29" s="40">
        <f t="shared" si="6"/>
        <v>17863</v>
      </c>
    </row>
    <row r="30" spans="1:16">
      <c r="A30" s="45" t="s">
        <v>509</v>
      </c>
      <c r="B30" s="40">
        <v>25158</v>
      </c>
      <c r="C30" s="40">
        <v>0</v>
      </c>
      <c r="D30" s="40">
        <f t="shared" si="0"/>
        <v>25158</v>
      </c>
      <c r="E30" s="40">
        <v>3676</v>
      </c>
      <c r="F30" s="40">
        <f t="shared" si="1"/>
        <v>14.61165434454249</v>
      </c>
      <c r="G30" s="46">
        <v>341</v>
      </c>
      <c r="H30" s="40">
        <f t="shared" si="2"/>
        <v>25499</v>
      </c>
      <c r="I30" s="44">
        <v>7918</v>
      </c>
      <c r="J30" s="611">
        <f t="shared" si="3"/>
        <v>31.052198125416687</v>
      </c>
      <c r="K30" s="40">
        <v>0</v>
      </c>
      <c r="L30" s="40">
        <f t="shared" si="4"/>
        <v>25499</v>
      </c>
      <c r="M30" s="44">
        <v>8849</v>
      </c>
      <c r="N30" s="44">
        <f t="shared" si="5"/>
        <v>34.703321698890157</v>
      </c>
      <c r="O30" s="40">
        <v>-3760</v>
      </c>
      <c r="P30" s="40">
        <f t="shared" si="6"/>
        <v>21739</v>
      </c>
    </row>
    <row r="31" spans="1:16">
      <c r="A31" s="45" t="s">
        <v>449</v>
      </c>
      <c r="B31" s="40">
        <v>53413</v>
      </c>
      <c r="C31" s="40">
        <v>0</v>
      </c>
      <c r="D31" s="40">
        <f t="shared" si="0"/>
        <v>53413</v>
      </c>
      <c r="E31" s="40">
        <v>16131</v>
      </c>
      <c r="F31" s="40">
        <f t="shared" si="1"/>
        <v>30.200512983730555</v>
      </c>
      <c r="G31" s="46">
        <v>4180</v>
      </c>
      <c r="H31" s="40">
        <f t="shared" si="2"/>
        <v>57593</v>
      </c>
      <c r="I31" s="44">
        <v>33386</v>
      </c>
      <c r="J31" s="611">
        <f t="shared" si="3"/>
        <v>57.968850381122706</v>
      </c>
      <c r="K31" s="40">
        <v>6488</v>
      </c>
      <c r="L31" s="40">
        <f t="shared" si="4"/>
        <v>64081</v>
      </c>
      <c r="M31" s="44">
        <v>37923</v>
      </c>
      <c r="N31" s="44">
        <f t="shared" si="5"/>
        <v>59.179788080710352</v>
      </c>
      <c r="O31" s="40">
        <v>0</v>
      </c>
      <c r="P31" s="40">
        <f t="shared" si="6"/>
        <v>64081</v>
      </c>
    </row>
    <row r="32" spans="1:16">
      <c r="A32" s="45" t="s">
        <v>290</v>
      </c>
      <c r="B32" s="40">
        <v>22031</v>
      </c>
      <c r="C32" s="40">
        <v>0</v>
      </c>
      <c r="D32" s="40">
        <f t="shared" si="0"/>
        <v>22031</v>
      </c>
      <c r="E32" s="40">
        <v>11279</v>
      </c>
      <c r="F32" s="40">
        <f t="shared" si="1"/>
        <v>51.196041940901459</v>
      </c>
      <c r="G32" s="46">
        <v>-4153</v>
      </c>
      <c r="H32" s="40">
        <f t="shared" si="2"/>
        <v>17878</v>
      </c>
      <c r="I32" s="44">
        <v>14017</v>
      </c>
      <c r="J32" s="611">
        <f t="shared" si="3"/>
        <v>78.403624566506323</v>
      </c>
      <c r="K32" s="40">
        <v>188</v>
      </c>
      <c r="L32" s="40">
        <f t="shared" si="4"/>
        <v>18066</v>
      </c>
      <c r="M32" s="44">
        <v>16112</v>
      </c>
      <c r="N32" s="44">
        <f t="shared" si="5"/>
        <v>89.184102734418246</v>
      </c>
      <c r="O32" s="40">
        <f>-3429+18928</f>
        <v>15499</v>
      </c>
      <c r="P32" s="40">
        <f t="shared" si="6"/>
        <v>33565</v>
      </c>
    </row>
    <row r="33" spans="1:16">
      <c r="A33" s="45" t="s">
        <v>505</v>
      </c>
      <c r="B33" s="40">
        <v>5948</v>
      </c>
      <c r="C33" s="103">
        <v>0</v>
      </c>
      <c r="D33" s="44">
        <f t="shared" si="0"/>
        <v>5948</v>
      </c>
      <c r="E33" s="44">
        <v>3191</v>
      </c>
      <c r="F33" s="44">
        <f t="shared" si="1"/>
        <v>53.648285137861464</v>
      </c>
      <c r="G33" s="46">
        <v>-1600</v>
      </c>
      <c r="H33" s="40">
        <f t="shared" si="2"/>
        <v>4348</v>
      </c>
      <c r="I33" s="44">
        <v>3787</v>
      </c>
      <c r="J33" s="611">
        <f t="shared" si="3"/>
        <v>87.097516099356014</v>
      </c>
      <c r="K33" s="40">
        <v>35</v>
      </c>
      <c r="L33" s="40">
        <f t="shared" si="4"/>
        <v>4383</v>
      </c>
      <c r="M33" s="44">
        <v>4257</v>
      </c>
      <c r="N33" s="44">
        <f t="shared" si="5"/>
        <v>97.125256673511302</v>
      </c>
      <c r="O33" s="40">
        <f>-450+5160</f>
        <v>4710</v>
      </c>
      <c r="P33" s="40">
        <f t="shared" si="6"/>
        <v>9093</v>
      </c>
    </row>
    <row r="34" spans="1:16">
      <c r="A34" s="45" t="s">
        <v>626</v>
      </c>
      <c r="B34" s="40">
        <v>0</v>
      </c>
      <c r="C34" s="103"/>
      <c r="D34" s="44">
        <v>0</v>
      </c>
      <c r="E34" s="44">
        <v>17600</v>
      </c>
      <c r="F34" s="44">
        <v>0</v>
      </c>
      <c r="G34" s="46">
        <v>57543</v>
      </c>
      <c r="H34" s="40">
        <f t="shared" si="2"/>
        <v>57543</v>
      </c>
      <c r="I34" s="44">
        <f>8502+653+505</f>
        <v>9660</v>
      </c>
      <c r="J34" s="611">
        <f t="shared" si="3"/>
        <v>16.787445910015119</v>
      </c>
      <c r="K34" s="40">
        <v>117632</v>
      </c>
      <c r="L34" s="40">
        <f t="shared" si="4"/>
        <v>175175</v>
      </c>
      <c r="M34" s="44">
        <v>258328</v>
      </c>
      <c r="N34" s="44">
        <f t="shared" si="5"/>
        <v>147.46853146853147</v>
      </c>
      <c r="O34" s="40">
        <f>-746-8+245890</f>
        <v>245136</v>
      </c>
      <c r="P34" s="40">
        <f t="shared" si="6"/>
        <v>420311</v>
      </c>
    </row>
    <row r="35" spans="1:16">
      <c r="A35" s="45" t="s">
        <v>553</v>
      </c>
      <c r="B35" s="40">
        <v>0</v>
      </c>
      <c r="C35" s="103"/>
      <c r="D35" s="44">
        <v>0</v>
      </c>
      <c r="E35" s="44">
        <v>19327</v>
      </c>
      <c r="F35" s="44">
        <v>0</v>
      </c>
      <c r="G35" s="46">
        <v>20354</v>
      </c>
      <c r="H35" s="40">
        <f t="shared" si="2"/>
        <v>20354</v>
      </c>
      <c r="I35" s="44">
        <v>19327</v>
      </c>
      <c r="J35" s="611">
        <f t="shared" si="3"/>
        <v>94.954308735383705</v>
      </c>
      <c r="K35" s="40">
        <v>0</v>
      </c>
      <c r="L35" s="40">
        <f t="shared" si="4"/>
        <v>20354</v>
      </c>
      <c r="M35" s="44">
        <v>19327</v>
      </c>
      <c r="N35" s="44">
        <f t="shared" si="5"/>
        <v>94.954308735383705</v>
      </c>
      <c r="O35" s="40">
        <v>0</v>
      </c>
      <c r="P35" s="40">
        <f t="shared" si="6"/>
        <v>20354</v>
      </c>
    </row>
    <row r="36" spans="1:16">
      <c r="A36" s="45" t="s">
        <v>554</v>
      </c>
      <c r="B36" s="40">
        <v>0</v>
      </c>
      <c r="C36" s="103"/>
      <c r="D36" s="44">
        <v>0</v>
      </c>
      <c r="E36" s="44">
        <v>2501</v>
      </c>
      <c r="F36" s="44">
        <v>0</v>
      </c>
      <c r="G36" s="46">
        <v>2748</v>
      </c>
      <c r="H36" s="40">
        <f t="shared" si="2"/>
        <v>2748</v>
      </c>
      <c r="I36" s="44">
        <v>2501</v>
      </c>
      <c r="J36" s="611">
        <f t="shared" si="3"/>
        <v>91.011644832605526</v>
      </c>
      <c r="K36" s="40">
        <v>0</v>
      </c>
      <c r="L36" s="40">
        <f t="shared" si="4"/>
        <v>2748</v>
      </c>
      <c r="M36" s="44">
        <v>2501</v>
      </c>
      <c r="N36" s="44">
        <f t="shared" si="5"/>
        <v>91.011644832605526</v>
      </c>
      <c r="O36" s="40">
        <v>0</v>
      </c>
      <c r="P36" s="40">
        <f t="shared" si="6"/>
        <v>2748</v>
      </c>
    </row>
    <row r="37" spans="1:16">
      <c r="A37" s="45" t="s">
        <v>723</v>
      </c>
      <c r="B37" s="40">
        <v>0</v>
      </c>
      <c r="C37" s="103"/>
      <c r="D37" s="44"/>
      <c r="E37" s="44"/>
      <c r="F37" s="44"/>
      <c r="H37" s="40">
        <v>0</v>
      </c>
      <c r="I37" s="44">
        <v>581</v>
      </c>
      <c r="J37" s="611">
        <v>0</v>
      </c>
      <c r="K37" s="40">
        <v>0</v>
      </c>
      <c r="L37" s="40">
        <f t="shared" si="4"/>
        <v>0</v>
      </c>
      <c r="M37" s="44">
        <v>581</v>
      </c>
      <c r="N37" s="44">
        <v>0</v>
      </c>
      <c r="O37" s="40">
        <v>0</v>
      </c>
      <c r="P37" s="40">
        <f t="shared" si="6"/>
        <v>0</v>
      </c>
    </row>
    <row r="38" spans="1:16">
      <c r="A38" s="45" t="s">
        <v>555</v>
      </c>
      <c r="B38" s="40">
        <v>0</v>
      </c>
      <c r="C38" s="103"/>
      <c r="D38" s="44">
        <v>0</v>
      </c>
      <c r="E38" s="44">
        <v>10</v>
      </c>
      <c r="F38" s="44">
        <v>0</v>
      </c>
      <c r="G38" s="46">
        <v>2680</v>
      </c>
      <c r="H38" s="40">
        <f t="shared" si="2"/>
        <v>2680</v>
      </c>
      <c r="I38" s="44">
        <v>667</v>
      </c>
      <c r="J38" s="611">
        <f t="shared" si="3"/>
        <v>24.888059701492537</v>
      </c>
      <c r="K38" s="40">
        <v>0</v>
      </c>
      <c r="L38" s="40">
        <f t="shared" si="4"/>
        <v>2680</v>
      </c>
      <c r="M38" s="44">
        <v>1450</v>
      </c>
      <c r="N38" s="44">
        <f t="shared" si="5"/>
        <v>54.104477611940297</v>
      </c>
      <c r="O38" s="40">
        <v>1892</v>
      </c>
      <c r="P38" s="40">
        <f t="shared" si="6"/>
        <v>4572</v>
      </c>
    </row>
    <row r="39" spans="1:16">
      <c r="A39" s="45" t="s">
        <v>556</v>
      </c>
      <c r="B39" s="40">
        <v>0</v>
      </c>
      <c r="C39" s="103"/>
      <c r="D39" s="44">
        <v>0</v>
      </c>
      <c r="E39" s="44">
        <v>633</v>
      </c>
      <c r="F39" s="44">
        <v>0</v>
      </c>
      <c r="G39" s="46">
        <v>396</v>
      </c>
      <c r="H39" s="40">
        <f t="shared" si="2"/>
        <v>396</v>
      </c>
      <c r="I39" s="44">
        <v>632</v>
      </c>
      <c r="J39" s="611">
        <f t="shared" si="3"/>
        <v>159.59595959595961</v>
      </c>
      <c r="K39" s="40">
        <v>0</v>
      </c>
      <c r="L39" s="40">
        <f t="shared" si="4"/>
        <v>396</v>
      </c>
      <c r="M39" s="44">
        <v>633</v>
      </c>
      <c r="N39" s="44">
        <f t="shared" si="5"/>
        <v>159.84848484848484</v>
      </c>
      <c r="O39" s="40">
        <v>0</v>
      </c>
      <c r="P39" s="40">
        <f t="shared" si="6"/>
        <v>396</v>
      </c>
    </row>
    <row r="40" spans="1:16">
      <c r="A40" s="45" t="s">
        <v>557</v>
      </c>
      <c r="B40" s="40">
        <v>0</v>
      </c>
      <c r="C40" s="103"/>
      <c r="D40" s="44">
        <v>0</v>
      </c>
      <c r="E40" s="44">
        <v>85</v>
      </c>
      <c r="F40" s="44">
        <v>0</v>
      </c>
      <c r="G40" s="46">
        <v>107</v>
      </c>
      <c r="H40" s="40">
        <f t="shared" si="2"/>
        <v>107</v>
      </c>
      <c r="I40" s="44">
        <v>85</v>
      </c>
      <c r="J40" s="611">
        <f t="shared" si="3"/>
        <v>79.43925233644859</v>
      </c>
      <c r="K40" s="40">
        <v>0</v>
      </c>
      <c r="L40" s="40">
        <f t="shared" si="4"/>
        <v>107</v>
      </c>
      <c r="M40" s="44">
        <v>85</v>
      </c>
      <c r="N40" s="44">
        <f t="shared" si="5"/>
        <v>79.43925233644859</v>
      </c>
      <c r="O40" s="40">
        <v>0</v>
      </c>
      <c r="P40" s="40">
        <f t="shared" si="6"/>
        <v>107</v>
      </c>
    </row>
    <row r="41" spans="1:16">
      <c r="A41" s="45" t="s">
        <v>558</v>
      </c>
      <c r="B41" s="40">
        <v>0</v>
      </c>
      <c r="C41" s="103"/>
      <c r="D41" s="44">
        <v>0</v>
      </c>
      <c r="E41" s="44">
        <v>5265</v>
      </c>
      <c r="F41" s="44">
        <v>0</v>
      </c>
      <c r="G41" s="46">
        <v>246720</v>
      </c>
      <c r="H41" s="40">
        <f t="shared" si="2"/>
        <v>246720</v>
      </c>
      <c r="I41" s="44">
        <v>70965</v>
      </c>
      <c r="J41" s="611">
        <f t="shared" si="3"/>
        <v>28.763375486381321</v>
      </c>
      <c r="K41" s="40">
        <v>0</v>
      </c>
      <c r="L41" s="40">
        <f t="shared" si="4"/>
        <v>246720</v>
      </c>
      <c r="M41" s="44">
        <v>139690</v>
      </c>
      <c r="N41" s="44">
        <f t="shared" si="5"/>
        <v>56.618839169909208</v>
      </c>
      <c r="O41" s="40">
        <v>3343</v>
      </c>
      <c r="P41" s="40">
        <f t="shared" si="6"/>
        <v>250063</v>
      </c>
    </row>
    <row r="42" spans="1:16">
      <c r="A42" s="45" t="s">
        <v>559</v>
      </c>
      <c r="B42" s="40">
        <v>0</v>
      </c>
      <c r="C42" s="44"/>
      <c r="D42" s="44">
        <v>0</v>
      </c>
      <c r="E42" s="44">
        <v>711</v>
      </c>
      <c r="F42" s="44">
        <v>0</v>
      </c>
      <c r="G42" s="46">
        <v>33307</v>
      </c>
      <c r="H42" s="40">
        <f t="shared" si="2"/>
        <v>33307</v>
      </c>
      <c r="I42" s="44">
        <v>9623</v>
      </c>
      <c r="J42" s="611">
        <f t="shared" si="3"/>
        <v>28.891824541387695</v>
      </c>
      <c r="K42" s="40">
        <v>0</v>
      </c>
      <c r="L42" s="40">
        <f t="shared" si="4"/>
        <v>33307</v>
      </c>
      <c r="M42" s="44">
        <v>19136</v>
      </c>
      <c r="N42" s="44">
        <f t="shared" si="5"/>
        <v>57.453388176659558</v>
      </c>
      <c r="O42" s="40">
        <v>451</v>
      </c>
      <c r="P42" s="40">
        <f t="shared" si="6"/>
        <v>33758</v>
      </c>
    </row>
    <row r="43" spans="1:16">
      <c r="A43" s="45" t="s">
        <v>560</v>
      </c>
      <c r="B43" s="44">
        <v>0</v>
      </c>
      <c r="C43" s="44"/>
      <c r="D43" s="44">
        <v>0</v>
      </c>
      <c r="E43" s="44">
        <v>109</v>
      </c>
      <c r="F43" s="44">
        <v>0</v>
      </c>
      <c r="G43" s="46">
        <v>43849</v>
      </c>
      <c r="H43" s="40">
        <f t="shared" si="2"/>
        <v>43849</v>
      </c>
      <c r="I43" s="44">
        <v>28375</v>
      </c>
      <c r="J43" s="611">
        <f t="shared" si="3"/>
        <v>64.710711760815528</v>
      </c>
      <c r="K43" s="40">
        <v>0</v>
      </c>
      <c r="L43" s="40">
        <f t="shared" si="4"/>
        <v>43849</v>
      </c>
      <c r="M43" s="44">
        <v>38061</v>
      </c>
      <c r="N43" s="44">
        <f t="shared" si="5"/>
        <v>86.800155077652846</v>
      </c>
      <c r="O43" s="40">
        <v>0</v>
      </c>
      <c r="P43" s="40">
        <f t="shared" si="6"/>
        <v>43849</v>
      </c>
    </row>
    <row r="44" spans="1:16">
      <c r="A44" s="45" t="s">
        <v>603</v>
      </c>
      <c r="B44" s="44">
        <v>0</v>
      </c>
      <c r="C44" s="44"/>
      <c r="D44" s="44">
        <v>0</v>
      </c>
      <c r="E44" s="44"/>
      <c r="F44" s="44"/>
      <c r="G44" s="46">
        <v>2112</v>
      </c>
      <c r="H44" s="40">
        <f t="shared" si="2"/>
        <v>2112</v>
      </c>
      <c r="I44" s="44">
        <v>1110</v>
      </c>
      <c r="J44" s="611">
        <f t="shared" si="3"/>
        <v>52.55681818181818</v>
      </c>
      <c r="K44" s="40">
        <v>0</v>
      </c>
      <c r="L44" s="40">
        <f t="shared" si="4"/>
        <v>2112</v>
      </c>
      <c r="M44" s="44">
        <v>1667</v>
      </c>
      <c r="N44" s="44">
        <f t="shared" si="5"/>
        <v>78.929924242424249</v>
      </c>
      <c r="O44" s="40">
        <v>185</v>
      </c>
      <c r="P44" s="40">
        <f t="shared" si="6"/>
        <v>2297</v>
      </c>
    </row>
    <row r="45" spans="1:16">
      <c r="A45" s="45" t="s">
        <v>605</v>
      </c>
      <c r="B45" s="44">
        <v>0</v>
      </c>
      <c r="C45" s="44"/>
      <c r="D45" s="44">
        <v>0</v>
      </c>
      <c r="E45" s="44"/>
      <c r="F45" s="44"/>
      <c r="G45" s="46">
        <v>285</v>
      </c>
      <c r="H45" s="40">
        <f t="shared" si="2"/>
        <v>285</v>
      </c>
      <c r="I45" s="44">
        <v>151</v>
      </c>
      <c r="J45" s="611">
        <f t="shared" si="3"/>
        <v>52.982456140350877</v>
      </c>
      <c r="K45" s="40">
        <v>0</v>
      </c>
      <c r="L45" s="40">
        <f t="shared" si="4"/>
        <v>285</v>
      </c>
      <c r="M45" s="44">
        <v>232</v>
      </c>
      <c r="N45" s="44">
        <f t="shared" si="5"/>
        <v>81.403508771929822</v>
      </c>
      <c r="O45" s="40">
        <v>25</v>
      </c>
      <c r="P45" s="40">
        <f t="shared" si="6"/>
        <v>310</v>
      </c>
    </row>
    <row r="46" spans="1:16">
      <c r="A46" s="45" t="s">
        <v>606</v>
      </c>
      <c r="B46" s="44">
        <v>0</v>
      </c>
      <c r="C46" s="44"/>
      <c r="D46" s="44">
        <v>0</v>
      </c>
      <c r="E46" s="44"/>
      <c r="F46" s="44"/>
      <c r="G46" s="46">
        <v>1318</v>
      </c>
      <c r="H46" s="40">
        <f t="shared" si="2"/>
        <v>1318</v>
      </c>
      <c r="I46" s="44">
        <v>500</v>
      </c>
      <c r="J46" s="611">
        <f t="shared" si="3"/>
        <v>37.936267071320188</v>
      </c>
      <c r="K46" s="40">
        <v>0</v>
      </c>
      <c r="L46" s="40">
        <f t="shared" si="4"/>
        <v>1318</v>
      </c>
      <c r="M46" s="44">
        <v>500</v>
      </c>
      <c r="N46" s="44">
        <f t="shared" si="5"/>
        <v>37.936267071320188</v>
      </c>
      <c r="O46" s="40">
        <v>0</v>
      </c>
      <c r="P46" s="40">
        <f t="shared" si="6"/>
        <v>1318</v>
      </c>
    </row>
    <row r="47" spans="1:16">
      <c r="A47" s="45" t="s">
        <v>604</v>
      </c>
      <c r="B47" s="44">
        <v>0</v>
      </c>
      <c r="C47" s="44"/>
      <c r="D47" s="44">
        <v>0</v>
      </c>
      <c r="E47" s="44"/>
      <c r="F47" s="44"/>
      <c r="G47" s="46">
        <v>2209</v>
      </c>
      <c r="H47" s="40">
        <f t="shared" si="2"/>
        <v>2209</v>
      </c>
      <c r="I47" s="44">
        <v>4697</v>
      </c>
      <c r="J47" s="611">
        <f t="shared" si="3"/>
        <v>212.63014938886374</v>
      </c>
      <c r="K47" s="40">
        <v>0</v>
      </c>
      <c r="L47" s="40">
        <f t="shared" si="4"/>
        <v>2209</v>
      </c>
      <c r="M47" s="44">
        <v>4696</v>
      </c>
      <c r="N47" s="44">
        <f t="shared" si="5"/>
        <v>212.58488003621548</v>
      </c>
      <c r="O47" s="40">
        <v>9060</v>
      </c>
      <c r="P47" s="40">
        <f t="shared" si="6"/>
        <v>11269</v>
      </c>
    </row>
    <row r="48" spans="1:16">
      <c r="A48" s="45" t="s">
        <v>607</v>
      </c>
      <c r="B48" s="44">
        <v>0</v>
      </c>
      <c r="C48" s="44"/>
      <c r="D48" s="44">
        <v>0</v>
      </c>
      <c r="E48" s="44"/>
      <c r="F48" s="44"/>
      <c r="G48" s="46">
        <v>298</v>
      </c>
      <c r="H48" s="40">
        <f t="shared" si="2"/>
        <v>298</v>
      </c>
      <c r="I48" s="44">
        <v>634</v>
      </c>
      <c r="J48" s="611">
        <f t="shared" si="3"/>
        <v>212.75167785234902</v>
      </c>
      <c r="K48" s="40">
        <v>0</v>
      </c>
      <c r="L48" s="40">
        <f t="shared" si="4"/>
        <v>298</v>
      </c>
      <c r="M48" s="44">
        <v>634</v>
      </c>
      <c r="N48" s="44">
        <f t="shared" si="5"/>
        <v>212.75167785234902</v>
      </c>
      <c r="O48" s="40">
        <v>1223</v>
      </c>
      <c r="P48" s="40">
        <f t="shared" si="6"/>
        <v>1521</v>
      </c>
    </row>
    <row r="49" spans="1:16">
      <c r="A49" s="45" t="s">
        <v>839</v>
      </c>
      <c r="B49" s="44">
        <v>0</v>
      </c>
      <c r="C49" s="44"/>
      <c r="D49" s="44"/>
      <c r="E49" s="44"/>
      <c r="F49" s="44"/>
      <c r="I49" s="44"/>
      <c r="L49" s="40">
        <v>0</v>
      </c>
      <c r="M49" s="44"/>
      <c r="N49" s="44"/>
      <c r="O49" s="40">
        <v>1027</v>
      </c>
      <c r="P49" s="40">
        <f t="shared" si="6"/>
        <v>1027</v>
      </c>
    </row>
    <row r="50" spans="1:16">
      <c r="A50" s="45" t="s">
        <v>561</v>
      </c>
      <c r="B50" s="44">
        <v>0</v>
      </c>
      <c r="C50" s="103"/>
      <c r="D50" s="103">
        <v>0</v>
      </c>
      <c r="E50" s="103">
        <v>230</v>
      </c>
      <c r="F50" s="103"/>
      <c r="G50" s="46">
        <v>416</v>
      </c>
      <c r="H50" s="40">
        <f t="shared" si="2"/>
        <v>416</v>
      </c>
      <c r="I50" s="103">
        <v>257</v>
      </c>
      <c r="J50" s="611">
        <f t="shared" si="3"/>
        <v>61.778846153846153</v>
      </c>
      <c r="K50" s="40">
        <v>0</v>
      </c>
      <c r="L50" s="40">
        <f t="shared" si="4"/>
        <v>416</v>
      </c>
      <c r="M50" s="44">
        <v>308</v>
      </c>
      <c r="N50" s="44">
        <f t="shared" si="5"/>
        <v>74.038461538461547</v>
      </c>
      <c r="O50" s="40">
        <v>413</v>
      </c>
      <c r="P50" s="40">
        <f t="shared" si="6"/>
        <v>829</v>
      </c>
    </row>
    <row r="51" spans="1:16" s="400" customFormat="1" ht="15">
      <c r="A51" s="398" t="s">
        <v>218</v>
      </c>
      <c r="B51" s="434">
        <f>SUM((B8:B10),SUM(B24:B33))</f>
        <v>223623</v>
      </c>
      <c r="C51" s="304">
        <v>0</v>
      </c>
      <c r="D51" s="304">
        <f t="shared" si="0"/>
        <v>223623</v>
      </c>
      <c r="E51" s="304" t="e">
        <f>E8+E9+E10+E24+E25+E26+E27+E28+E29+E30+E31+E32+E33+E34+E35+E36+#REF!+E38+E39+E40+E41+E42+E43+E50</f>
        <v>#REF!</v>
      </c>
      <c r="F51" s="304" t="e">
        <f t="shared" si="1"/>
        <v>#REF!</v>
      </c>
      <c r="G51" s="551">
        <v>503091</v>
      </c>
      <c r="H51" s="304">
        <f t="shared" si="2"/>
        <v>726714</v>
      </c>
      <c r="I51" s="436">
        <v>276212</v>
      </c>
      <c r="J51" s="614">
        <f t="shared" si="3"/>
        <v>38.008349914822062</v>
      </c>
      <c r="K51" s="304">
        <f>K8+K9+K10+K24+K25+K26+K27+K28+K29+K30+K31+K32+K33+K34+K35+K36+K37+K38+K39+K40+K41+K42+K43+K44+K45+K46+K47+K48+K50</f>
        <v>128864</v>
      </c>
      <c r="L51" s="304">
        <v>852203</v>
      </c>
      <c r="M51" s="304">
        <f>SUM(M8:M10)+SUM(M24:M50)</f>
        <v>657692</v>
      </c>
      <c r="N51" s="304">
        <f t="shared" si="5"/>
        <v>77.175508652281209</v>
      </c>
      <c r="O51" s="304">
        <f>O8+O9+O10+SUM(O24:O50)</f>
        <v>505376</v>
      </c>
      <c r="P51" s="304">
        <f t="shared" si="6"/>
        <v>1357579</v>
      </c>
    </row>
    <row r="52" spans="1:16">
      <c r="A52" s="45" t="s">
        <v>291</v>
      </c>
      <c r="B52" s="46">
        <v>30000</v>
      </c>
      <c r="C52" s="40">
        <v>0</v>
      </c>
      <c r="D52" s="40">
        <f t="shared" si="0"/>
        <v>30000</v>
      </c>
      <c r="E52" s="40">
        <v>250</v>
      </c>
      <c r="F52" s="40">
        <f t="shared" si="1"/>
        <v>0.83333333333333337</v>
      </c>
      <c r="G52" s="46">
        <v>-10</v>
      </c>
      <c r="H52" s="40">
        <f t="shared" si="2"/>
        <v>29990</v>
      </c>
      <c r="I52" s="616">
        <v>8969</v>
      </c>
      <c r="J52" s="611">
        <f t="shared" si="3"/>
        <v>29.906635545181725</v>
      </c>
      <c r="K52" s="40">
        <v>348</v>
      </c>
      <c r="L52" s="40">
        <f t="shared" si="4"/>
        <v>30338</v>
      </c>
      <c r="M52" s="44">
        <v>12334</v>
      </c>
      <c r="N52" s="44">
        <f t="shared" si="5"/>
        <v>40.655283802491923</v>
      </c>
      <c r="O52" s="40">
        <v>-2186</v>
      </c>
      <c r="P52" s="40">
        <f t="shared" si="6"/>
        <v>28152</v>
      </c>
    </row>
    <row r="53" spans="1:16">
      <c r="A53" s="45" t="s">
        <v>292</v>
      </c>
      <c r="B53" s="40">
        <v>450</v>
      </c>
      <c r="C53" s="40">
        <v>0</v>
      </c>
      <c r="D53" s="40">
        <f t="shared" si="0"/>
        <v>450</v>
      </c>
      <c r="E53" s="40">
        <v>0</v>
      </c>
      <c r="F53" s="40">
        <f t="shared" si="1"/>
        <v>0</v>
      </c>
      <c r="G53" s="46">
        <v>0</v>
      </c>
      <c r="H53" s="40">
        <f t="shared" si="2"/>
        <v>450</v>
      </c>
      <c r="I53" s="44">
        <v>450</v>
      </c>
      <c r="J53" s="611">
        <f t="shared" si="3"/>
        <v>100</v>
      </c>
      <c r="K53" s="40">
        <v>0</v>
      </c>
      <c r="L53" s="40">
        <f t="shared" si="4"/>
        <v>450</v>
      </c>
      <c r="M53" s="44">
        <v>450</v>
      </c>
      <c r="N53" s="44">
        <f t="shared" si="5"/>
        <v>100</v>
      </c>
      <c r="O53" s="40">
        <v>0</v>
      </c>
      <c r="P53" s="40">
        <f t="shared" si="6"/>
        <v>450</v>
      </c>
    </row>
    <row r="54" spans="1:16">
      <c r="A54" s="45" t="s">
        <v>293</v>
      </c>
      <c r="B54" s="40">
        <v>450</v>
      </c>
      <c r="C54" s="40">
        <v>0</v>
      </c>
      <c r="D54" s="40">
        <f t="shared" si="0"/>
        <v>450</v>
      </c>
      <c r="E54" s="40">
        <v>450</v>
      </c>
      <c r="F54" s="40">
        <f t="shared" si="1"/>
        <v>100</v>
      </c>
      <c r="G54" s="46">
        <v>0</v>
      </c>
      <c r="H54" s="40">
        <f t="shared" si="2"/>
        <v>450</v>
      </c>
      <c r="I54" s="44">
        <v>450</v>
      </c>
      <c r="J54" s="611">
        <f t="shared" si="3"/>
        <v>100</v>
      </c>
      <c r="K54" s="40">
        <v>200</v>
      </c>
      <c r="L54" s="40">
        <f t="shared" si="4"/>
        <v>650</v>
      </c>
      <c r="M54" s="44">
        <v>650</v>
      </c>
      <c r="N54" s="44">
        <f t="shared" si="5"/>
        <v>100</v>
      </c>
      <c r="O54" s="40">
        <v>0</v>
      </c>
      <c r="P54" s="40">
        <f t="shared" si="6"/>
        <v>650</v>
      </c>
    </row>
    <row r="55" spans="1:16">
      <c r="A55" s="45" t="s">
        <v>294</v>
      </c>
      <c r="B55" s="40">
        <v>76154</v>
      </c>
      <c r="C55" s="40">
        <v>0</v>
      </c>
      <c r="D55" s="40">
        <f t="shared" si="0"/>
        <v>76154</v>
      </c>
      <c r="E55" s="40">
        <v>10553</v>
      </c>
      <c r="F55" s="40">
        <f t="shared" si="1"/>
        <v>13.857446752632823</v>
      </c>
      <c r="G55" s="46">
        <v>8900</v>
      </c>
      <c r="H55" s="40">
        <f t="shared" si="2"/>
        <v>85054</v>
      </c>
      <c r="I55" s="44">
        <v>24091</v>
      </c>
      <c r="J55" s="611">
        <f t="shared" si="3"/>
        <v>28.324358642744606</v>
      </c>
      <c r="K55" s="40">
        <v>0</v>
      </c>
      <c r="L55" s="40">
        <f t="shared" si="4"/>
        <v>85054</v>
      </c>
      <c r="M55" s="44">
        <v>52635</v>
      </c>
      <c r="N55" s="44">
        <f t="shared" si="5"/>
        <v>61.884214734168886</v>
      </c>
      <c r="O55" s="40">
        <v>2172</v>
      </c>
      <c r="P55" s="40">
        <f t="shared" si="6"/>
        <v>87226</v>
      </c>
    </row>
    <row r="56" spans="1:16">
      <c r="A56" s="45" t="s">
        <v>370</v>
      </c>
      <c r="B56" s="40">
        <v>6320</v>
      </c>
      <c r="C56" s="40">
        <v>0</v>
      </c>
      <c r="D56" s="40">
        <f t="shared" si="0"/>
        <v>6320</v>
      </c>
      <c r="E56" s="40">
        <v>1580</v>
      </c>
      <c r="F56" s="40">
        <f t="shared" si="1"/>
        <v>25</v>
      </c>
      <c r="G56" s="46">
        <v>2489</v>
      </c>
      <c r="H56" s="40">
        <f t="shared" si="2"/>
        <v>8809</v>
      </c>
      <c r="I56" s="44">
        <v>3160</v>
      </c>
      <c r="J56" s="611">
        <f t="shared" si="3"/>
        <v>35.872403223975482</v>
      </c>
      <c r="K56" s="40">
        <v>-2498</v>
      </c>
      <c r="L56" s="40">
        <f t="shared" si="4"/>
        <v>6311</v>
      </c>
      <c r="M56" s="44">
        <v>4740</v>
      </c>
      <c r="N56" s="44">
        <f t="shared" si="5"/>
        <v>75.106956108382192</v>
      </c>
      <c r="O56" s="40">
        <v>9</v>
      </c>
      <c r="P56" s="40">
        <f t="shared" si="6"/>
        <v>6320</v>
      </c>
    </row>
    <row r="57" spans="1:16">
      <c r="A57" s="45" t="s">
        <v>510</v>
      </c>
      <c r="B57" s="40">
        <v>41000</v>
      </c>
      <c r="C57" s="40">
        <v>0</v>
      </c>
      <c r="D57" s="40">
        <f t="shared" si="0"/>
        <v>41000</v>
      </c>
      <c r="E57" s="40">
        <v>10250</v>
      </c>
      <c r="F57" s="40">
        <f t="shared" si="1"/>
        <v>25</v>
      </c>
      <c r="G57" s="46">
        <v>-2993</v>
      </c>
      <c r="H57" s="40">
        <f t="shared" si="2"/>
        <v>38007</v>
      </c>
      <c r="I57" s="44">
        <v>28943</v>
      </c>
      <c r="J57" s="611">
        <f t="shared" si="3"/>
        <v>76.151761517615185</v>
      </c>
      <c r="K57" s="40">
        <v>2498</v>
      </c>
      <c r="L57" s="40">
        <f t="shared" si="4"/>
        <v>40505</v>
      </c>
      <c r="M57" s="44">
        <v>34193</v>
      </c>
      <c r="N57" s="44">
        <f t="shared" si="5"/>
        <v>84.416738674237749</v>
      </c>
      <c r="O57" s="40">
        <f>-9+1609</f>
        <v>1600</v>
      </c>
      <c r="P57" s="40">
        <f t="shared" si="6"/>
        <v>42105</v>
      </c>
    </row>
    <row r="58" spans="1:16">
      <c r="A58" s="45" t="s">
        <v>295</v>
      </c>
      <c r="B58" s="40">
        <v>25000</v>
      </c>
      <c r="C58" s="40">
        <v>0</v>
      </c>
      <c r="D58" s="40">
        <f t="shared" si="0"/>
        <v>25000</v>
      </c>
      <c r="E58" s="40">
        <v>0</v>
      </c>
      <c r="F58" s="40">
        <f t="shared" si="1"/>
        <v>0</v>
      </c>
      <c r="G58" s="46">
        <v>0</v>
      </c>
      <c r="H58" s="40">
        <f t="shared" si="2"/>
        <v>25000</v>
      </c>
      <c r="I58" s="44">
        <v>0</v>
      </c>
      <c r="J58" s="611">
        <f t="shared" si="3"/>
        <v>0</v>
      </c>
      <c r="K58" s="40">
        <v>0</v>
      </c>
      <c r="L58" s="40">
        <f t="shared" si="4"/>
        <v>25000</v>
      </c>
      <c r="M58" s="44">
        <v>25000</v>
      </c>
      <c r="N58" s="44">
        <f t="shared" si="5"/>
        <v>100</v>
      </c>
      <c r="O58" s="40">
        <v>7000</v>
      </c>
      <c r="P58" s="40">
        <f t="shared" si="6"/>
        <v>32000</v>
      </c>
    </row>
    <row r="59" spans="1:16">
      <c r="A59" s="45" t="s">
        <v>296</v>
      </c>
      <c r="B59" s="40">
        <v>160</v>
      </c>
      <c r="C59" s="40">
        <v>0</v>
      </c>
      <c r="D59" s="40">
        <f t="shared" si="0"/>
        <v>160</v>
      </c>
      <c r="E59" s="40">
        <v>78</v>
      </c>
      <c r="F59" s="40">
        <f t="shared" si="1"/>
        <v>48.75</v>
      </c>
      <c r="G59" s="46">
        <v>0</v>
      </c>
      <c r="H59" s="40">
        <f t="shared" si="2"/>
        <v>160</v>
      </c>
      <c r="I59" s="44">
        <v>133</v>
      </c>
      <c r="J59" s="611">
        <f t="shared" si="3"/>
        <v>83.125</v>
      </c>
      <c r="K59" s="40">
        <v>0</v>
      </c>
      <c r="L59" s="40">
        <f t="shared" si="4"/>
        <v>160</v>
      </c>
      <c r="M59" s="44">
        <v>188</v>
      </c>
      <c r="N59" s="44">
        <f t="shared" si="5"/>
        <v>117.5</v>
      </c>
      <c r="O59" s="40">
        <v>0</v>
      </c>
      <c r="P59" s="40">
        <f t="shared" si="6"/>
        <v>160</v>
      </c>
    </row>
    <row r="60" spans="1:16">
      <c r="A60" s="45" t="s">
        <v>297</v>
      </c>
      <c r="B60" s="46">
        <v>545</v>
      </c>
      <c r="C60" s="40">
        <v>0</v>
      </c>
      <c r="D60" s="40">
        <f t="shared" si="0"/>
        <v>545</v>
      </c>
      <c r="E60" s="40">
        <v>0</v>
      </c>
      <c r="F60" s="40">
        <f t="shared" si="1"/>
        <v>0</v>
      </c>
      <c r="G60" s="46">
        <v>0</v>
      </c>
      <c r="H60" s="40">
        <f t="shared" si="2"/>
        <v>545</v>
      </c>
      <c r="I60" s="44">
        <v>344</v>
      </c>
      <c r="J60" s="611">
        <f t="shared" si="3"/>
        <v>63.119266055045877</v>
      </c>
      <c r="K60" s="40">
        <v>0</v>
      </c>
      <c r="L60" s="40">
        <f t="shared" si="4"/>
        <v>545</v>
      </c>
      <c r="M60" s="44">
        <v>344</v>
      </c>
      <c r="N60" s="44">
        <f t="shared" si="5"/>
        <v>63.119266055045877</v>
      </c>
      <c r="O60" s="40">
        <v>0</v>
      </c>
      <c r="P60" s="40">
        <f t="shared" si="6"/>
        <v>545</v>
      </c>
    </row>
    <row r="61" spans="1:16">
      <c r="A61" s="45" t="s">
        <v>447</v>
      </c>
      <c r="B61" s="46">
        <v>344</v>
      </c>
      <c r="C61" s="40">
        <v>0</v>
      </c>
      <c r="D61" s="40">
        <f t="shared" si="0"/>
        <v>344</v>
      </c>
      <c r="E61" s="40">
        <v>344</v>
      </c>
      <c r="F61" s="40">
        <f t="shared" si="1"/>
        <v>100</v>
      </c>
      <c r="G61" s="46">
        <v>0</v>
      </c>
      <c r="H61" s="40">
        <f t="shared" si="2"/>
        <v>344</v>
      </c>
      <c r="I61" s="44">
        <v>0</v>
      </c>
      <c r="J61" s="611">
        <f t="shared" si="3"/>
        <v>0</v>
      </c>
      <c r="K61" s="40">
        <v>0</v>
      </c>
      <c r="L61" s="40">
        <f t="shared" si="4"/>
        <v>344</v>
      </c>
      <c r="M61" s="44">
        <v>0</v>
      </c>
      <c r="N61" s="44">
        <f t="shared" si="5"/>
        <v>0</v>
      </c>
      <c r="O61" s="40">
        <v>0</v>
      </c>
      <c r="P61" s="40">
        <f t="shared" si="6"/>
        <v>344</v>
      </c>
    </row>
    <row r="62" spans="1:16">
      <c r="A62" s="45" t="s">
        <v>314</v>
      </c>
      <c r="B62" s="46">
        <v>425</v>
      </c>
      <c r="C62" s="40">
        <v>0</v>
      </c>
      <c r="D62" s="40">
        <f t="shared" si="0"/>
        <v>425</v>
      </c>
      <c r="E62" s="40">
        <v>0</v>
      </c>
      <c r="F62" s="40">
        <f t="shared" si="1"/>
        <v>0</v>
      </c>
      <c r="G62" s="46">
        <v>165</v>
      </c>
      <c r="H62" s="40">
        <f t="shared" si="2"/>
        <v>590</v>
      </c>
      <c r="I62" s="44">
        <v>190</v>
      </c>
      <c r="J62" s="611">
        <f t="shared" si="3"/>
        <v>32.20338983050847</v>
      </c>
      <c r="K62" s="40">
        <v>0</v>
      </c>
      <c r="L62" s="40">
        <f t="shared" si="4"/>
        <v>590</v>
      </c>
      <c r="M62" s="44">
        <v>290</v>
      </c>
      <c r="N62" s="44">
        <f t="shared" si="5"/>
        <v>49.152542372881356</v>
      </c>
      <c r="O62" s="40">
        <v>0</v>
      </c>
      <c r="P62" s="40">
        <f t="shared" si="6"/>
        <v>590</v>
      </c>
    </row>
    <row r="63" spans="1:16">
      <c r="A63" s="45" t="s">
        <v>315</v>
      </c>
      <c r="B63" s="40">
        <v>1615</v>
      </c>
      <c r="C63" s="40">
        <v>0</v>
      </c>
      <c r="D63" s="40">
        <f t="shared" si="0"/>
        <v>1615</v>
      </c>
      <c r="E63" s="40">
        <v>0</v>
      </c>
      <c r="F63" s="40">
        <f t="shared" si="1"/>
        <v>0</v>
      </c>
      <c r="G63" s="46">
        <v>4457</v>
      </c>
      <c r="H63" s="40">
        <f t="shared" si="2"/>
        <v>6072</v>
      </c>
      <c r="I63" s="44">
        <v>0</v>
      </c>
      <c r="J63" s="611">
        <f t="shared" si="3"/>
        <v>0</v>
      </c>
      <c r="K63" s="40">
        <v>-93</v>
      </c>
      <c r="L63" s="40">
        <f t="shared" si="4"/>
        <v>5979</v>
      </c>
      <c r="M63" s="44">
        <v>0</v>
      </c>
      <c r="N63" s="44">
        <f t="shared" si="5"/>
        <v>0</v>
      </c>
      <c r="O63" s="40">
        <v>-440</v>
      </c>
      <c r="P63" s="40">
        <f t="shared" si="6"/>
        <v>5539</v>
      </c>
    </row>
    <row r="64" spans="1:16">
      <c r="A64" s="45" t="s">
        <v>298</v>
      </c>
      <c r="B64" s="40">
        <v>3755</v>
      </c>
      <c r="C64" s="40">
        <v>0</v>
      </c>
      <c r="D64" s="40">
        <f t="shared" si="0"/>
        <v>3755</v>
      </c>
      <c r="E64" s="40">
        <v>939</v>
      </c>
      <c r="F64" s="40">
        <f t="shared" si="1"/>
        <v>25.00665778961385</v>
      </c>
      <c r="G64" s="46">
        <v>0</v>
      </c>
      <c r="H64" s="40">
        <f t="shared" si="2"/>
        <v>3755</v>
      </c>
      <c r="I64" s="44">
        <v>1878</v>
      </c>
      <c r="J64" s="611">
        <f t="shared" si="3"/>
        <v>50.013315579227701</v>
      </c>
      <c r="K64" s="40">
        <v>0</v>
      </c>
      <c r="L64" s="40">
        <f t="shared" si="4"/>
        <v>3755</v>
      </c>
      <c r="M64" s="44">
        <v>2816</v>
      </c>
      <c r="N64" s="44">
        <f t="shared" si="5"/>
        <v>74.993342210386146</v>
      </c>
      <c r="O64" s="40">
        <v>0</v>
      </c>
      <c r="P64" s="40">
        <f t="shared" si="6"/>
        <v>3755</v>
      </c>
    </row>
    <row r="65" spans="1:16">
      <c r="A65" s="45" t="s">
        <v>299</v>
      </c>
      <c r="B65" s="40">
        <v>3264</v>
      </c>
      <c r="C65" s="103">
        <v>0</v>
      </c>
      <c r="D65" s="44">
        <f t="shared" si="0"/>
        <v>3264</v>
      </c>
      <c r="E65" s="44">
        <v>1857</v>
      </c>
      <c r="F65" s="44">
        <f t="shared" si="1"/>
        <v>56.893382352941181</v>
      </c>
      <c r="G65" s="46">
        <v>4035</v>
      </c>
      <c r="H65" s="40">
        <f t="shared" si="2"/>
        <v>7299</v>
      </c>
      <c r="I65" s="44">
        <f>2673+493</f>
        <v>3166</v>
      </c>
      <c r="J65" s="611">
        <f t="shared" si="3"/>
        <v>43.375804904781475</v>
      </c>
      <c r="K65" s="40">
        <v>0</v>
      </c>
      <c r="L65" s="40">
        <f t="shared" si="4"/>
        <v>7299</v>
      </c>
      <c r="M65" s="44">
        <v>6483</v>
      </c>
      <c r="N65" s="44">
        <f t="shared" si="5"/>
        <v>88.82038635429511</v>
      </c>
      <c r="O65" s="40">
        <v>0</v>
      </c>
      <c r="P65" s="40">
        <f t="shared" si="6"/>
        <v>7299</v>
      </c>
    </row>
    <row r="66" spans="1:16">
      <c r="A66" s="45" t="s">
        <v>562</v>
      </c>
      <c r="B66" s="40">
        <v>0</v>
      </c>
      <c r="C66" s="103"/>
      <c r="D66" s="44">
        <v>0</v>
      </c>
      <c r="E66" s="103">
        <v>5500</v>
      </c>
      <c r="F66" s="103">
        <v>0</v>
      </c>
      <c r="G66" s="46">
        <v>5500</v>
      </c>
      <c r="H66" s="40">
        <f t="shared" si="2"/>
        <v>5500</v>
      </c>
      <c r="I66" s="44">
        <v>5500</v>
      </c>
      <c r="J66" s="611">
        <f t="shared" si="3"/>
        <v>100</v>
      </c>
      <c r="K66" s="40">
        <v>0</v>
      </c>
      <c r="L66" s="40">
        <f t="shared" si="4"/>
        <v>5500</v>
      </c>
      <c r="M66" s="44">
        <v>5500</v>
      </c>
      <c r="N66" s="44">
        <f t="shared" si="5"/>
        <v>100</v>
      </c>
      <c r="O66" s="40">
        <v>0</v>
      </c>
      <c r="P66" s="40">
        <f t="shared" si="6"/>
        <v>5500</v>
      </c>
    </row>
    <row r="67" spans="1:16">
      <c r="A67" s="45" t="s">
        <v>629</v>
      </c>
      <c r="B67" s="40">
        <v>0</v>
      </c>
      <c r="C67" s="103"/>
      <c r="D67" s="44">
        <v>0</v>
      </c>
      <c r="E67" s="103"/>
      <c r="F67" s="103"/>
      <c r="G67" s="46">
        <v>30</v>
      </c>
      <c r="H67" s="40">
        <f t="shared" si="2"/>
        <v>30</v>
      </c>
      <c r="I67" s="44">
        <v>0</v>
      </c>
      <c r="J67" s="611">
        <f t="shared" si="3"/>
        <v>0</v>
      </c>
      <c r="K67" s="40">
        <v>0</v>
      </c>
      <c r="L67" s="40">
        <f t="shared" si="4"/>
        <v>30</v>
      </c>
      <c r="M67" s="44">
        <v>0</v>
      </c>
      <c r="N67" s="44">
        <f t="shared" si="5"/>
        <v>0</v>
      </c>
      <c r="O67" s="40">
        <v>0</v>
      </c>
      <c r="P67" s="40">
        <f t="shared" si="6"/>
        <v>30</v>
      </c>
    </row>
    <row r="68" spans="1:16">
      <c r="A68" s="45" t="s">
        <v>630</v>
      </c>
      <c r="B68" s="40">
        <v>0</v>
      </c>
      <c r="C68" s="103"/>
      <c r="D68" s="103">
        <v>0</v>
      </c>
      <c r="E68" s="103"/>
      <c r="F68" s="103"/>
      <c r="G68" s="46">
        <v>1069</v>
      </c>
      <c r="H68" s="40">
        <f t="shared" si="2"/>
        <v>1069</v>
      </c>
      <c r="I68" s="44">
        <v>80</v>
      </c>
      <c r="J68" s="611">
        <f t="shared" si="3"/>
        <v>7.4836295603367633</v>
      </c>
      <c r="K68" s="40">
        <v>0</v>
      </c>
      <c r="L68" s="40">
        <f t="shared" si="4"/>
        <v>1069</v>
      </c>
      <c r="M68" s="44">
        <v>80</v>
      </c>
      <c r="N68" s="44">
        <f t="shared" si="5"/>
        <v>7.4836295603367633</v>
      </c>
      <c r="O68" s="40">
        <v>0</v>
      </c>
      <c r="P68" s="40">
        <f t="shared" si="6"/>
        <v>1069</v>
      </c>
    </row>
    <row r="69" spans="1:16">
      <c r="A69" s="45" t="s">
        <v>724</v>
      </c>
      <c r="B69" s="40">
        <v>0</v>
      </c>
      <c r="C69" s="103"/>
      <c r="D69" s="103"/>
      <c r="E69" s="103"/>
      <c r="F69" s="103"/>
      <c r="H69" s="40">
        <v>0</v>
      </c>
      <c r="I69" s="44">
        <v>10</v>
      </c>
      <c r="J69" s="611">
        <v>0</v>
      </c>
      <c r="K69" s="40">
        <v>10</v>
      </c>
      <c r="L69" s="40">
        <f t="shared" si="4"/>
        <v>10</v>
      </c>
      <c r="M69" s="44">
        <v>10</v>
      </c>
      <c r="N69" s="44">
        <f t="shared" si="5"/>
        <v>100</v>
      </c>
      <c r="O69" s="40">
        <v>0</v>
      </c>
      <c r="P69" s="40">
        <f t="shared" si="6"/>
        <v>10</v>
      </c>
    </row>
    <row r="70" spans="1:16">
      <c r="A70" s="45" t="s">
        <v>725</v>
      </c>
      <c r="B70" s="40">
        <v>0</v>
      </c>
      <c r="C70" s="103"/>
      <c r="D70" s="103"/>
      <c r="E70" s="103"/>
      <c r="F70" s="103"/>
      <c r="H70" s="40">
        <v>0</v>
      </c>
      <c r="I70" s="44">
        <v>30</v>
      </c>
      <c r="J70" s="611">
        <v>0</v>
      </c>
      <c r="K70" s="40">
        <v>30</v>
      </c>
      <c r="L70" s="40">
        <f t="shared" si="4"/>
        <v>30</v>
      </c>
      <c r="M70" s="44">
        <v>30</v>
      </c>
      <c r="N70" s="44">
        <f t="shared" si="5"/>
        <v>100</v>
      </c>
      <c r="O70" s="40">
        <v>0</v>
      </c>
      <c r="P70" s="40">
        <f t="shared" si="6"/>
        <v>30</v>
      </c>
    </row>
    <row r="71" spans="1:16">
      <c r="A71" s="45" t="s">
        <v>726</v>
      </c>
      <c r="B71" s="40">
        <v>0</v>
      </c>
      <c r="C71" s="103"/>
      <c r="D71" s="103"/>
      <c r="E71" s="103"/>
      <c r="F71" s="103"/>
      <c r="H71" s="40">
        <v>0</v>
      </c>
      <c r="I71" s="103">
        <v>9</v>
      </c>
      <c r="J71" s="611">
        <v>0</v>
      </c>
      <c r="K71" s="40">
        <v>9</v>
      </c>
      <c r="L71" s="40">
        <f t="shared" si="4"/>
        <v>9</v>
      </c>
      <c r="M71" s="44">
        <v>26</v>
      </c>
      <c r="N71" s="44">
        <f t="shared" si="5"/>
        <v>288.88888888888886</v>
      </c>
      <c r="O71" s="40">
        <v>0</v>
      </c>
      <c r="P71" s="40">
        <f t="shared" si="6"/>
        <v>9</v>
      </c>
    </row>
    <row r="72" spans="1:16">
      <c r="A72" s="45" t="s">
        <v>740</v>
      </c>
      <c r="B72" s="40">
        <v>0</v>
      </c>
      <c r="C72" s="103"/>
      <c r="D72" s="103"/>
      <c r="E72" s="103"/>
      <c r="F72" s="103"/>
      <c r="H72" s="40">
        <v>0</v>
      </c>
      <c r="I72" s="44"/>
      <c r="K72" s="40">
        <v>200</v>
      </c>
      <c r="L72" s="40">
        <f t="shared" si="4"/>
        <v>200</v>
      </c>
      <c r="M72" s="44">
        <v>200</v>
      </c>
      <c r="N72" s="44">
        <f t="shared" si="5"/>
        <v>100</v>
      </c>
      <c r="O72" s="40">
        <v>0</v>
      </c>
      <c r="P72" s="40">
        <f t="shared" si="6"/>
        <v>200</v>
      </c>
    </row>
    <row r="73" spans="1:16">
      <c r="A73" s="45" t="s">
        <v>741</v>
      </c>
      <c r="B73" s="40">
        <v>0</v>
      </c>
      <c r="C73" s="103"/>
      <c r="D73" s="103"/>
      <c r="E73" s="103"/>
      <c r="F73" s="103"/>
      <c r="H73" s="40">
        <v>0</v>
      </c>
      <c r="I73" s="44"/>
      <c r="K73" s="40">
        <v>190</v>
      </c>
      <c r="L73" s="40">
        <f t="shared" si="4"/>
        <v>190</v>
      </c>
      <c r="M73" s="44">
        <v>184</v>
      </c>
      <c r="N73" s="44">
        <f t="shared" si="5"/>
        <v>96.84210526315789</v>
      </c>
      <c r="O73" s="40">
        <v>0</v>
      </c>
      <c r="P73" s="40">
        <f t="shared" si="6"/>
        <v>190</v>
      </c>
    </row>
    <row r="74" spans="1:16">
      <c r="A74" s="45" t="s">
        <v>742</v>
      </c>
      <c r="B74" s="40">
        <v>0</v>
      </c>
      <c r="C74" s="103"/>
      <c r="D74" s="103"/>
      <c r="E74" s="103"/>
      <c r="F74" s="103"/>
      <c r="H74" s="40">
        <v>0</v>
      </c>
      <c r="I74" s="44"/>
      <c r="K74" s="40">
        <v>200</v>
      </c>
      <c r="L74" s="40">
        <f t="shared" ref="L74:L107" si="7">H74+K74</f>
        <v>200</v>
      </c>
      <c r="M74" s="44">
        <v>200</v>
      </c>
      <c r="N74" s="44">
        <f t="shared" si="5"/>
        <v>100</v>
      </c>
      <c r="O74" s="40">
        <v>0</v>
      </c>
      <c r="P74" s="40">
        <f t="shared" si="6"/>
        <v>200</v>
      </c>
    </row>
    <row r="75" spans="1:16">
      <c r="A75" s="45" t="s">
        <v>840</v>
      </c>
      <c r="B75" s="40">
        <v>0</v>
      </c>
      <c r="C75" s="103"/>
      <c r="D75" s="103"/>
      <c r="E75" s="103"/>
      <c r="F75" s="103"/>
      <c r="I75" s="44"/>
      <c r="L75" s="40">
        <v>0</v>
      </c>
      <c r="M75" s="44"/>
      <c r="N75" s="44"/>
      <c r="O75" s="40">
        <v>2000</v>
      </c>
      <c r="P75" s="40">
        <f t="shared" si="6"/>
        <v>2000</v>
      </c>
    </row>
    <row r="76" spans="1:16">
      <c r="A76" s="45" t="s">
        <v>841</v>
      </c>
      <c r="B76" s="40">
        <v>0</v>
      </c>
      <c r="C76" s="103"/>
      <c r="D76" s="103"/>
      <c r="E76" s="103"/>
      <c r="F76" s="103"/>
      <c r="I76" s="44"/>
      <c r="L76" s="40">
        <v>0</v>
      </c>
      <c r="M76" s="44"/>
      <c r="N76" s="44"/>
      <c r="O76" s="40">
        <v>100</v>
      </c>
      <c r="P76" s="40">
        <f t="shared" si="6"/>
        <v>100</v>
      </c>
    </row>
    <row r="77" spans="1:16" s="400" customFormat="1" ht="15">
      <c r="A77" s="398" t="s">
        <v>223</v>
      </c>
      <c r="B77" s="434">
        <f>SUM(B52:B76)</f>
        <v>189482</v>
      </c>
      <c r="C77" s="304">
        <v>0</v>
      </c>
      <c r="D77" s="304">
        <f t="shared" si="0"/>
        <v>189482</v>
      </c>
      <c r="E77" s="304">
        <f>SUM(E52:E66)</f>
        <v>31801</v>
      </c>
      <c r="F77" s="304">
        <f t="shared" si="1"/>
        <v>16.783124518423914</v>
      </c>
      <c r="G77" s="551">
        <f>SUM(G52:G68)</f>
        <v>23642</v>
      </c>
      <c r="H77" s="304">
        <f t="shared" si="2"/>
        <v>213124</v>
      </c>
      <c r="I77" s="436">
        <f>SUM(I52:I71)</f>
        <v>77403</v>
      </c>
      <c r="J77" s="614">
        <f t="shared" si="3"/>
        <v>36.318293575571033</v>
      </c>
      <c r="K77" s="304">
        <f>SUM(K52:K74)</f>
        <v>1094</v>
      </c>
      <c r="L77" s="304">
        <f t="shared" si="7"/>
        <v>214218</v>
      </c>
      <c r="M77" s="304">
        <f>SUM(M52:M74)</f>
        <v>146353</v>
      </c>
      <c r="N77" s="304">
        <f t="shared" si="5"/>
        <v>68.319655677860865</v>
      </c>
      <c r="O77" s="304">
        <f>SUM(O52:O76)</f>
        <v>10255</v>
      </c>
      <c r="P77" s="304">
        <f t="shared" si="6"/>
        <v>224473</v>
      </c>
    </row>
    <row r="78" spans="1:16">
      <c r="A78" s="47" t="s">
        <v>300</v>
      </c>
      <c r="B78" s="40">
        <v>9998</v>
      </c>
      <c r="C78" s="40">
        <v>0</v>
      </c>
      <c r="D78" s="40">
        <f t="shared" si="0"/>
        <v>9998</v>
      </c>
      <c r="E78" s="40">
        <v>0</v>
      </c>
      <c r="F78" s="40">
        <f t="shared" si="1"/>
        <v>0</v>
      </c>
      <c r="G78" s="46">
        <v>0</v>
      </c>
      <c r="H78" s="40">
        <f t="shared" si="2"/>
        <v>9998</v>
      </c>
      <c r="I78" s="616">
        <v>10607</v>
      </c>
      <c r="J78" s="611">
        <f t="shared" si="3"/>
        <v>106.09121824364874</v>
      </c>
      <c r="K78" s="40">
        <v>179</v>
      </c>
      <c r="L78" s="40">
        <f t="shared" si="7"/>
        <v>10177</v>
      </c>
      <c r="M78" s="44">
        <v>7472</v>
      </c>
      <c r="N78" s="44">
        <f t="shared" ref="N78:N109" si="8">SUM(M78/L78)*100</f>
        <v>73.420457895254003</v>
      </c>
      <c r="O78" s="40">
        <v>0</v>
      </c>
      <c r="P78" s="40">
        <f t="shared" ref="P78:P109" si="9">L78+O78</f>
        <v>10177</v>
      </c>
    </row>
    <row r="79" spans="1:16">
      <c r="A79" s="45" t="s">
        <v>301</v>
      </c>
      <c r="B79" s="40">
        <v>1360</v>
      </c>
      <c r="C79" s="40">
        <v>0</v>
      </c>
      <c r="D79" s="40">
        <f t="shared" si="0"/>
        <v>1360</v>
      </c>
      <c r="E79" s="40">
        <v>0</v>
      </c>
      <c r="F79" s="40">
        <f t="shared" si="1"/>
        <v>0</v>
      </c>
      <c r="G79" s="46">
        <v>0</v>
      </c>
      <c r="H79" s="40">
        <f t="shared" si="2"/>
        <v>1360</v>
      </c>
      <c r="I79" s="44">
        <v>252</v>
      </c>
      <c r="J79" s="611">
        <f t="shared" ref="J79:J109" si="10">SUM(I79/H79)*100</f>
        <v>18.529411764705884</v>
      </c>
      <c r="K79" s="40">
        <v>0</v>
      </c>
      <c r="L79" s="40">
        <f t="shared" si="7"/>
        <v>1360</v>
      </c>
      <c r="M79" s="44">
        <v>613</v>
      </c>
      <c r="N79" s="44">
        <f t="shared" si="8"/>
        <v>45.07352941176471</v>
      </c>
      <c r="O79" s="40">
        <v>0</v>
      </c>
      <c r="P79" s="40">
        <f t="shared" si="9"/>
        <v>1360</v>
      </c>
    </row>
    <row r="80" spans="1:16">
      <c r="A80" s="45" t="s">
        <v>302</v>
      </c>
      <c r="B80" s="40">
        <v>112</v>
      </c>
      <c r="C80" s="40">
        <v>0</v>
      </c>
      <c r="D80" s="40">
        <f t="shared" si="0"/>
        <v>112</v>
      </c>
      <c r="E80" s="40">
        <v>0</v>
      </c>
      <c r="F80" s="40">
        <f t="shared" si="1"/>
        <v>0</v>
      </c>
      <c r="G80" s="46">
        <v>0</v>
      </c>
      <c r="H80" s="40">
        <f t="shared" si="2"/>
        <v>112</v>
      </c>
      <c r="I80" s="44">
        <v>0</v>
      </c>
      <c r="J80" s="611">
        <f t="shared" si="10"/>
        <v>0</v>
      </c>
      <c r="K80" s="40">
        <v>0</v>
      </c>
      <c r="L80" s="40">
        <f t="shared" si="7"/>
        <v>112</v>
      </c>
      <c r="M80" s="44">
        <v>0</v>
      </c>
      <c r="N80" s="44">
        <f t="shared" si="8"/>
        <v>0</v>
      </c>
      <c r="O80" s="40">
        <v>0</v>
      </c>
      <c r="P80" s="40">
        <f t="shared" si="9"/>
        <v>112</v>
      </c>
    </row>
    <row r="81" spans="1:16">
      <c r="A81" s="45" t="s">
        <v>303</v>
      </c>
      <c r="B81" s="40">
        <v>2039</v>
      </c>
      <c r="C81" s="40">
        <v>0</v>
      </c>
      <c r="D81" s="40">
        <f t="shared" si="0"/>
        <v>2039</v>
      </c>
      <c r="E81" s="40">
        <v>0</v>
      </c>
      <c r="F81" s="40">
        <f t="shared" si="1"/>
        <v>0</v>
      </c>
      <c r="G81" s="46">
        <v>0</v>
      </c>
      <c r="H81" s="40">
        <f t="shared" si="2"/>
        <v>2039</v>
      </c>
      <c r="I81" s="44">
        <v>517</v>
      </c>
      <c r="J81" s="611">
        <f t="shared" si="10"/>
        <v>25.355566454144192</v>
      </c>
      <c r="K81" s="40">
        <v>0</v>
      </c>
      <c r="L81" s="40">
        <f t="shared" si="7"/>
        <v>2039</v>
      </c>
      <c r="M81" s="44">
        <v>1064</v>
      </c>
      <c r="N81" s="44">
        <f t="shared" si="8"/>
        <v>52.182442373712604</v>
      </c>
      <c r="O81" s="40">
        <v>0</v>
      </c>
      <c r="P81" s="40">
        <f t="shared" si="9"/>
        <v>2039</v>
      </c>
    </row>
    <row r="82" spans="1:16">
      <c r="A82" s="45" t="s">
        <v>304</v>
      </c>
      <c r="B82" s="40">
        <v>959</v>
      </c>
      <c r="C82" s="40">
        <v>0</v>
      </c>
      <c r="D82" s="40">
        <f t="shared" si="0"/>
        <v>959</v>
      </c>
      <c r="E82" s="40">
        <v>0</v>
      </c>
      <c r="F82" s="40">
        <f t="shared" si="1"/>
        <v>0</v>
      </c>
      <c r="G82" s="46">
        <v>0</v>
      </c>
      <c r="H82" s="40">
        <f t="shared" si="2"/>
        <v>959</v>
      </c>
      <c r="I82" s="44">
        <v>179</v>
      </c>
      <c r="J82" s="611">
        <f t="shared" si="10"/>
        <v>18.665276329509904</v>
      </c>
      <c r="K82" s="40">
        <v>0</v>
      </c>
      <c r="L82" s="40">
        <f t="shared" si="7"/>
        <v>959</v>
      </c>
      <c r="M82" s="44">
        <v>40</v>
      </c>
      <c r="N82" s="44">
        <f t="shared" si="8"/>
        <v>4.1710114702815426</v>
      </c>
      <c r="O82" s="40">
        <v>0</v>
      </c>
      <c r="P82" s="40">
        <f t="shared" si="9"/>
        <v>959</v>
      </c>
    </row>
    <row r="83" spans="1:16">
      <c r="A83" s="45" t="s">
        <v>305</v>
      </c>
      <c r="B83" s="40">
        <v>21820</v>
      </c>
      <c r="C83" s="40">
        <v>0</v>
      </c>
      <c r="D83" s="40">
        <f t="shared" si="0"/>
        <v>21820</v>
      </c>
      <c r="E83" s="40">
        <v>0</v>
      </c>
      <c r="F83" s="40">
        <f t="shared" si="1"/>
        <v>0</v>
      </c>
      <c r="G83" s="46">
        <v>0</v>
      </c>
      <c r="H83" s="40">
        <f t="shared" si="2"/>
        <v>21820</v>
      </c>
      <c r="I83" s="44">
        <v>7436</v>
      </c>
      <c r="J83" s="611">
        <f t="shared" si="10"/>
        <v>34.0788267644363</v>
      </c>
      <c r="K83" s="40">
        <v>128240</v>
      </c>
      <c r="L83" s="40">
        <f t="shared" si="7"/>
        <v>150060</v>
      </c>
      <c r="M83" s="44">
        <v>68874</v>
      </c>
      <c r="N83" s="44">
        <f t="shared" si="8"/>
        <v>45.897640943622555</v>
      </c>
      <c r="O83" s="40">
        <v>-13290</v>
      </c>
      <c r="P83" s="40">
        <f t="shared" si="9"/>
        <v>136770</v>
      </c>
    </row>
    <row r="84" spans="1:16">
      <c r="A84" s="45" t="s">
        <v>306</v>
      </c>
      <c r="B84" s="40">
        <v>2896</v>
      </c>
      <c r="C84" s="40">
        <v>0</v>
      </c>
      <c r="D84" s="40">
        <f t="shared" si="0"/>
        <v>2896</v>
      </c>
      <c r="E84" s="40">
        <v>0</v>
      </c>
      <c r="F84" s="40">
        <f t="shared" si="1"/>
        <v>0</v>
      </c>
      <c r="G84" s="46">
        <v>0</v>
      </c>
      <c r="H84" s="40">
        <f t="shared" si="2"/>
        <v>2896</v>
      </c>
      <c r="I84" s="44">
        <v>0</v>
      </c>
      <c r="J84" s="611">
        <f t="shared" si="10"/>
        <v>0</v>
      </c>
      <c r="K84" s="40">
        <v>0</v>
      </c>
      <c r="L84" s="40">
        <f t="shared" si="7"/>
        <v>2896</v>
      </c>
      <c r="M84" s="44">
        <v>0</v>
      </c>
      <c r="N84" s="44">
        <f t="shared" si="8"/>
        <v>0</v>
      </c>
      <c r="O84" s="40">
        <v>0</v>
      </c>
      <c r="P84" s="40">
        <f t="shared" si="9"/>
        <v>2896</v>
      </c>
    </row>
    <row r="85" spans="1:16">
      <c r="A85" s="45" t="s">
        <v>448</v>
      </c>
      <c r="B85" s="40">
        <v>1253</v>
      </c>
      <c r="C85" s="40">
        <v>0</v>
      </c>
      <c r="D85" s="40">
        <f t="shared" si="0"/>
        <v>1253</v>
      </c>
      <c r="E85" s="40">
        <v>0</v>
      </c>
      <c r="F85" s="40">
        <f t="shared" si="1"/>
        <v>0</v>
      </c>
      <c r="G85" s="46">
        <v>0</v>
      </c>
      <c r="H85" s="40">
        <f t="shared" si="2"/>
        <v>1253</v>
      </c>
      <c r="I85" s="44">
        <v>0</v>
      </c>
      <c r="J85" s="611">
        <f t="shared" si="10"/>
        <v>0</v>
      </c>
      <c r="K85" s="40">
        <v>0</v>
      </c>
      <c r="L85" s="40">
        <f t="shared" si="7"/>
        <v>1253</v>
      </c>
      <c r="M85" s="44">
        <v>0</v>
      </c>
      <c r="N85" s="44">
        <f t="shared" si="8"/>
        <v>0</v>
      </c>
      <c r="O85" s="40">
        <v>0</v>
      </c>
      <c r="P85" s="40">
        <f t="shared" si="9"/>
        <v>1253</v>
      </c>
    </row>
    <row r="86" spans="1:16">
      <c r="A86" s="45" t="s">
        <v>842</v>
      </c>
      <c r="B86" s="40">
        <v>0</v>
      </c>
      <c r="I86" s="44"/>
      <c r="L86" s="40">
        <v>0</v>
      </c>
      <c r="M86" s="44">
        <v>185</v>
      </c>
      <c r="N86" s="44">
        <v>0</v>
      </c>
      <c r="O86" s="40">
        <v>1326</v>
      </c>
      <c r="P86" s="40">
        <f t="shared" si="9"/>
        <v>1326</v>
      </c>
    </row>
    <row r="87" spans="1:16">
      <c r="A87" s="45" t="s">
        <v>307</v>
      </c>
      <c r="B87" s="40">
        <v>3174</v>
      </c>
      <c r="C87" s="40">
        <v>0</v>
      </c>
      <c r="D87" s="40">
        <f t="shared" si="0"/>
        <v>3174</v>
      </c>
      <c r="E87" s="40">
        <v>657</v>
      </c>
      <c r="F87" s="40">
        <f t="shared" si="1"/>
        <v>20.699432892249529</v>
      </c>
      <c r="G87" s="46">
        <v>16</v>
      </c>
      <c r="H87" s="40">
        <f t="shared" si="2"/>
        <v>3190</v>
      </c>
      <c r="I87" s="44">
        <v>1806</v>
      </c>
      <c r="J87" s="611">
        <f t="shared" si="10"/>
        <v>56.614420062695928</v>
      </c>
      <c r="K87" s="40">
        <v>200</v>
      </c>
      <c r="L87" s="40">
        <f t="shared" si="7"/>
        <v>3390</v>
      </c>
      <c r="M87" s="44">
        <v>2473</v>
      </c>
      <c r="N87" s="44">
        <f t="shared" si="8"/>
        <v>72.949852507374629</v>
      </c>
      <c r="O87" s="40">
        <v>0</v>
      </c>
      <c r="P87" s="40">
        <f t="shared" si="9"/>
        <v>3390</v>
      </c>
    </row>
    <row r="88" spans="1:16">
      <c r="A88" s="45" t="s">
        <v>308</v>
      </c>
      <c r="B88" s="40">
        <v>1400</v>
      </c>
      <c r="C88" s="40">
        <v>0</v>
      </c>
      <c r="D88" s="40">
        <f t="shared" si="0"/>
        <v>1400</v>
      </c>
      <c r="E88" s="40">
        <v>0</v>
      </c>
      <c r="F88" s="40">
        <f t="shared" si="1"/>
        <v>0</v>
      </c>
      <c r="G88" s="46">
        <v>0</v>
      </c>
      <c r="H88" s="40">
        <f t="shared" si="2"/>
        <v>1400</v>
      </c>
      <c r="I88" s="44">
        <v>700</v>
      </c>
      <c r="J88" s="611">
        <f t="shared" si="10"/>
        <v>50</v>
      </c>
      <c r="K88" s="40">
        <v>0</v>
      </c>
      <c r="L88" s="40">
        <f t="shared" si="7"/>
        <v>1400</v>
      </c>
      <c r="M88" s="44">
        <v>1167</v>
      </c>
      <c r="N88" s="44">
        <f t="shared" si="8"/>
        <v>83.357142857142847</v>
      </c>
      <c r="O88" s="40">
        <v>0</v>
      </c>
      <c r="P88" s="40">
        <f t="shared" si="9"/>
        <v>1400</v>
      </c>
    </row>
    <row r="89" spans="1:16">
      <c r="A89" s="45" t="s">
        <v>309</v>
      </c>
      <c r="B89" s="46">
        <v>874</v>
      </c>
      <c r="C89" s="103">
        <v>0</v>
      </c>
      <c r="D89" s="44">
        <f t="shared" si="0"/>
        <v>874</v>
      </c>
      <c r="E89" s="103">
        <v>0</v>
      </c>
      <c r="F89" s="103">
        <f t="shared" si="1"/>
        <v>0</v>
      </c>
      <c r="G89" s="46">
        <v>0</v>
      </c>
      <c r="H89" s="40">
        <f t="shared" si="2"/>
        <v>874</v>
      </c>
      <c r="I89" s="44">
        <v>341</v>
      </c>
      <c r="J89" s="611">
        <f t="shared" si="10"/>
        <v>39.016018306636155</v>
      </c>
      <c r="K89" s="40">
        <v>0</v>
      </c>
      <c r="L89" s="40">
        <f t="shared" si="7"/>
        <v>874</v>
      </c>
      <c r="M89" s="44">
        <v>341</v>
      </c>
      <c r="N89" s="44">
        <f t="shared" si="8"/>
        <v>39.016018306636155</v>
      </c>
      <c r="O89" s="40">
        <v>0</v>
      </c>
      <c r="P89" s="40">
        <f t="shared" si="9"/>
        <v>874</v>
      </c>
    </row>
    <row r="90" spans="1:16">
      <c r="A90" s="45" t="s">
        <v>631</v>
      </c>
      <c r="B90" s="46">
        <v>0</v>
      </c>
      <c r="C90" s="103"/>
      <c r="D90" s="44">
        <v>0</v>
      </c>
      <c r="E90" s="103"/>
      <c r="F90" s="103"/>
      <c r="G90" s="46">
        <v>14134</v>
      </c>
      <c r="H90" s="40">
        <v>14134</v>
      </c>
      <c r="I90" s="44">
        <v>14134</v>
      </c>
      <c r="J90" s="611">
        <f t="shared" si="10"/>
        <v>100</v>
      </c>
      <c r="K90" s="40">
        <v>0</v>
      </c>
      <c r="L90" s="40">
        <f t="shared" si="7"/>
        <v>14134</v>
      </c>
      <c r="M90" s="44">
        <v>14134</v>
      </c>
      <c r="N90" s="44">
        <f t="shared" si="8"/>
        <v>100</v>
      </c>
      <c r="O90" s="40">
        <v>0</v>
      </c>
      <c r="P90" s="40">
        <f t="shared" si="9"/>
        <v>14134</v>
      </c>
    </row>
    <row r="91" spans="1:16">
      <c r="A91" s="45" t="s">
        <v>632</v>
      </c>
      <c r="B91" s="46">
        <v>0</v>
      </c>
      <c r="C91" s="103"/>
      <c r="D91" s="44">
        <v>0</v>
      </c>
      <c r="E91" s="103"/>
      <c r="F91" s="103"/>
      <c r="G91" s="46">
        <v>900</v>
      </c>
      <c r="H91" s="40">
        <v>900</v>
      </c>
      <c r="I91" s="550">
        <v>263</v>
      </c>
      <c r="J91" s="611">
        <f t="shared" si="10"/>
        <v>29.222222222222221</v>
      </c>
      <c r="K91" s="40">
        <v>0</v>
      </c>
      <c r="L91" s="40">
        <f t="shared" si="7"/>
        <v>900</v>
      </c>
      <c r="M91" s="44">
        <v>263</v>
      </c>
      <c r="N91" s="44">
        <f t="shared" si="8"/>
        <v>29.222222222222221</v>
      </c>
      <c r="O91" s="40">
        <v>-636</v>
      </c>
      <c r="P91" s="40">
        <f t="shared" si="9"/>
        <v>264</v>
      </c>
    </row>
    <row r="92" spans="1:16">
      <c r="A92" s="45" t="s">
        <v>633</v>
      </c>
      <c r="B92" s="46">
        <v>0</v>
      </c>
      <c r="C92" s="103"/>
      <c r="D92" s="44">
        <v>0</v>
      </c>
      <c r="E92" s="103"/>
      <c r="F92" s="103"/>
      <c r="G92" s="46">
        <v>250</v>
      </c>
      <c r="H92" s="40">
        <v>250</v>
      </c>
      <c r="I92" s="44">
        <v>0</v>
      </c>
      <c r="J92" s="611">
        <f t="shared" si="10"/>
        <v>0</v>
      </c>
      <c r="K92" s="40">
        <v>0</v>
      </c>
      <c r="L92" s="40">
        <f t="shared" si="7"/>
        <v>250</v>
      </c>
      <c r="M92" s="44">
        <v>0</v>
      </c>
      <c r="N92" s="44">
        <f t="shared" si="8"/>
        <v>0</v>
      </c>
      <c r="O92" s="40">
        <v>0</v>
      </c>
      <c r="P92" s="40">
        <f t="shared" si="9"/>
        <v>250</v>
      </c>
    </row>
    <row r="93" spans="1:16">
      <c r="A93" s="45" t="s">
        <v>634</v>
      </c>
      <c r="B93" s="46">
        <v>0</v>
      </c>
      <c r="C93" s="103"/>
      <c r="D93" s="103">
        <v>0</v>
      </c>
      <c r="E93" s="103"/>
      <c r="F93" s="103"/>
      <c r="G93" s="46">
        <v>194</v>
      </c>
      <c r="H93" s="40">
        <v>194</v>
      </c>
      <c r="I93" s="44">
        <v>194</v>
      </c>
      <c r="J93" s="611">
        <f t="shared" si="10"/>
        <v>100</v>
      </c>
      <c r="K93" s="40">
        <v>0</v>
      </c>
      <c r="L93" s="40">
        <f t="shared" si="7"/>
        <v>194</v>
      </c>
      <c r="M93" s="44">
        <v>194</v>
      </c>
      <c r="N93" s="44">
        <f t="shared" si="8"/>
        <v>100</v>
      </c>
      <c r="O93" s="40">
        <v>0</v>
      </c>
      <c r="P93" s="40">
        <f t="shared" si="9"/>
        <v>194</v>
      </c>
    </row>
    <row r="94" spans="1:16">
      <c r="A94" s="45" t="s">
        <v>727</v>
      </c>
      <c r="B94" s="46">
        <v>0</v>
      </c>
      <c r="C94" s="103"/>
      <c r="D94" s="103"/>
      <c r="E94" s="103"/>
      <c r="F94" s="103"/>
      <c r="H94" s="40">
        <v>0</v>
      </c>
      <c r="I94" s="103">
        <v>140</v>
      </c>
      <c r="J94" s="611">
        <v>0</v>
      </c>
      <c r="K94" s="40">
        <v>139</v>
      </c>
      <c r="L94" s="40">
        <f t="shared" si="7"/>
        <v>139</v>
      </c>
      <c r="M94" s="44">
        <v>139</v>
      </c>
      <c r="N94" s="44">
        <f t="shared" si="8"/>
        <v>100</v>
      </c>
      <c r="O94" s="40">
        <v>0</v>
      </c>
      <c r="P94" s="40">
        <f t="shared" si="9"/>
        <v>139</v>
      </c>
    </row>
    <row r="95" spans="1:16" s="400" customFormat="1" ht="15">
      <c r="A95" s="398" t="s">
        <v>310</v>
      </c>
      <c r="B95" s="435">
        <f>SUM(B78:B94)</f>
        <v>45885</v>
      </c>
      <c r="C95" s="304">
        <v>0</v>
      </c>
      <c r="D95" s="304">
        <f t="shared" si="0"/>
        <v>45885</v>
      </c>
      <c r="E95" s="304">
        <f>SUM(E78:E89)</f>
        <v>657</v>
      </c>
      <c r="F95" s="304">
        <f t="shared" si="1"/>
        <v>1.4318404707420727</v>
      </c>
      <c r="G95" s="551">
        <f>SUM(G78:G93)</f>
        <v>15494</v>
      </c>
      <c r="H95" s="304">
        <f t="shared" si="2"/>
        <v>61379</v>
      </c>
      <c r="I95" s="436">
        <f>SUM(I78:I94)</f>
        <v>36569</v>
      </c>
      <c r="J95" s="614">
        <f t="shared" si="10"/>
        <v>59.579009107349421</v>
      </c>
      <c r="K95" s="304">
        <f>SUM(K78:K94)</f>
        <v>128758</v>
      </c>
      <c r="L95" s="304">
        <f t="shared" si="7"/>
        <v>190137</v>
      </c>
      <c r="M95" s="304">
        <f>SUM(M78:M94)</f>
        <v>96959</v>
      </c>
      <c r="N95" s="304">
        <f t="shared" si="8"/>
        <v>50.994283069576149</v>
      </c>
      <c r="O95" s="304">
        <f>SUM(O78:O94)</f>
        <v>-12600</v>
      </c>
      <c r="P95" s="304">
        <f t="shared" si="9"/>
        <v>177537</v>
      </c>
    </row>
    <row r="96" spans="1:16" s="400" customFormat="1" ht="15">
      <c r="A96" s="398" t="s">
        <v>311</v>
      </c>
      <c r="B96" s="399">
        <v>37937</v>
      </c>
      <c r="C96" s="304">
        <v>3493</v>
      </c>
      <c r="D96" s="304">
        <f t="shared" si="0"/>
        <v>41430</v>
      </c>
      <c r="E96" s="304">
        <v>12287</v>
      </c>
      <c r="F96" s="304">
        <f t="shared" si="1"/>
        <v>29.657253198165577</v>
      </c>
      <c r="G96" s="551">
        <v>1039</v>
      </c>
      <c r="H96" s="304">
        <f t="shared" si="2"/>
        <v>42469</v>
      </c>
      <c r="I96" s="304">
        <v>17240</v>
      </c>
      <c r="J96" s="614">
        <f t="shared" si="10"/>
        <v>40.594315853916974</v>
      </c>
      <c r="K96" s="304">
        <v>4296</v>
      </c>
      <c r="L96" s="304">
        <f t="shared" si="7"/>
        <v>46765</v>
      </c>
      <c r="M96" s="304">
        <v>26992</v>
      </c>
      <c r="N96" s="304">
        <f t="shared" si="8"/>
        <v>57.718379129691009</v>
      </c>
      <c r="O96" s="304">
        <v>1572</v>
      </c>
      <c r="P96" s="304">
        <f t="shared" si="9"/>
        <v>48337</v>
      </c>
    </row>
    <row r="97" spans="1:16" ht="15">
      <c r="A97" s="100"/>
      <c r="B97" s="101"/>
      <c r="M97" s="44"/>
      <c r="N97" s="44"/>
    </row>
    <row r="98" spans="1:16">
      <c r="A98" s="39" t="s">
        <v>317</v>
      </c>
      <c r="B98" s="40">
        <v>44483</v>
      </c>
      <c r="C98" s="40">
        <v>0</v>
      </c>
      <c r="D98" s="40">
        <f t="shared" si="0"/>
        <v>44483</v>
      </c>
      <c r="E98" s="40">
        <v>7859</v>
      </c>
      <c r="F98" s="40">
        <f t="shared" si="1"/>
        <v>17.667423510104985</v>
      </c>
      <c r="G98" s="46">
        <v>-153</v>
      </c>
      <c r="H98" s="40">
        <f t="shared" si="2"/>
        <v>44330</v>
      </c>
      <c r="I98" s="40">
        <v>21277</v>
      </c>
      <c r="J98" s="611">
        <f t="shared" si="10"/>
        <v>47.996841867809607</v>
      </c>
      <c r="K98" s="40">
        <v>0</v>
      </c>
      <c r="L98" s="40">
        <f t="shared" si="7"/>
        <v>44330</v>
      </c>
      <c r="M98" s="44">
        <v>33971</v>
      </c>
      <c r="N98" s="44">
        <f t="shared" si="8"/>
        <v>76.632077599819539</v>
      </c>
      <c r="O98" s="40">
        <f>-99+5780</f>
        <v>5681</v>
      </c>
      <c r="P98" s="40">
        <f t="shared" si="9"/>
        <v>50011</v>
      </c>
    </row>
    <row r="99" spans="1:16">
      <c r="A99" s="39" t="s">
        <v>506</v>
      </c>
      <c r="B99" s="40">
        <v>12011</v>
      </c>
      <c r="C99" s="40">
        <v>0</v>
      </c>
      <c r="D99" s="40">
        <f t="shared" si="0"/>
        <v>12011</v>
      </c>
      <c r="E99" s="40">
        <v>2175</v>
      </c>
      <c r="F99" s="40">
        <f t="shared" si="1"/>
        <v>18.108400632753309</v>
      </c>
      <c r="G99" s="46">
        <v>-41</v>
      </c>
      <c r="H99" s="40">
        <f t="shared" si="2"/>
        <v>11970</v>
      </c>
      <c r="I99" s="44">
        <v>5415</v>
      </c>
      <c r="J99" s="611">
        <f t="shared" si="10"/>
        <v>45.238095238095241</v>
      </c>
      <c r="K99" s="40">
        <v>0</v>
      </c>
      <c r="L99" s="40">
        <f t="shared" si="7"/>
        <v>11970</v>
      </c>
      <c r="M99" s="44">
        <v>8967</v>
      </c>
      <c r="N99" s="44">
        <f t="shared" si="8"/>
        <v>74.912280701754383</v>
      </c>
      <c r="O99" s="40">
        <f>-26+1242</f>
        <v>1216</v>
      </c>
      <c r="P99" s="40">
        <f t="shared" si="9"/>
        <v>13186</v>
      </c>
    </row>
    <row r="100" spans="1:16">
      <c r="A100" s="39" t="s">
        <v>221</v>
      </c>
      <c r="B100" s="103">
        <v>36737</v>
      </c>
      <c r="C100" s="103">
        <v>0</v>
      </c>
      <c r="D100" s="103">
        <f t="shared" si="0"/>
        <v>36737</v>
      </c>
      <c r="E100" s="103">
        <v>9640</v>
      </c>
      <c r="F100" s="103">
        <f t="shared" si="1"/>
        <v>26.240574897242563</v>
      </c>
      <c r="G100" s="549">
        <v>45124</v>
      </c>
      <c r="H100" s="103">
        <f t="shared" ref="H100:H109" si="11">D100+G100</f>
        <v>81861</v>
      </c>
      <c r="I100" s="40">
        <v>23438</v>
      </c>
      <c r="J100" s="613">
        <f t="shared" si="10"/>
        <v>28.631460646706003</v>
      </c>
      <c r="K100" s="103">
        <v>-7654</v>
      </c>
      <c r="L100" s="103">
        <f t="shared" si="7"/>
        <v>74207</v>
      </c>
      <c r="M100" s="103">
        <v>34870</v>
      </c>
      <c r="N100" s="103">
        <f t="shared" si="8"/>
        <v>46.990176128936625</v>
      </c>
      <c r="O100" s="103">
        <f>-44514+4500+3000+7396</f>
        <v>-29618</v>
      </c>
      <c r="P100" s="103">
        <f t="shared" si="9"/>
        <v>44589</v>
      </c>
    </row>
    <row r="101" spans="1:16">
      <c r="A101" s="51" t="s">
        <v>132</v>
      </c>
      <c r="B101" s="40">
        <f>SUM(B98:B100)</f>
        <v>93231</v>
      </c>
      <c r="C101" s="40">
        <v>0</v>
      </c>
      <c r="D101" s="40">
        <f t="shared" si="0"/>
        <v>93231</v>
      </c>
      <c r="E101" s="40">
        <f>SUM(E98:E100)</f>
        <v>19674</v>
      </c>
      <c r="F101" s="40">
        <f t="shared" si="1"/>
        <v>21.102423013804422</v>
      </c>
      <c r="G101" s="46">
        <f>SUM(G98:G100)</f>
        <v>44930</v>
      </c>
      <c r="H101" s="40">
        <f t="shared" si="11"/>
        <v>138161</v>
      </c>
      <c r="I101" s="616">
        <f>SUM(I98:I100)</f>
        <v>50130</v>
      </c>
      <c r="J101" s="611">
        <f t="shared" si="10"/>
        <v>36.283755907962451</v>
      </c>
      <c r="K101" s="40">
        <f>SUM(K98:K100)</f>
        <v>-7654</v>
      </c>
      <c r="L101" s="40">
        <f t="shared" si="7"/>
        <v>130507</v>
      </c>
      <c r="M101" s="44">
        <f>SUM(M98:M100)</f>
        <v>77808</v>
      </c>
      <c r="N101" s="44">
        <f t="shared" si="8"/>
        <v>59.619790509321334</v>
      </c>
      <c r="O101" s="40">
        <f>SUM(O98:O100)</f>
        <v>-22721</v>
      </c>
      <c r="P101" s="40">
        <f t="shared" si="9"/>
        <v>107786</v>
      </c>
    </row>
    <row r="102" spans="1:16">
      <c r="A102" s="43" t="s">
        <v>371</v>
      </c>
      <c r="B102" s="40">
        <f>SUM(B103:B104)</f>
        <v>52500</v>
      </c>
      <c r="C102" s="40">
        <v>0</v>
      </c>
      <c r="D102" s="40">
        <f t="shared" si="0"/>
        <v>52500</v>
      </c>
      <c r="E102" s="40">
        <f>E103+E104</f>
        <v>3999</v>
      </c>
      <c r="F102" s="40">
        <f t="shared" si="1"/>
        <v>7.6171428571428574</v>
      </c>
      <c r="G102" s="46">
        <v>0</v>
      </c>
      <c r="H102" s="40">
        <f t="shared" si="11"/>
        <v>52500</v>
      </c>
      <c r="I102" s="44">
        <v>17185</v>
      </c>
      <c r="J102" s="611">
        <f t="shared" si="10"/>
        <v>32.733333333333334</v>
      </c>
      <c r="K102" s="40">
        <v>0</v>
      </c>
      <c r="L102" s="40">
        <f t="shared" si="7"/>
        <v>52500</v>
      </c>
      <c r="M102" s="44">
        <v>20511</v>
      </c>
      <c r="N102" s="44">
        <f t="shared" si="8"/>
        <v>39.068571428571431</v>
      </c>
      <c r="O102" s="40">
        <v>0</v>
      </c>
      <c r="P102" s="40">
        <f t="shared" si="9"/>
        <v>52500</v>
      </c>
    </row>
    <row r="103" spans="1:16">
      <c r="A103" s="43" t="s">
        <v>372</v>
      </c>
      <c r="B103" s="40">
        <v>6000</v>
      </c>
      <c r="C103" s="40">
        <v>0</v>
      </c>
      <c r="D103" s="40">
        <f t="shared" si="0"/>
        <v>6000</v>
      </c>
      <c r="E103" s="40">
        <v>661</v>
      </c>
      <c r="F103" s="40">
        <f t="shared" si="1"/>
        <v>11.016666666666666</v>
      </c>
      <c r="G103" s="46">
        <v>0</v>
      </c>
      <c r="H103" s="40">
        <f t="shared" si="11"/>
        <v>6000</v>
      </c>
      <c r="I103" s="44">
        <v>1351</v>
      </c>
      <c r="J103" s="611">
        <f t="shared" si="10"/>
        <v>22.516666666666666</v>
      </c>
      <c r="K103" s="40">
        <v>0</v>
      </c>
      <c r="L103" s="40">
        <f t="shared" si="7"/>
        <v>6000</v>
      </c>
      <c r="M103" s="44">
        <v>1322</v>
      </c>
      <c r="N103" s="44">
        <f t="shared" si="8"/>
        <v>22.033333333333331</v>
      </c>
      <c r="O103" s="40">
        <v>0</v>
      </c>
      <c r="P103" s="40">
        <f t="shared" si="9"/>
        <v>6000</v>
      </c>
    </row>
    <row r="104" spans="1:16">
      <c r="A104" s="43" t="s">
        <v>373</v>
      </c>
      <c r="B104" s="40">
        <v>46500</v>
      </c>
      <c r="C104" s="40">
        <v>0</v>
      </c>
      <c r="D104" s="40">
        <f t="shared" si="0"/>
        <v>46500</v>
      </c>
      <c r="E104" s="40">
        <v>3338</v>
      </c>
      <c r="F104" s="40">
        <f t="shared" si="1"/>
        <v>7.1784946236559133</v>
      </c>
      <c r="G104" s="46">
        <v>0</v>
      </c>
      <c r="H104" s="40">
        <f t="shared" si="11"/>
        <v>46500</v>
      </c>
      <c r="I104" s="44">
        <v>15834</v>
      </c>
      <c r="J104" s="611">
        <f t="shared" si="10"/>
        <v>34.051612903225809</v>
      </c>
      <c r="K104" s="40">
        <v>0</v>
      </c>
      <c r="L104" s="40">
        <f t="shared" si="7"/>
        <v>46500</v>
      </c>
      <c r="M104" s="44">
        <v>19189</v>
      </c>
      <c r="N104" s="44">
        <f t="shared" si="8"/>
        <v>41.266666666666666</v>
      </c>
      <c r="O104" s="40">
        <v>0</v>
      </c>
      <c r="P104" s="40">
        <f t="shared" si="9"/>
        <v>46500</v>
      </c>
    </row>
    <row r="105" spans="1:16">
      <c r="A105" s="39" t="s">
        <v>374</v>
      </c>
      <c r="B105" s="40">
        <v>3000</v>
      </c>
      <c r="C105" s="40">
        <v>0</v>
      </c>
      <c r="D105" s="40">
        <f t="shared" si="0"/>
        <v>3000</v>
      </c>
      <c r="E105" s="40">
        <v>1831</v>
      </c>
      <c r="F105" s="40">
        <f t="shared" si="1"/>
        <v>61.033333333333331</v>
      </c>
      <c r="G105" s="46">
        <v>0</v>
      </c>
      <c r="H105" s="40">
        <f t="shared" si="11"/>
        <v>3000</v>
      </c>
      <c r="I105" s="44">
        <v>1989</v>
      </c>
      <c r="J105" s="611">
        <f t="shared" si="10"/>
        <v>66.3</v>
      </c>
      <c r="K105" s="40">
        <v>3000</v>
      </c>
      <c r="L105" s="40">
        <f t="shared" si="7"/>
        <v>6000</v>
      </c>
      <c r="M105" s="44">
        <v>2693</v>
      </c>
      <c r="N105" s="44">
        <f t="shared" si="8"/>
        <v>44.883333333333333</v>
      </c>
      <c r="O105" s="40">
        <f>-3000+604</f>
        <v>-2396</v>
      </c>
      <c r="P105" s="40">
        <f t="shared" si="9"/>
        <v>3604</v>
      </c>
    </row>
    <row r="106" spans="1:16">
      <c r="A106" s="43" t="s">
        <v>320</v>
      </c>
      <c r="B106" s="44">
        <v>4500</v>
      </c>
      <c r="C106" s="44">
        <v>0</v>
      </c>
      <c r="D106" s="44">
        <f t="shared" si="0"/>
        <v>4500</v>
      </c>
      <c r="E106" s="44">
        <v>40548</v>
      </c>
      <c r="F106" s="44">
        <f t="shared" si="1"/>
        <v>901.06666666666672</v>
      </c>
      <c r="G106" s="46">
        <v>0</v>
      </c>
      <c r="H106" s="40">
        <f t="shared" si="11"/>
        <v>4500</v>
      </c>
      <c r="I106" s="44">
        <v>45773</v>
      </c>
      <c r="J106" s="611">
        <f t="shared" si="10"/>
        <v>1017.1777777777777</v>
      </c>
      <c r="K106" s="40">
        <v>4500</v>
      </c>
      <c r="L106" s="40">
        <f t="shared" si="7"/>
        <v>9000</v>
      </c>
      <c r="M106" s="44">
        <v>74344</v>
      </c>
      <c r="N106" s="44">
        <f t="shared" si="8"/>
        <v>826.04444444444437</v>
      </c>
      <c r="O106" s="40">
        <f>44514-4500+28293</f>
        <v>68307</v>
      </c>
      <c r="P106" s="40">
        <f t="shared" si="9"/>
        <v>77307</v>
      </c>
    </row>
    <row r="107" spans="1:16">
      <c r="A107" s="102" t="s">
        <v>563</v>
      </c>
      <c r="B107" s="40">
        <v>0</v>
      </c>
      <c r="C107" s="103"/>
      <c r="D107" s="103">
        <v>0</v>
      </c>
      <c r="E107" s="103">
        <v>6805</v>
      </c>
      <c r="F107" s="103">
        <v>0</v>
      </c>
      <c r="G107" s="46">
        <v>7028</v>
      </c>
      <c r="H107" s="40">
        <f t="shared" si="11"/>
        <v>7028</v>
      </c>
      <c r="I107" s="103">
        <v>6805</v>
      </c>
      <c r="J107" s="611">
        <f t="shared" si="10"/>
        <v>96.826977803073419</v>
      </c>
      <c r="K107" s="40">
        <v>0</v>
      </c>
      <c r="L107" s="40">
        <f t="shared" si="7"/>
        <v>7028</v>
      </c>
      <c r="M107" s="44">
        <v>6859</v>
      </c>
      <c r="N107" s="44">
        <f t="shared" si="8"/>
        <v>97.595332953898691</v>
      </c>
      <c r="O107" s="40">
        <v>0</v>
      </c>
      <c r="P107" s="40">
        <f t="shared" si="9"/>
        <v>7028</v>
      </c>
    </row>
    <row r="108" spans="1:16" s="400" customFormat="1" ht="15">
      <c r="A108" s="400" t="s">
        <v>375</v>
      </c>
      <c r="B108" s="434">
        <f>SUM(B101+B102+B105+B106)</f>
        <v>153231</v>
      </c>
      <c r="C108" s="304">
        <v>0</v>
      </c>
      <c r="D108" s="304">
        <f t="shared" si="0"/>
        <v>153231</v>
      </c>
      <c r="E108" s="304">
        <f>E101+E102+E105+E106+E107</f>
        <v>72857</v>
      </c>
      <c r="F108" s="304">
        <f t="shared" si="1"/>
        <v>47.547167348643548</v>
      </c>
      <c r="G108" s="551">
        <f>SUM(G101:G107)</f>
        <v>51958</v>
      </c>
      <c r="H108" s="304">
        <f t="shared" si="11"/>
        <v>205189</v>
      </c>
      <c r="I108" s="436">
        <v>121882</v>
      </c>
      <c r="J108" s="614">
        <f t="shared" si="10"/>
        <v>59.399870363421037</v>
      </c>
      <c r="K108" s="304">
        <f>K101+K102+K105+K106+K107</f>
        <v>-154</v>
      </c>
      <c r="L108" s="304">
        <f>H108+K108</f>
        <v>205035</v>
      </c>
      <c r="M108" s="304">
        <f>M101+M102+M105+M106+M107</f>
        <v>182215</v>
      </c>
      <c r="N108" s="304">
        <f t="shared" si="8"/>
        <v>88.87019289389616</v>
      </c>
      <c r="O108" s="304">
        <f>O101+O102+O105+O106+O107</f>
        <v>43190</v>
      </c>
      <c r="P108" s="304">
        <f t="shared" si="9"/>
        <v>248225</v>
      </c>
    </row>
    <row r="109" spans="1:16" s="400" customFormat="1" ht="15">
      <c r="A109" s="437" t="s">
        <v>312</v>
      </c>
      <c r="B109" s="434">
        <f>SUM(B51+B77+B95+B96+B108)</f>
        <v>650158</v>
      </c>
      <c r="C109" s="304">
        <f>C51+C77+C95+C96+C108</f>
        <v>3493</v>
      </c>
      <c r="D109" s="304">
        <f t="shared" si="0"/>
        <v>653651</v>
      </c>
      <c r="E109" s="304" t="e">
        <f>E51+E77+E95+E96+E108</f>
        <v>#REF!</v>
      </c>
      <c r="F109" s="304" t="e">
        <f t="shared" si="1"/>
        <v>#REF!</v>
      </c>
      <c r="G109" s="551">
        <f>G51+G77+G95+G96+G108</f>
        <v>595224</v>
      </c>
      <c r="H109" s="304">
        <f t="shared" si="11"/>
        <v>1248875</v>
      </c>
      <c r="I109" s="304">
        <f>I51+I77+I95+I96+I108</f>
        <v>529306</v>
      </c>
      <c r="J109" s="614">
        <f t="shared" si="10"/>
        <v>42.382624361925735</v>
      </c>
      <c r="K109" s="304">
        <f>K51+K77+K95+K96+K108</f>
        <v>262858</v>
      </c>
      <c r="L109" s="304">
        <v>1508358</v>
      </c>
      <c r="M109" s="304">
        <f>M51+M77+M95+M96+M108</f>
        <v>1110211</v>
      </c>
      <c r="N109" s="304">
        <f t="shared" si="8"/>
        <v>73.603945482438519</v>
      </c>
      <c r="O109" s="304">
        <f>O51+O77+O95+O96+O108</f>
        <v>547793</v>
      </c>
      <c r="P109" s="304">
        <f t="shared" si="9"/>
        <v>2056151</v>
      </c>
    </row>
    <row r="110" spans="1:16">
      <c r="A110" s="859" t="s">
        <v>3</v>
      </c>
    </row>
  </sheetData>
  <sheetProtection selectLockedCells="1" selectUnlockedCells="1"/>
  <mergeCells count="3">
    <mergeCell ref="A1:P1"/>
    <mergeCell ref="A3:P3"/>
    <mergeCell ref="B5:P5"/>
  </mergeCells>
  <phoneticPr fontId="11" type="noConversion"/>
  <printOptions horizontalCentered="1"/>
  <pageMargins left="0.78749999999999998" right="0.39374999999999999" top="0.32013888888888886" bottom="0.4" header="0.3" footer="0.39"/>
  <pageSetup paperSize="9" scale="50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5"/>
  <dimension ref="A1:P30"/>
  <sheetViews>
    <sheetView view="pageBreakPreview" zoomScale="75" zoomScaleNormal="75" zoomScaleSheetLayoutView="75" workbookViewId="0">
      <selection activeCell="A30" sqref="A30"/>
    </sheetView>
  </sheetViews>
  <sheetFormatPr defaultRowHeight="14.25"/>
  <cols>
    <col min="1" max="1" width="52.85546875" style="39" customWidth="1"/>
    <col min="2" max="2" width="12.7109375" style="40" customWidth="1"/>
    <col min="3" max="3" width="9.140625" style="40" hidden="1" customWidth="1"/>
    <col min="4" max="4" width="12.28515625" style="39" hidden="1" customWidth="1"/>
    <col min="5" max="6" width="9.140625" style="40" hidden="1" customWidth="1"/>
    <col min="7" max="7" width="10.5703125" style="46" hidden="1" customWidth="1"/>
    <col min="8" max="9" width="9.140625" style="40" hidden="1" customWidth="1"/>
    <col min="10" max="10" width="9.140625" style="611" hidden="1" customWidth="1"/>
    <col min="11" max="11" width="10" style="40" hidden="1" customWidth="1"/>
    <col min="12" max="12" width="9.140625" style="40"/>
    <col min="13" max="13" width="9.140625" style="40" hidden="1" customWidth="1"/>
    <col min="14" max="14" width="6" style="40" hidden="1" customWidth="1"/>
    <col min="15" max="15" width="10" style="40" customWidth="1"/>
    <col min="16" max="16" width="9.140625" style="40"/>
    <col min="17" max="16384" width="9.140625" style="39"/>
  </cols>
  <sheetData>
    <row r="1" spans="1:16" ht="17.25">
      <c r="A1" s="926" t="s">
        <v>892</v>
      </c>
      <c r="B1" s="926"/>
      <c r="C1" s="926"/>
      <c r="D1" s="912"/>
      <c r="E1" s="913"/>
      <c r="F1" s="913"/>
      <c r="G1" s="913"/>
      <c r="H1" s="913"/>
      <c r="I1" s="913"/>
      <c r="J1" s="913"/>
      <c r="K1" s="913"/>
      <c r="L1" s="913"/>
      <c r="M1" s="913"/>
      <c r="N1" s="913"/>
      <c r="O1" s="913"/>
      <c r="P1" s="913"/>
    </row>
    <row r="3" spans="1:16" ht="15">
      <c r="A3" s="927" t="s">
        <v>356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3"/>
      <c r="O3" s="913"/>
      <c r="P3" s="913"/>
    </row>
    <row r="4" spans="1:16" ht="15">
      <c r="A4" s="420"/>
    </row>
    <row r="5" spans="1:16" ht="15">
      <c r="B5" s="929" t="s">
        <v>103</v>
      </c>
      <c r="C5" s="930"/>
      <c r="D5" s="930"/>
      <c r="E5" s="930"/>
      <c r="F5" s="930"/>
      <c r="G5" s="918"/>
      <c r="H5" s="918"/>
      <c r="I5" s="918"/>
      <c r="J5" s="918"/>
      <c r="K5" s="918"/>
      <c r="L5" s="918"/>
      <c r="M5" s="918"/>
      <c r="N5" s="918"/>
      <c r="O5" s="918"/>
      <c r="P5" s="918"/>
    </row>
    <row r="6" spans="1:16" ht="31.5">
      <c r="A6" s="32" t="s">
        <v>258</v>
      </c>
      <c r="B6" s="305" t="s">
        <v>528</v>
      </c>
      <c r="C6" s="660" t="s">
        <v>432</v>
      </c>
      <c r="D6" s="661" t="s">
        <v>259</v>
      </c>
      <c r="E6" s="662" t="s">
        <v>547</v>
      </c>
      <c r="F6" s="662" t="s">
        <v>548</v>
      </c>
      <c r="G6" s="663" t="s">
        <v>432</v>
      </c>
      <c r="H6" s="299" t="s">
        <v>592</v>
      </c>
      <c r="I6" s="662" t="s">
        <v>706</v>
      </c>
      <c r="J6" s="664" t="s">
        <v>548</v>
      </c>
      <c r="K6" s="669" t="s">
        <v>432</v>
      </c>
      <c r="L6" s="669" t="s">
        <v>732</v>
      </c>
      <c r="M6" s="295" t="s">
        <v>815</v>
      </c>
      <c r="N6" s="295" t="s">
        <v>260</v>
      </c>
      <c r="O6" s="295" t="s">
        <v>432</v>
      </c>
      <c r="P6" s="295" t="s">
        <v>832</v>
      </c>
    </row>
    <row r="7" spans="1:16" s="142" customFormat="1" ht="15">
      <c r="A7" s="140" t="s">
        <v>387</v>
      </c>
      <c r="B7" s="141" t="s">
        <v>388</v>
      </c>
      <c r="C7" s="418" t="s">
        <v>389</v>
      </c>
      <c r="D7" s="139" t="s">
        <v>389</v>
      </c>
      <c r="E7" s="131" t="s">
        <v>390</v>
      </c>
      <c r="F7" s="131" t="s">
        <v>546</v>
      </c>
      <c r="G7" s="552" t="s">
        <v>390</v>
      </c>
      <c r="H7" s="131" t="s">
        <v>389</v>
      </c>
      <c r="I7" s="131" t="s">
        <v>390</v>
      </c>
      <c r="J7" s="581" t="s">
        <v>546</v>
      </c>
      <c r="K7" s="418" t="s">
        <v>390</v>
      </c>
      <c r="L7" s="418" t="s">
        <v>389</v>
      </c>
      <c r="M7" s="418" t="s">
        <v>390</v>
      </c>
      <c r="N7" s="418" t="s">
        <v>546</v>
      </c>
      <c r="O7" s="418" t="s">
        <v>390</v>
      </c>
      <c r="P7" s="418" t="s">
        <v>546</v>
      </c>
    </row>
    <row r="8" spans="1:16">
      <c r="A8" s="43" t="s">
        <v>503</v>
      </c>
      <c r="B8" s="44">
        <v>2500</v>
      </c>
      <c r="C8" s="40">
        <v>0</v>
      </c>
      <c r="D8" s="40">
        <f>B8+C8</f>
        <v>2500</v>
      </c>
      <c r="E8" s="40">
        <v>1062</v>
      </c>
      <c r="F8" s="40">
        <f>SUM(E8/D8)*100</f>
        <v>42.480000000000004</v>
      </c>
      <c r="G8" s="46">
        <v>0</v>
      </c>
      <c r="H8" s="468">
        <f t="shared" ref="H8:H28" si="0">D8+G8</f>
        <v>2500</v>
      </c>
      <c r="I8" s="40">
        <v>1062</v>
      </c>
      <c r="J8" s="611">
        <f>SUM(I8/H8)*100</f>
        <v>42.480000000000004</v>
      </c>
      <c r="K8" s="40">
        <v>0</v>
      </c>
      <c r="L8" s="40">
        <f>H8+K8</f>
        <v>2500</v>
      </c>
      <c r="M8" s="40">
        <v>1062</v>
      </c>
      <c r="N8" s="40">
        <f>SUM(M8/L8)*100</f>
        <v>42.480000000000004</v>
      </c>
      <c r="O8" s="40">
        <v>-1155</v>
      </c>
      <c r="P8" s="40">
        <f>L8+O8</f>
        <v>1345</v>
      </c>
    </row>
    <row r="9" spans="1:16">
      <c r="A9" s="45" t="s">
        <v>313</v>
      </c>
      <c r="B9" s="44">
        <v>500</v>
      </c>
      <c r="C9" s="103">
        <v>0</v>
      </c>
      <c r="D9" s="44">
        <f t="shared" ref="D9:D28" si="1">B9+C9</f>
        <v>500</v>
      </c>
      <c r="E9" s="44">
        <v>18</v>
      </c>
      <c r="F9" s="44">
        <f t="shared" ref="F9:F28" si="2">SUM(E9/D9)*100</f>
        <v>3.5999999999999996</v>
      </c>
      <c r="G9" s="46">
        <v>0</v>
      </c>
      <c r="H9" s="468">
        <f t="shared" si="0"/>
        <v>500</v>
      </c>
      <c r="I9" s="44">
        <v>394</v>
      </c>
      <c r="J9" s="611">
        <f t="shared" ref="J9:J28" si="3">SUM(I9/H9)*100</f>
        <v>78.8</v>
      </c>
      <c r="K9" s="40">
        <v>0</v>
      </c>
      <c r="L9" s="40">
        <f t="shared" ref="L9:L28" si="4">H9+K9</f>
        <v>500</v>
      </c>
      <c r="M9" s="44">
        <v>665</v>
      </c>
      <c r="N9" s="40">
        <f t="shared" ref="N9:N28" si="5">SUM(M9/L9)*100</f>
        <v>133</v>
      </c>
      <c r="O9" s="40">
        <v>299</v>
      </c>
      <c r="P9" s="40">
        <f t="shared" ref="P9:P28" si="6">L9+O9</f>
        <v>799</v>
      </c>
    </row>
    <row r="10" spans="1:16">
      <c r="A10" s="45" t="s">
        <v>290</v>
      </c>
      <c r="B10" s="44">
        <v>0</v>
      </c>
      <c r="C10" s="103"/>
      <c r="D10" s="44"/>
      <c r="E10" s="44"/>
      <c r="F10" s="44"/>
      <c r="H10" s="468">
        <v>0</v>
      </c>
      <c r="I10" s="44"/>
      <c r="K10" s="40">
        <v>5869</v>
      </c>
      <c r="L10" s="46">
        <f t="shared" si="4"/>
        <v>5869</v>
      </c>
      <c r="M10" s="44">
        <v>0</v>
      </c>
      <c r="N10" s="40">
        <f t="shared" si="5"/>
        <v>0</v>
      </c>
      <c r="O10" s="40">
        <v>-5783</v>
      </c>
      <c r="P10" s="40">
        <f t="shared" si="6"/>
        <v>86</v>
      </c>
    </row>
    <row r="11" spans="1:16">
      <c r="A11" s="45" t="s">
        <v>739</v>
      </c>
      <c r="B11" s="44">
        <v>0</v>
      </c>
      <c r="C11" s="103"/>
      <c r="D11" s="44"/>
      <c r="E11" s="44"/>
      <c r="F11" s="44"/>
      <c r="H11" s="468">
        <v>0</v>
      </c>
      <c r="I11" s="44"/>
      <c r="K11" s="40">
        <v>1516</v>
      </c>
      <c r="L11" s="46">
        <f t="shared" si="4"/>
        <v>1516</v>
      </c>
      <c r="M11" s="44">
        <v>0</v>
      </c>
      <c r="N11" s="40">
        <f t="shared" si="5"/>
        <v>0</v>
      </c>
      <c r="O11" s="40">
        <v>-1493</v>
      </c>
      <c r="P11" s="40">
        <f t="shared" si="6"/>
        <v>23</v>
      </c>
    </row>
    <row r="12" spans="1:16">
      <c r="A12" s="45" t="s">
        <v>884</v>
      </c>
      <c r="B12" s="44">
        <v>0</v>
      </c>
      <c r="C12" s="103"/>
      <c r="D12" s="44"/>
      <c r="E12" s="44"/>
      <c r="F12" s="44"/>
      <c r="H12" s="468">
        <v>0</v>
      </c>
      <c r="I12" s="44"/>
      <c r="K12" s="44">
        <v>4379</v>
      </c>
      <c r="L12" s="44">
        <f t="shared" si="4"/>
        <v>4379</v>
      </c>
      <c r="M12" s="44">
        <v>4</v>
      </c>
      <c r="N12" s="40">
        <f t="shared" si="5"/>
        <v>9.1345055948846773E-2</v>
      </c>
      <c r="O12" s="40">
        <f>-4379+13719</f>
        <v>9340</v>
      </c>
      <c r="P12" s="40">
        <f t="shared" si="6"/>
        <v>13719</v>
      </c>
    </row>
    <row r="13" spans="1:16">
      <c r="A13" s="45" t="s">
        <v>561</v>
      </c>
      <c r="B13" s="44">
        <v>0</v>
      </c>
      <c r="C13" s="103"/>
      <c r="D13" s="44"/>
      <c r="E13" s="44"/>
      <c r="F13" s="44"/>
      <c r="H13" s="468">
        <v>0</v>
      </c>
      <c r="I13" s="103">
        <v>382</v>
      </c>
      <c r="J13" s="613">
        <v>0</v>
      </c>
      <c r="K13" s="103">
        <v>468</v>
      </c>
      <c r="L13" s="103">
        <f t="shared" si="4"/>
        <v>468</v>
      </c>
      <c r="M13" s="44">
        <v>509</v>
      </c>
      <c r="N13" s="40">
        <f t="shared" si="5"/>
        <v>108.76068376068375</v>
      </c>
      <c r="O13" s="40">
        <v>160</v>
      </c>
      <c r="P13" s="40">
        <f t="shared" si="6"/>
        <v>628</v>
      </c>
    </row>
    <row r="14" spans="1:16" s="400" customFormat="1" ht="15">
      <c r="A14" s="398" t="s">
        <v>218</v>
      </c>
      <c r="B14" s="434">
        <f>SUM((B8:B8),SUM(B9:B9))</f>
        <v>3000</v>
      </c>
      <c r="C14" s="304">
        <v>0</v>
      </c>
      <c r="D14" s="304">
        <f t="shared" si="1"/>
        <v>3000</v>
      </c>
      <c r="E14" s="438">
        <f>SUM(E8:E9)</f>
        <v>1080</v>
      </c>
      <c r="F14" s="438">
        <f t="shared" si="2"/>
        <v>36</v>
      </c>
      <c r="G14" s="551">
        <f>SUM(G8:G9)</f>
        <v>0</v>
      </c>
      <c r="H14" s="304">
        <f t="shared" si="0"/>
        <v>3000</v>
      </c>
      <c r="I14" s="436">
        <f>SUM(I8:I13)</f>
        <v>1838</v>
      </c>
      <c r="J14" s="614">
        <f t="shared" si="3"/>
        <v>61.266666666666666</v>
      </c>
      <c r="K14" s="436">
        <f>SUM(K10:K13)</f>
        <v>12232</v>
      </c>
      <c r="L14" s="436">
        <f t="shared" si="4"/>
        <v>15232</v>
      </c>
      <c r="M14" s="304">
        <f>SUM(M8:M13)</f>
        <v>2240</v>
      </c>
      <c r="N14" s="304">
        <f t="shared" si="5"/>
        <v>14.705882352941178</v>
      </c>
      <c r="O14" s="304">
        <f>SUM(O8:O13)</f>
        <v>1368</v>
      </c>
      <c r="P14" s="304">
        <f t="shared" si="6"/>
        <v>16600</v>
      </c>
    </row>
    <row r="15" spans="1:16" s="400" customFormat="1" ht="15">
      <c r="A15" s="398" t="s">
        <v>311</v>
      </c>
      <c r="B15" s="435">
        <v>14967</v>
      </c>
      <c r="C15" s="304">
        <v>20216</v>
      </c>
      <c r="D15" s="304">
        <f t="shared" si="1"/>
        <v>35183</v>
      </c>
      <c r="E15" s="304">
        <v>26974</v>
      </c>
      <c r="F15" s="304">
        <f t="shared" si="2"/>
        <v>76.667708836654072</v>
      </c>
      <c r="G15" s="553">
        <v>21245</v>
      </c>
      <c r="H15" s="436">
        <f t="shared" si="0"/>
        <v>56428</v>
      </c>
      <c r="I15" s="304">
        <v>44831</v>
      </c>
      <c r="J15" s="614">
        <f t="shared" si="3"/>
        <v>79.448146310342381</v>
      </c>
      <c r="K15" s="304">
        <v>14651</v>
      </c>
      <c r="L15" s="304">
        <f t="shared" si="4"/>
        <v>71079</v>
      </c>
      <c r="M15" s="730">
        <v>62101</v>
      </c>
      <c r="N15" s="436">
        <f t="shared" si="5"/>
        <v>87.368983806750236</v>
      </c>
      <c r="O15" s="436">
        <v>13701</v>
      </c>
      <c r="P15" s="436">
        <f t="shared" si="6"/>
        <v>84780</v>
      </c>
    </row>
    <row r="16" spans="1:16" s="142" customFormat="1" ht="15">
      <c r="A16" s="448" t="s">
        <v>573</v>
      </c>
      <c r="B16" s="449">
        <v>0</v>
      </c>
      <c r="C16" s="450"/>
      <c r="D16" s="450">
        <v>0</v>
      </c>
      <c r="E16" s="450">
        <v>574</v>
      </c>
      <c r="F16" s="450">
        <v>0</v>
      </c>
      <c r="G16" s="554">
        <v>406</v>
      </c>
      <c r="H16" s="467">
        <f t="shared" si="0"/>
        <v>406</v>
      </c>
      <c r="I16" s="468">
        <v>574</v>
      </c>
      <c r="J16" s="615">
        <f t="shared" si="3"/>
        <v>141.37931034482759</v>
      </c>
      <c r="K16" s="468">
        <v>0</v>
      </c>
      <c r="L16" s="468">
        <f t="shared" si="4"/>
        <v>406</v>
      </c>
      <c r="M16" s="304">
        <v>575</v>
      </c>
      <c r="N16" s="304">
        <f t="shared" si="5"/>
        <v>141.62561576354679</v>
      </c>
      <c r="O16" s="467">
        <v>0</v>
      </c>
      <c r="P16" s="303">
        <f t="shared" si="6"/>
        <v>406</v>
      </c>
    </row>
    <row r="17" spans="1:16" s="400" customFormat="1" ht="15">
      <c r="A17" s="446" t="s">
        <v>574</v>
      </c>
      <c r="B17" s="447">
        <f>SUM(B16)</f>
        <v>0</v>
      </c>
      <c r="C17" s="438"/>
      <c r="D17" s="438">
        <f>SUM(D16)</f>
        <v>0</v>
      </c>
      <c r="E17" s="438">
        <f>SUM(E16)</f>
        <v>574</v>
      </c>
      <c r="F17" s="438">
        <f>SUM(F16)</f>
        <v>0</v>
      </c>
      <c r="G17" s="551">
        <f>SUM(G16)</f>
        <v>406</v>
      </c>
      <c r="H17" s="304">
        <f t="shared" si="0"/>
        <v>406</v>
      </c>
      <c r="I17" s="304">
        <f>SUM(I16)</f>
        <v>574</v>
      </c>
      <c r="J17" s="614">
        <f t="shared" si="3"/>
        <v>141.37931034482759</v>
      </c>
      <c r="K17" s="304">
        <f>SUM(K16)</f>
        <v>0</v>
      </c>
      <c r="L17" s="304">
        <f t="shared" si="4"/>
        <v>406</v>
      </c>
      <c r="M17" s="304">
        <f>SUM(M16)</f>
        <v>575</v>
      </c>
      <c r="N17" s="304">
        <f t="shared" si="5"/>
        <v>141.62561576354679</v>
      </c>
      <c r="O17" s="304">
        <f>SUM(O16)</f>
        <v>0</v>
      </c>
      <c r="P17" s="304">
        <f t="shared" si="6"/>
        <v>406</v>
      </c>
    </row>
    <row r="18" spans="1:16" ht="15">
      <c r="A18" s="50" t="s">
        <v>316</v>
      </c>
      <c r="D18" s="40"/>
      <c r="H18" s="468"/>
      <c r="M18" s="44"/>
    </row>
    <row r="19" spans="1:16">
      <c r="A19" s="39" t="s">
        <v>317</v>
      </c>
      <c r="B19" s="40">
        <v>196706</v>
      </c>
      <c r="C19" s="40">
        <v>0</v>
      </c>
      <c r="D19" s="40">
        <f t="shared" si="1"/>
        <v>196706</v>
      </c>
      <c r="E19" s="40">
        <v>66540</v>
      </c>
      <c r="F19" s="40">
        <f t="shared" si="2"/>
        <v>33.82713287850904</v>
      </c>
      <c r="G19" s="46">
        <v>23037</v>
      </c>
      <c r="H19" s="468">
        <f t="shared" si="0"/>
        <v>219743</v>
      </c>
      <c r="I19" s="40">
        <v>104849</v>
      </c>
      <c r="J19" s="611">
        <f t="shared" si="3"/>
        <v>47.714375429478984</v>
      </c>
      <c r="K19" s="40">
        <v>683</v>
      </c>
      <c r="L19" s="46">
        <f t="shared" si="4"/>
        <v>220426</v>
      </c>
      <c r="M19" s="44">
        <v>150287</v>
      </c>
      <c r="N19" s="40">
        <f t="shared" si="5"/>
        <v>68.180250968579031</v>
      </c>
      <c r="O19" s="40">
        <v>474</v>
      </c>
      <c r="P19" s="40">
        <f t="shared" si="6"/>
        <v>220900</v>
      </c>
    </row>
    <row r="20" spans="1:16">
      <c r="A20" s="39" t="s">
        <v>507</v>
      </c>
      <c r="B20" s="40">
        <v>53125</v>
      </c>
      <c r="C20" s="40">
        <v>0</v>
      </c>
      <c r="D20" s="40">
        <f t="shared" si="1"/>
        <v>53125</v>
      </c>
      <c r="E20" s="40">
        <v>17550</v>
      </c>
      <c r="F20" s="40">
        <f t="shared" si="2"/>
        <v>33.035294117647055</v>
      </c>
      <c r="G20" s="46">
        <v>6152</v>
      </c>
      <c r="H20" s="468">
        <f t="shared" si="0"/>
        <v>59277</v>
      </c>
      <c r="I20" s="44">
        <v>27380</v>
      </c>
      <c r="J20" s="611">
        <f t="shared" si="3"/>
        <v>46.189921892133547</v>
      </c>
      <c r="K20" s="40">
        <v>184</v>
      </c>
      <c r="L20" s="46">
        <f t="shared" si="4"/>
        <v>59461</v>
      </c>
      <c r="M20" s="44">
        <v>39152</v>
      </c>
      <c r="N20" s="40">
        <f t="shared" si="5"/>
        <v>65.844839474613622</v>
      </c>
      <c r="O20" s="40">
        <f>1493-2841</f>
        <v>-1348</v>
      </c>
      <c r="P20" s="40">
        <f t="shared" si="6"/>
        <v>58113</v>
      </c>
    </row>
    <row r="21" spans="1:16">
      <c r="A21" s="39" t="s">
        <v>221</v>
      </c>
      <c r="B21" s="40">
        <v>82131</v>
      </c>
      <c r="C21" s="40">
        <v>0</v>
      </c>
      <c r="D21" s="40">
        <f t="shared" si="1"/>
        <v>82131</v>
      </c>
      <c r="E21" s="40">
        <v>25316</v>
      </c>
      <c r="F21" s="40">
        <f t="shared" si="2"/>
        <v>30.823927627814101</v>
      </c>
      <c r="G21" s="46">
        <v>13042</v>
      </c>
      <c r="H21" s="468">
        <f t="shared" si="0"/>
        <v>95173</v>
      </c>
      <c r="I21" s="44">
        <v>47747</v>
      </c>
      <c r="J21" s="611">
        <f t="shared" si="3"/>
        <v>50.168640265621555</v>
      </c>
      <c r="K21" s="40">
        <v>3426</v>
      </c>
      <c r="L21" s="40">
        <f t="shared" si="4"/>
        <v>98599</v>
      </c>
      <c r="M21" s="44">
        <v>75780</v>
      </c>
      <c r="N21" s="40">
        <f t="shared" si="5"/>
        <v>76.856763253177007</v>
      </c>
      <c r="O21" s="40">
        <f>4379-40+1406</f>
        <v>5745</v>
      </c>
      <c r="P21" s="40">
        <f t="shared" si="6"/>
        <v>104344</v>
      </c>
    </row>
    <row r="22" spans="1:16">
      <c r="A22" s="39" t="s">
        <v>318</v>
      </c>
      <c r="B22" s="103">
        <v>5000</v>
      </c>
      <c r="C22" s="103">
        <v>0</v>
      </c>
      <c r="D22" s="103">
        <f t="shared" si="1"/>
        <v>5000</v>
      </c>
      <c r="E22" s="103">
        <v>537</v>
      </c>
      <c r="F22" s="103">
        <f t="shared" si="2"/>
        <v>10.74</v>
      </c>
      <c r="G22" s="549">
        <v>0</v>
      </c>
      <c r="H22" s="450">
        <f t="shared" si="0"/>
        <v>5000</v>
      </c>
      <c r="I22" s="103">
        <v>1085</v>
      </c>
      <c r="J22" s="613">
        <f t="shared" si="3"/>
        <v>21.7</v>
      </c>
      <c r="K22" s="103">
        <v>0</v>
      </c>
      <c r="L22" s="103">
        <f t="shared" si="4"/>
        <v>5000</v>
      </c>
      <c r="M22" s="103">
        <v>1775</v>
      </c>
      <c r="N22" s="103">
        <f t="shared" si="5"/>
        <v>35.5</v>
      </c>
      <c r="O22" s="103">
        <v>40</v>
      </c>
      <c r="P22" s="103">
        <f t="shared" si="6"/>
        <v>5040</v>
      </c>
    </row>
    <row r="23" spans="1:16">
      <c r="A23" s="51" t="s">
        <v>132</v>
      </c>
      <c r="B23" s="40">
        <f>SUM(B19:B22)</f>
        <v>336962</v>
      </c>
      <c r="C23" s="40">
        <v>0</v>
      </c>
      <c r="D23" s="40">
        <f t="shared" si="1"/>
        <v>336962</v>
      </c>
      <c r="E23" s="40">
        <f>SUM(E19:E22)</f>
        <v>109943</v>
      </c>
      <c r="F23" s="40">
        <f t="shared" si="2"/>
        <v>32.627714697799753</v>
      </c>
      <c r="G23" s="46">
        <f>SUM(G19:G22)</f>
        <v>42231</v>
      </c>
      <c r="H23" s="468">
        <f t="shared" si="0"/>
        <v>379193</v>
      </c>
      <c r="I23" s="40">
        <f>SUM(I19:I22)</f>
        <v>181061</v>
      </c>
      <c r="J23" s="611">
        <f t="shared" si="3"/>
        <v>47.749035451603802</v>
      </c>
      <c r="K23" s="40">
        <f>SUM(K19:K22)</f>
        <v>4293</v>
      </c>
      <c r="L23" s="40">
        <f t="shared" si="4"/>
        <v>383486</v>
      </c>
      <c r="M23" s="44">
        <f>SUM(M19:M22)</f>
        <v>266994</v>
      </c>
      <c r="N23" s="40">
        <f t="shared" si="5"/>
        <v>69.622880626672156</v>
      </c>
      <c r="O23" s="40">
        <f>SUM(O19:O22)</f>
        <v>4911</v>
      </c>
      <c r="P23" s="40">
        <f t="shared" si="6"/>
        <v>388397</v>
      </c>
    </row>
    <row r="24" spans="1:16">
      <c r="A24" s="39" t="s">
        <v>319</v>
      </c>
      <c r="B24" s="40">
        <v>500</v>
      </c>
      <c r="C24" s="40">
        <v>0</v>
      </c>
      <c r="D24" s="40">
        <f t="shared" si="1"/>
        <v>500</v>
      </c>
      <c r="E24" s="40">
        <v>40</v>
      </c>
      <c r="F24" s="40">
        <f t="shared" si="2"/>
        <v>8</v>
      </c>
      <c r="G24" s="46">
        <v>0</v>
      </c>
      <c r="H24" s="468">
        <f t="shared" si="0"/>
        <v>500</v>
      </c>
      <c r="I24" s="44">
        <v>148</v>
      </c>
      <c r="J24" s="611">
        <f t="shared" si="3"/>
        <v>29.599999999999998</v>
      </c>
      <c r="K24" s="40">
        <v>0</v>
      </c>
      <c r="L24" s="40">
        <f t="shared" si="4"/>
        <v>500</v>
      </c>
      <c r="M24" s="44">
        <v>185</v>
      </c>
      <c r="N24" s="40">
        <f t="shared" si="5"/>
        <v>37</v>
      </c>
      <c r="O24" s="40">
        <v>0</v>
      </c>
      <c r="P24" s="40">
        <f t="shared" si="6"/>
        <v>500</v>
      </c>
    </row>
    <row r="25" spans="1:16">
      <c r="A25" s="39" t="s">
        <v>320</v>
      </c>
      <c r="B25" s="40">
        <v>10750</v>
      </c>
      <c r="C25" s="103">
        <v>0</v>
      </c>
      <c r="D25" s="103">
        <f t="shared" si="1"/>
        <v>10750</v>
      </c>
      <c r="E25" s="103">
        <v>2013</v>
      </c>
      <c r="F25" s="103">
        <f t="shared" si="2"/>
        <v>18.725581395348836</v>
      </c>
      <c r="G25" s="46">
        <v>0</v>
      </c>
      <c r="H25" s="468">
        <f t="shared" si="0"/>
        <v>10750</v>
      </c>
      <c r="I25" s="40">
        <v>4420</v>
      </c>
      <c r="J25" s="613">
        <f t="shared" si="3"/>
        <v>41.116279069767444</v>
      </c>
      <c r="K25" s="40">
        <v>0</v>
      </c>
      <c r="L25" s="40">
        <f t="shared" si="4"/>
        <v>10750</v>
      </c>
      <c r="M25" s="44">
        <v>7289</v>
      </c>
      <c r="N25" s="40">
        <f t="shared" si="5"/>
        <v>67.804651162790691</v>
      </c>
      <c r="O25" s="40">
        <v>0</v>
      </c>
      <c r="P25" s="40">
        <f t="shared" si="6"/>
        <v>10750</v>
      </c>
    </row>
    <row r="26" spans="1:16">
      <c r="A26" s="49" t="s">
        <v>321</v>
      </c>
      <c r="B26" s="48">
        <f>SUM(B24:B25)</f>
        <v>11250</v>
      </c>
      <c r="C26" s="303">
        <v>0</v>
      </c>
      <c r="D26" s="303">
        <f t="shared" si="1"/>
        <v>11250</v>
      </c>
      <c r="E26" s="303">
        <f>SUM(E24:E25)</f>
        <v>2053</v>
      </c>
      <c r="F26" s="303">
        <f t="shared" si="2"/>
        <v>18.248888888888889</v>
      </c>
      <c r="G26" s="555">
        <v>0</v>
      </c>
      <c r="H26" s="467">
        <f t="shared" si="0"/>
        <v>11250</v>
      </c>
      <c r="I26" s="303">
        <f>SUM(I24:I25)</f>
        <v>4568</v>
      </c>
      <c r="J26" s="615">
        <f t="shared" si="3"/>
        <v>40.604444444444439</v>
      </c>
      <c r="K26" s="303">
        <f>SUM(K24:K25)</f>
        <v>0</v>
      </c>
      <c r="L26" s="303">
        <f t="shared" si="4"/>
        <v>11250</v>
      </c>
      <c r="M26" s="303">
        <v>7474</v>
      </c>
      <c r="N26" s="303">
        <f t="shared" si="5"/>
        <v>66.435555555555553</v>
      </c>
      <c r="O26" s="303">
        <f>SUM(O24:O25)</f>
        <v>0</v>
      </c>
      <c r="P26" s="303">
        <f t="shared" si="6"/>
        <v>11250</v>
      </c>
    </row>
    <row r="27" spans="1:16" s="400" customFormat="1" ht="15">
      <c r="A27" s="437" t="s">
        <v>322</v>
      </c>
      <c r="B27" s="434">
        <f>B23+B26</f>
        <v>348212</v>
      </c>
      <c r="C27" s="304">
        <v>0</v>
      </c>
      <c r="D27" s="304">
        <f>B27+C27</f>
        <v>348212</v>
      </c>
      <c r="E27" s="304">
        <f>E23+E26</f>
        <v>111996</v>
      </c>
      <c r="F27" s="304">
        <f t="shared" si="2"/>
        <v>32.163164968467484</v>
      </c>
      <c r="G27" s="553">
        <f>G23+G26</f>
        <v>42231</v>
      </c>
      <c r="H27" s="436">
        <f t="shared" si="0"/>
        <v>390443</v>
      </c>
      <c r="I27" s="436">
        <f>I23+I26</f>
        <v>185629</v>
      </c>
      <c r="J27" s="614">
        <f t="shared" si="3"/>
        <v>47.543175316243349</v>
      </c>
      <c r="K27" s="436">
        <f>K23+K26</f>
        <v>4293</v>
      </c>
      <c r="L27" s="304">
        <f t="shared" si="4"/>
        <v>394736</v>
      </c>
      <c r="M27" s="730">
        <f>M23+M26</f>
        <v>274468</v>
      </c>
      <c r="N27" s="436">
        <f t="shared" si="5"/>
        <v>69.532041668355561</v>
      </c>
      <c r="O27" s="436">
        <f>O23+O26</f>
        <v>4911</v>
      </c>
      <c r="P27" s="436">
        <f t="shared" si="6"/>
        <v>399647</v>
      </c>
    </row>
    <row r="28" spans="1:16" s="400" customFormat="1" ht="15">
      <c r="A28" s="437" t="s">
        <v>312</v>
      </c>
      <c r="B28" s="434">
        <f>SUM(B14+B15+B27)</f>
        <v>366179</v>
      </c>
      <c r="C28" s="304">
        <f>C14+C15+C27</f>
        <v>20216</v>
      </c>
      <c r="D28" s="304">
        <f t="shared" si="1"/>
        <v>386395</v>
      </c>
      <c r="E28" s="304">
        <f>E14+E15+E17+E27</f>
        <v>140624</v>
      </c>
      <c r="F28" s="304">
        <f t="shared" si="2"/>
        <v>36.393845676056884</v>
      </c>
      <c r="G28" s="551">
        <f>G14+G15+G17+G27</f>
        <v>63882</v>
      </c>
      <c r="H28" s="304">
        <f t="shared" si="0"/>
        <v>450277</v>
      </c>
      <c r="I28" s="304">
        <f>I14+I15+I17+I27</f>
        <v>232872</v>
      </c>
      <c r="J28" s="614">
        <f t="shared" si="3"/>
        <v>51.717498339910762</v>
      </c>
      <c r="K28" s="304">
        <f>K14+K15+K17+K27</f>
        <v>31176</v>
      </c>
      <c r="L28" s="304">
        <f t="shared" si="4"/>
        <v>481453</v>
      </c>
      <c r="M28" s="304">
        <f>M14+M15+M17+M27</f>
        <v>339384</v>
      </c>
      <c r="N28" s="304">
        <f t="shared" si="5"/>
        <v>70.491616004054393</v>
      </c>
      <c r="O28" s="304">
        <f>O14+O15+O17+O27</f>
        <v>19980</v>
      </c>
      <c r="P28" s="304">
        <f t="shared" si="6"/>
        <v>501433</v>
      </c>
    </row>
    <row r="30" spans="1:16">
      <c r="A30" s="859" t="s">
        <v>3</v>
      </c>
    </row>
  </sheetData>
  <sheetProtection selectLockedCells="1" selectUnlockedCells="1"/>
  <mergeCells count="3">
    <mergeCell ref="A1:P1"/>
    <mergeCell ref="A3:P3"/>
    <mergeCell ref="B5:P5"/>
  </mergeCells>
  <phoneticPr fontId="11" type="noConversion"/>
  <printOptions horizontalCentered="1"/>
  <pageMargins left="0.78749999999999998" right="0.39374999999999999" top="0.32013888888888886" bottom="0.4" header="0.51180555555555551" footer="0.51180555555555551"/>
  <pageSetup paperSize="9" scale="85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4"/>
  <sheetViews>
    <sheetView view="pageBreakPreview" topLeftCell="A13" zoomScale="75" zoomScaleNormal="100" zoomScaleSheetLayoutView="75" workbookViewId="0">
      <selection activeCell="A34" sqref="A34"/>
    </sheetView>
  </sheetViews>
  <sheetFormatPr defaultRowHeight="12.75"/>
  <cols>
    <col min="1" max="1" width="20.28515625" style="52" customWidth="1"/>
    <col min="2" max="2" width="18" style="52" customWidth="1"/>
    <col min="3" max="3" width="10.42578125" style="52" bestFit="1" customWidth="1"/>
    <col min="4" max="4" width="7.85546875" style="52" bestFit="1" customWidth="1"/>
    <col min="5" max="5" width="9.85546875" style="52" customWidth="1"/>
    <col min="6" max="6" width="10.28515625" style="52" bestFit="1" customWidth="1"/>
    <col min="7" max="7" width="9.42578125" style="52" customWidth="1"/>
    <col min="8" max="8" width="9" style="52" customWidth="1"/>
    <col min="9" max="9" width="9.42578125" style="52" customWidth="1"/>
    <col min="10" max="10" width="9.28515625" style="52" bestFit="1" customWidth="1"/>
    <col min="11" max="14" width="9.42578125" style="52" customWidth="1"/>
    <col min="15" max="15" width="10.28515625" style="52" bestFit="1" customWidth="1"/>
    <col min="16" max="16" width="9.7109375" style="52" customWidth="1"/>
    <col min="17" max="16384" width="9.140625" style="52"/>
  </cols>
  <sheetData>
    <row r="1" spans="1:17">
      <c r="G1" s="945"/>
      <c r="H1" s="945"/>
      <c r="I1" s="945"/>
      <c r="J1" s="945"/>
      <c r="K1" s="945"/>
      <c r="L1" s="945"/>
      <c r="M1" s="945"/>
      <c r="N1" s="945"/>
      <c r="O1" s="945"/>
      <c r="P1" s="945"/>
      <c r="Q1" s="53"/>
    </row>
    <row r="2" spans="1:17" s="81" customFormat="1" ht="14.25">
      <c r="G2" s="416"/>
      <c r="H2" s="416"/>
      <c r="I2" s="416"/>
      <c r="J2" s="947" t="s">
        <v>893</v>
      </c>
      <c r="K2" s="947"/>
      <c r="L2" s="947"/>
      <c r="M2" s="947"/>
      <c r="N2" s="947"/>
      <c r="O2" s="947"/>
      <c r="P2" s="947"/>
      <c r="Q2" s="417"/>
    </row>
    <row r="4" spans="1:17" ht="15.75">
      <c r="A4" s="936" t="s">
        <v>357</v>
      </c>
      <c r="B4" s="936"/>
      <c r="C4" s="936"/>
      <c r="D4" s="936"/>
      <c r="E4" s="936"/>
      <c r="F4" s="936"/>
      <c r="G4" s="936"/>
      <c r="H4" s="936"/>
      <c r="I4" s="936"/>
      <c r="J4" s="936"/>
      <c r="K4" s="936"/>
      <c r="L4" s="936"/>
      <c r="M4" s="936"/>
      <c r="N4" s="936"/>
      <c r="O4" s="936"/>
      <c r="P4" s="936"/>
    </row>
    <row r="5" spans="1:17" ht="15.75">
      <c r="A5" s="54"/>
      <c r="B5" s="54"/>
      <c r="C5" s="935" t="s">
        <v>777</v>
      </c>
      <c r="D5" s="936"/>
      <c r="E5" s="936"/>
      <c r="F5" s="936"/>
      <c r="G5" s="936"/>
      <c r="H5" s="936"/>
      <c r="I5" s="936"/>
      <c r="J5" s="936"/>
      <c r="K5" s="936"/>
      <c r="L5" s="936"/>
      <c r="M5" s="54"/>
      <c r="N5" s="54"/>
      <c r="O5" s="54"/>
      <c r="P5" s="54"/>
    </row>
    <row r="6" spans="1:17" ht="15.7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7">
      <c r="A7" s="56"/>
      <c r="B7" s="56"/>
      <c r="C7" s="56"/>
      <c r="D7" s="56"/>
      <c r="E7" s="56"/>
      <c r="F7" s="56"/>
      <c r="G7" s="56"/>
      <c r="I7" s="56"/>
      <c r="J7" s="56"/>
      <c r="K7" s="948" t="s">
        <v>103</v>
      </c>
      <c r="L7" s="948"/>
      <c r="M7" s="948"/>
      <c r="N7" s="948"/>
      <c r="O7" s="948"/>
      <c r="P7" s="948"/>
    </row>
    <row r="8" spans="1:17">
      <c r="A8" s="57"/>
      <c r="B8" s="58"/>
      <c r="C8" s="957" t="s">
        <v>347</v>
      </c>
      <c r="D8" s="957"/>
      <c r="E8" s="957"/>
      <c r="F8" s="957"/>
      <c r="G8" s="946" t="s">
        <v>348</v>
      </c>
      <c r="H8" s="946" t="s">
        <v>358</v>
      </c>
      <c r="I8" s="946" t="s">
        <v>359</v>
      </c>
      <c r="J8" s="946" t="s">
        <v>360</v>
      </c>
      <c r="K8" s="946" t="s">
        <v>361</v>
      </c>
      <c r="L8" s="946" t="s">
        <v>362</v>
      </c>
      <c r="M8" s="946" t="s">
        <v>363</v>
      </c>
      <c r="N8" s="946" t="s">
        <v>364</v>
      </c>
      <c r="O8" s="946" t="s">
        <v>365</v>
      </c>
      <c r="P8" s="946" t="s">
        <v>190</v>
      </c>
    </row>
    <row r="9" spans="1:17">
      <c r="A9" s="59" t="s">
        <v>323</v>
      </c>
      <c r="B9" s="60"/>
      <c r="C9" s="61" t="s">
        <v>324</v>
      </c>
      <c r="D9" s="61" t="s">
        <v>325</v>
      </c>
      <c r="E9" s="62" t="s">
        <v>326</v>
      </c>
      <c r="F9" s="61" t="s">
        <v>327</v>
      </c>
      <c r="G9" s="946"/>
      <c r="H9" s="946"/>
      <c r="I9" s="946"/>
      <c r="J9" s="946"/>
      <c r="K9" s="946"/>
      <c r="L9" s="946"/>
      <c r="M9" s="946"/>
      <c r="N9" s="946"/>
      <c r="O9" s="946"/>
      <c r="P9" s="946"/>
    </row>
    <row r="10" spans="1:17" ht="12.6" customHeight="1">
      <c r="A10" s="63" t="s">
        <v>328</v>
      </c>
      <c r="B10" s="64"/>
      <c r="C10" s="65">
        <v>126496</v>
      </c>
      <c r="D10" s="65">
        <v>0</v>
      </c>
      <c r="E10" s="65">
        <v>126496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  <c r="O10" s="65">
        <v>0</v>
      </c>
      <c r="P10" s="65">
        <f>SUM(G10:O10)</f>
        <v>0</v>
      </c>
    </row>
    <row r="11" spans="1:17" ht="12" customHeight="1">
      <c r="A11" s="66" t="s">
        <v>329</v>
      </c>
      <c r="B11" s="67"/>
      <c r="C11" s="68">
        <v>20508</v>
      </c>
      <c r="D11" s="68">
        <v>0</v>
      </c>
      <c r="E11" s="68">
        <v>20508</v>
      </c>
      <c r="F11" s="65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5">
        <f>SUM(G11:O11)</f>
        <v>0</v>
      </c>
    </row>
    <row r="12" spans="1:17" ht="12" customHeight="1">
      <c r="A12" s="734" t="s">
        <v>829</v>
      </c>
      <c r="B12" s="67"/>
      <c r="C12" s="68">
        <v>98001</v>
      </c>
      <c r="D12" s="68">
        <v>0</v>
      </c>
      <c r="E12" s="68">
        <v>0</v>
      </c>
      <c r="F12" s="65">
        <v>98001</v>
      </c>
      <c r="G12" s="68">
        <v>0</v>
      </c>
      <c r="H12" s="68">
        <v>10121</v>
      </c>
      <c r="I12" s="68">
        <v>13520</v>
      </c>
      <c r="J12" s="68">
        <v>13520</v>
      </c>
      <c r="K12" s="68">
        <v>13520</v>
      </c>
      <c r="L12" s="68">
        <v>13520</v>
      </c>
      <c r="M12" s="68">
        <v>13520</v>
      </c>
      <c r="N12" s="68">
        <v>13520</v>
      </c>
      <c r="O12" s="68">
        <v>6760</v>
      </c>
      <c r="P12" s="65">
        <f>SUM(G12:O12)</f>
        <v>98001</v>
      </c>
    </row>
    <row r="13" spans="1:17">
      <c r="A13" s="69" t="s">
        <v>330</v>
      </c>
      <c r="B13" s="70"/>
      <c r="C13" s="71">
        <f t="shared" ref="C13:P13" si="0">SUM(C10:C12)</f>
        <v>245005</v>
      </c>
      <c r="D13" s="71">
        <f t="shared" si="0"/>
        <v>0</v>
      </c>
      <c r="E13" s="71">
        <f t="shared" si="0"/>
        <v>147004</v>
      </c>
      <c r="F13" s="71">
        <f t="shared" si="0"/>
        <v>98001</v>
      </c>
      <c r="G13" s="71">
        <f t="shared" si="0"/>
        <v>0</v>
      </c>
      <c r="H13" s="71">
        <f t="shared" si="0"/>
        <v>10121</v>
      </c>
      <c r="I13" s="71">
        <f t="shared" si="0"/>
        <v>13520</v>
      </c>
      <c r="J13" s="71">
        <f t="shared" si="0"/>
        <v>13520</v>
      </c>
      <c r="K13" s="71">
        <f t="shared" si="0"/>
        <v>13520</v>
      </c>
      <c r="L13" s="71">
        <f t="shared" si="0"/>
        <v>13520</v>
      </c>
      <c r="M13" s="71">
        <f t="shared" si="0"/>
        <v>13520</v>
      </c>
      <c r="N13" s="71">
        <f t="shared" si="0"/>
        <v>13520</v>
      </c>
      <c r="O13" s="71">
        <f t="shared" si="0"/>
        <v>6760</v>
      </c>
      <c r="P13" s="71">
        <f t="shared" si="0"/>
        <v>98001</v>
      </c>
    </row>
    <row r="14" spans="1:17">
      <c r="A14" s="72" t="s">
        <v>331</v>
      </c>
      <c r="B14" s="73"/>
      <c r="C14" s="74">
        <v>625000</v>
      </c>
      <c r="D14" s="75">
        <v>0</v>
      </c>
      <c r="E14" s="74">
        <v>184982</v>
      </c>
      <c r="F14" s="65">
        <f>SUM(C14+D14-E14)</f>
        <v>440018</v>
      </c>
      <c r="G14" s="74">
        <v>110104</v>
      </c>
      <c r="H14" s="74">
        <v>110104</v>
      </c>
      <c r="I14" s="74">
        <v>110104</v>
      </c>
      <c r="J14" s="74">
        <v>109706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f>SUM(G14:O14)</f>
        <v>440018</v>
      </c>
    </row>
    <row r="15" spans="1:17">
      <c r="A15" s="72" t="s">
        <v>332</v>
      </c>
      <c r="B15" s="73"/>
      <c r="C15" s="74">
        <v>895000</v>
      </c>
      <c r="D15" s="75">
        <v>0</v>
      </c>
      <c r="E15" s="74">
        <v>895000</v>
      </c>
      <c r="F15" s="76">
        <v>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f>SUM(G15:O15)</f>
        <v>0</v>
      </c>
    </row>
    <row r="16" spans="1:17" s="81" customFormat="1">
      <c r="A16" s="77" t="s">
        <v>333</v>
      </c>
      <c r="B16" s="78"/>
      <c r="C16" s="79">
        <f>SUM(C13:C15)</f>
        <v>1765005</v>
      </c>
      <c r="D16" s="80">
        <f>SUM(D13:D14)</f>
        <v>0</v>
      </c>
      <c r="E16" s="79">
        <f>SUM(E13:E15)</f>
        <v>1226986</v>
      </c>
      <c r="F16" s="80">
        <f>SUM(C16-E16)</f>
        <v>538019</v>
      </c>
      <c r="G16" s="79">
        <f t="shared" ref="G16:P16" si="1">SUM(G13:G15)</f>
        <v>110104</v>
      </c>
      <c r="H16" s="79">
        <f t="shared" si="1"/>
        <v>120225</v>
      </c>
      <c r="I16" s="79">
        <f t="shared" si="1"/>
        <v>123624</v>
      </c>
      <c r="J16" s="79">
        <f t="shared" si="1"/>
        <v>123226</v>
      </c>
      <c r="K16" s="79">
        <f t="shared" si="1"/>
        <v>13520</v>
      </c>
      <c r="L16" s="79">
        <f t="shared" si="1"/>
        <v>13520</v>
      </c>
      <c r="M16" s="79">
        <f t="shared" si="1"/>
        <v>13520</v>
      </c>
      <c r="N16" s="79">
        <f t="shared" si="1"/>
        <v>13520</v>
      </c>
      <c r="O16" s="79">
        <f t="shared" si="1"/>
        <v>6760</v>
      </c>
      <c r="P16" s="79">
        <f t="shared" si="1"/>
        <v>538019</v>
      </c>
    </row>
    <row r="17" spans="1:17" s="81" customFormat="1" ht="25.5">
      <c r="A17" s="77" t="s">
        <v>366</v>
      </c>
      <c r="B17" s="78"/>
      <c r="C17" s="79"/>
      <c r="D17" s="80"/>
      <c r="E17" s="82">
        <v>52500</v>
      </c>
      <c r="F17" s="80"/>
      <c r="G17" s="79"/>
      <c r="H17" s="79"/>
      <c r="I17" s="79"/>
      <c r="J17" s="79"/>
      <c r="K17" s="79"/>
      <c r="L17" s="79"/>
      <c r="M17" s="79"/>
      <c r="N17" s="79"/>
      <c r="O17" s="79"/>
      <c r="P17" s="79"/>
    </row>
    <row r="18" spans="1:17" s="81" customFormat="1">
      <c r="A18" s="83"/>
      <c r="B18" s="83"/>
      <c r="C18" s="84"/>
      <c r="D18" s="85"/>
      <c r="E18" s="86"/>
      <c r="F18" s="85"/>
      <c r="G18" s="84"/>
      <c r="H18" s="84"/>
      <c r="I18" s="84"/>
      <c r="J18" s="84"/>
      <c r="K18" s="84"/>
      <c r="L18" s="84"/>
      <c r="M18" s="84"/>
      <c r="N18" s="84"/>
      <c r="O18" s="84"/>
      <c r="P18" s="84"/>
    </row>
    <row r="19" spans="1:17" s="81" customFormat="1" ht="13.15" hidden="1" customHeight="1">
      <c r="A19" s="937" t="s">
        <v>731</v>
      </c>
      <c r="B19" s="937"/>
      <c r="C19" s="937"/>
      <c r="D19" s="937"/>
      <c r="E19" s="937"/>
      <c r="F19" s="937"/>
      <c r="G19" s="937"/>
      <c r="H19" s="937"/>
      <c r="I19" s="937"/>
      <c r="J19" s="937"/>
      <c r="K19" s="937"/>
      <c r="L19" s="937"/>
      <c r="M19" s="937"/>
      <c r="N19" s="937"/>
      <c r="O19" s="937"/>
      <c r="P19" s="937"/>
    </row>
    <row r="20" spans="1:17" s="81" customFormat="1" ht="14.45" hidden="1" customHeight="1">
      <c r="A20" s="938" t="s">
        <v>730</v>
      </c>
      <c r="B20" s="939"/>
      <c r="C20" s="940">
        <v>788330</v>
      </c>
      <c r="D20" s="941"/>
      <c r="E20" s="942"/>
      <c r="F20" s="85"/>
      <c r="G20" s="84"/>
      <c r="H20" s="84"/>
      <c r="I20" s="84"/>
      <c r="J20" s="84"/>
      <c r="K20" s="84"/>
      <c r="L20" s="84"/>
      <c r="M20" s="84"/>
      <c r="N20" s="84"/>
      <c r="O20" s="84"/>
      <c r="P20" s="84"/>
    </row>
    <row r="21" spans="1:17" s="81" customFormat="1" hidden="1">
      <c r="A21" s="937" t="s">
        <v>828</v>
      </c>
      <c r="B21" s="937"/>
      <c r="C21" s="937"/>
      <c r="D21" s="937"/>
      <c r="E21" s="937"/>
      <c r="F21" s="937"/>
      <c r="G21" s="937"/>
      <c r="H21" s="937"/>
      <c r="I21" s="937"/>
      <c r="J21" s="937"/>
      <c r="K21" s="937"/>
      <c r="L21" s="937"/>
      <c r="M21" s="937"/>
      <c r="N21" s="937"/>
      <c r="O21" s="937"/>
      <c r="P21" s="937"/>
    </row>
    <row r="22" spans="1:17" ht="13.15" hidden="1" customHeight="1">
      <c r="A22" s="943" t="s">
        <v>730</v>
      </c>
      <c r="B22" s="943"/>
      <c r="C22" s="944">
        <v>723138</v>
      </c>
      <c r="D22" s="944"/>
      <c r="E22" s="944"/>
      <c r="F22" s="85"/>
      <c r="G22" s="84"/>
      <c r="H22" s="84"/>
      <c r="I22" s="84"/>
      <c r="J22" s="84"/>
      <c r="K22" s="84"/>
      <c r="L22" s="84"/>
      <c r="M22" s="84"/>
      <c r="N22" s="84"/>
      <c r="O22" s="84"/>
      <c r="P22" s="84"/>
    </row>
    <row r="23" spans="1:17" ht="18.600000000000001" customHeight="1">
      <c r="A23" s="731"/>
      <c r="B23" s="731"/>
      <c r="C23" s="732"/>
      <c r="D23" s="732"/>
      <c r="E23" s="732"/>
      <c r="F23" s="85"/>
      <c r="G23" s="84"/>
      <c r="H23" s="84"/>
      <c r="I23" s="84"/>
      <c r="J23" s="84"/>
      <c r="K23" s="84"/>
      <c r="L23" s="84"/>
      <c r="M23" s="84"/>
      <c r="N23" s="84"/>
      <c r="O23" s="84"/>
      <c r="P23" s="84"/>
    </row>
    <row r="24" spans="1:17" s="81" customFormat="1">
      <c r="A24" s="932" t="s">
        <v>334</v>
      </c>
      <c r="B24" s="932"/>
      <c r="C24" s="932"/>
      <c r="D24" s="932"/>
      <c r="E24" s="932"/>
      <c r="F24" s="932"/>
      <c r="G24" s="932"/>
      <c r="H24" s="932"/>
      <c r="I24" s="932"/>
      <c r="J24" s="932"/>
      <c r="K24" s="932"/>
      <c r="L24" s="932"/>
      <c r="M24" s="932"/>
      <c r="N24" s="932"/>
      <c r="O24" s="932"/>
      <c r="P24" s="932"/>
      <c r="Q24" s="83"/>
    </row>
    <row r="25" spans="1:17" s="81" customFormat="1" ht="35.450000000000003" customHeight="1">
      <c r="A25" s="955" t="s">
        <v>335</v>
      </c>
      <c r="B25" s="956"/>
      <c r="C25" s="931">
        <v>699561</v>
      </c>
      <c r="D25" s="931"/>
      <c r="E25" s="931"/>
      <c r="F25" s="931"/>
      <c r="G25" s="79">
        <f>SUM(C25)*1.03</f>
        <v>720547.83000000007</v>
      </c>
      <c r="H25" s="79">
        <f t="shared" ref="H25:P25" si="2">SUM(G25)*1.03</f>
        <v>742164.26490000007</v>
      </c>
      <c r="I25" s="79">
        <f t="shared" si="2"/>
        <v>764429.19284700009</v>
      </c>
      <c r="J25" s="79">
        <f t="shared" si="2"/>
        <v>787362.06863241014</v>
      </c>
      <c r="K25" s="79">
        <f t="shared" si="2"/>
        <v>810982.9306913825</v>
      </c>
      <c r="L25" s="79">
        <f t="shared" si="2"/>
        <v>835312.41861212405</v>
      </c>
      <c r="M25" s="79">
        <f t="shared" si="2"/>
        <v>860371.79117048776</v>
      </c>
      <c r="N25" s="79">
        <f t="shared" si="2"/>
        <v>886182.94490560237</v>
      </c>
      <c r="O25" s="79">
        <f t="shared" si="2"/>
        <v>912768.43325277045</v>
      </c>
      <c r="P25" s="79">
        <f t="shared" si="2"/>
        <v>940151.48625035363</v>
      </c>
      <c r="Q25" s="84"/>
    </row>
    <row r="26" spans="1:17" s="81" customFormat="1" ht="27.6" customHeight="1">
      <c r="A26" s="933" t="s">
        <v>336</v>
      </c>
      <c r="B26" s="934"/>
      <c r="C26" s="954">
        <f>SUM(C25)/2</f>
        <v>349780.5</v>
      </c>
      <c r="D26" s="954"/>
      <c r="E26" s="954"/>
      <c r="F26" s="954"/>
      <c r="G26" s="80">
        <f>SUM(G25)/2</f>
        <v>360273.91500000004</v>
      </c>
      <c r="H26" s="80">
        <f t="shared" ref="H26:P26" si="3">SUM(H25)/2</f>
        <v>371082.13245000003</v>
      </c>
      <c r="I26" s="80">
        <f t="shared" si="3"/>
        <v>382214.59642350004</v>
      </c>
      <c r="J26" s="80">
        <f t="shared" si="3"/>
        <v>393681.03431620507</v>
      </c>
      <c r="K26" s="80">
        <f t="shared" si="3"/>
        <v>405491.46534569125</v>
      </c>
      <c r="L26" s="80">
        <f t="shared" si="3"/>
        <v>417656.20930606202</v>
      </c>
      <c r="M26" s="80">
        <f t="shared" si="3"/>
        <v>430185.89558524388</v>
      </c>
      <c r="N26" s="80">
        <f t="shared" si="3"/>
        <v>443091.47245280119</v>
      </c>
      <c r="O26" s="80">
        <f t="shared" si="3"/>
        <v>456384.21662638523</v>
      </c>
      <c r="P26" s="80">
        <f t="shared" si="3"/>
        <v>470075.74312517681</v>
      </c>
      <c r="Q26" s="87"/>
    </row>
    <row r="27" spans="1:17" s="81" customFormat="1" ht="27.6" customHeight="1">
      <c r="A27" s="88"/>
      <c r="B27" s="88"/>
      <c r="C27" s="87"/>
      <c r="D27" s="87"/>
      <c r="E27" s="87"/>
      <c r="F27" s="87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7"/>
    </row>
    <row r="28" spans="1:17">
      <c r="A28" s="953" t="s">
        <v>337</v>
      </c>
      <c r="B28" s="953"/>
      <c r="C28" s="953"/>
      <c r="D28" s="953"/>
      <c r="E28" s="953"/>
      <c r="F28" s="953"/>
      <c r="G28" s="953"/>
      <c r="H28" s="953"/>
      <c r="I28" s="953"/>
      <c r="J28" s="953"/>
      <c r="K28" s="89"/>
      <c r="L28" s="89"/>
      <c r="M28" s="89"/>
      <c r="N28" s="89"/>
      <c r="O28" s="89"/>
      <c r="P28" s="89"/>
    </row>
    <row r="29" spans="1:17" customFormat="1">
      <c r="A29" s="212" t="s">
        <v>258</v>
      </c>
      <c r="B29" s="213"/>
      <c r="C29" s="213"/>
      <c r="D29" s="213"/>
      <c r="E29" s="213"/>
      <c r="F29" s="215" t="s">
        <v>338</v>
      </c>
      <c r="G29" s="216" t="s">
        <v>339</v>
      </c>
      <c r="H29" s="216" t="s">
        <v>340</v>
      </c>
      <c r="I29" s="216" t="s">
        <v>341</v>
      </c>
      <c r="J29" s="216" t="s">
        <v>451</v>
      </c>
      <c r="K29" s="217" t="s">
        <v>452</v>
      </c>
      <c r="L29" s="217" t="s">
        <v>453</v>
      </c>
      <c r="M29" s="224" t="s">
        <v>454</v>
      </c>
      <c r="N29" s="225" t="s">
        <v>455</v>
      </c>
      <c r="O29" s="225" t="s">
        <v>342</v>
      </c>
    </row>
    <row r="30" spans="1:17" s="220" customFormat="1">
      <c r="A30" s="219" t="s">
        <v>367</v>
      </c>
      <c r="F30" s="221">
        <v>1907</v>
      </c>
      <c r="G30" s="221">
        <v>1908</v>
      </c>
      <c r="H30" s="221">
        <v>1907</v>
      </c>
      <c r="I30" s="221">
        <v>1908</v>
      </c>
      <c r="J30" s="221">
        <v>1907</v>
      </c>
      <c r="K30" s="222">
        <v>1908</v>
      </c>
      <c r="L30" s="222">
        <v>1907</v>
      </c>
      <c r="M30" s="222">
        <v>1908</v>
      </c>
      <c r="N30" s="222">
        <v>1908</v>
      </c>
      <c r="O30" s="222">
        <f>SUM(F30:N30)</f>
        <v>17168</v>
      </c>
      <c r="P30" s="223"/>
    </row>
    <row r="31" spans="1:17">
      <c r="A31" s="91" t="s">
        <v>343</v>
      </c>
      <c r="B31" s="92"/>
      <c r="C31" s="93"/>
      <c r="D31" s="93"/>
      <c r="E31" s="93"/>
      <c r="F31" s="94"/>
      <c r="G31" s="94" t="s">
        <v>344</v>
      </c>
      <c r="H31" s="94"/>
      <c r="I31" s="949" t="s">
        <v>508</v>
      </c>
      <c r="J31" s="950"/>
      <c r="K31" s="94"/>
      <c r="L31" s="218"/>
      <c r="M31" s="90"/>
      <c r="N31" s="90"/>
      <c r="O31" s="90"/>
      <c r="P31" s="90"/>
    </row>
    <row r="32" spans="1:17">
      <c r="A32" s="57" t="s">
        <v>345</v>
      </c>
      <c r="B32" s="93"/>
      <c r="C32" s="93"/>
      <c r="D32" s="93"/>
      <c r="E32" s="93"/>
      <c r="F32" s="95"/>
      <c r="G32" s="95" t="s">
        <v>346</v>
      </c>
      <c r="H32" s="95"/>
      <c r="I32" s="951" t="s">
        <v>508</v>
      </c>
      <c r="J32" s="952"/>
      <c r="K32" s="95"/>
      <c r="L32" s="96"/>
      <c r="M32" s="97"/>
      <c r="N32" s="97"/>
      <c r="O32" s="97"/>
      <c r="P32" s="97"/>
    </row>
    <row r="33" spans="1:17">
      <c r="B33" s="214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</row>
    <row r="34" spans="1:17" ht="13.5">
      <c r="A34" s="859" t="s">
        <v>3</v>
      </c>
      <c r="M34" s="90"/>
      <c r="N34" s="90"/>
      <c r="O34" s="90"/>
      <c r="P34" s="90"/>
    </row>
  </sheetData>
  <mergeCells count="30">
    <mergeCell ref="A4:P4"/>
    <mergeCell ref="I31:J31"/>
    <mergeCell ref="I32:J32"/>
    <mergeCell ref="M8:M9"/>
    <mergeCell ref="N8:N9"/>
    <mergeCell ref="O8:O9"/>
    <mergeCell ref="A28:J28"/>
    <mergeCell ref="C26:F26"/>
    <mergeCell ref="A25:B25"/>
    <mergeCell ref="C8:F8"/>
    <mergeCell ref="G1:P1"/>
    <mergeCell ref="G8:G9"/>
    <mergeCell ref="L8:L9"/>
    <mergeCell ref="P8:P9"/>
    <mergeCell ref="H8:H9"/>
    <mergeCell ref="I8:I9"/>
    <mergeCell ref="J2:P2"/>
    <mergeCell ref="J8:J9"/>
    <mergeCell ref="K7:P7"/>
    <mergeCell ref="K8:K9"/>
    <mergeCell ref="C25:F25"/>
    <mergeCell ref="A24:P24"/>
    <mergeCell ref="A26:B26"/>
    <mergeCell ref="C5:L5"/>
    <mergeCell ref="A19:P19"/>
    <mergeCell ref="A20:B20"/>
    <mergeCell ref="C20:E20"/>
    <mergeCell ref="A21:P21"/>
    <mergeCell ref="A22:B22"/>
    <mergeCell ref="C22:E22"/>
  </mergeCells>
  <phoneticPr fontId="13" type="noConversion"/>
  <printOptions horizontalCentered="1"/>
  <pageMargins left="0.16" right="0.17" top="0.74803149606299213" bottom="0.19685039370078741" header="0.31496062992125984" footer="0.19685039370078741"/>
  <pageSetup paperSize="9"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9"/>
  <dimension ref="A1:AG51"/>
  <sheetViews>
    <sheetView view="pageBreakPreview" topLeftCell="A10" zoomScale="75" zoomScaleNormal="100" workbookViewId="0">
      <selection activeCell="A41" sqref="A41"/>
    </sheetView>
  </sheetViews>
  <sheetFormatPr defaultRowHeight="15"/>
  <cols>
    <col min="1" max="1" width="34" style="143" bestFit="1" customWidth="1"/>
    <col min="2" max="2" width="12.140625" style="143" customWidth="1"/>
    <col min="3" max="4" width="11.140625" style="143" hidden="1" customWidth="1"/>
    <col min="5" max="6" width="11.140625" style="408" hidden="1" customWidth="1"/>
    <col min="7" max="7" width="11.140625" style="572" hidden="1" customWidth="1"/>
    <col min="8" max="11" width="11.140625" style="408" hidden="1" customWidth="1"/>
    <col min="12" max="12" width="11.140625" style="408" customWidth="1"/>
    <col min="13" max="13" width="10.5703125" style="408" hidden="1" customWidth="1"/>
    <col min="14" max="14" width="6" style="408" hidden="1" customWidth="1"/>
    <col min="15" max="15" width="9.140625" style="408"/>
    <col min="16" max="16" width="11.5703125" style="408" customWidth="1"/>
    <col min="17" max="17" width="1.7109375" style="143" customWidth="1"/>
    <col min="18" max="18" width="33.28515625" style="336" bestFit="1" customWidth="1"/>
    <col min="19" max="19" width="12.28515625" style="143" customWidth="1"/>
    <col min="20" max="20" width="10.5703125" style="408" hidden="1" customWidth="1"/>
    <col min="21" max="21" width="12.140625" style="143" hidden="1" customWidth="1"/>
    <col min="22" max="22" width="9.140625" style="408" hidden="1" customWidth="1"/>
    <col min="23" max="23" width="9.140625" style="307" hidden="1" customWidth="1"/>
    <col min="24" max="24" width="11.140625" style="307" hidden="1" customWidth="1"/>
    <col min="25" max="25" width="10.85546875" style="307" hidden="1" customWidth="1"/>
    <col min="26" max="26" width="10.5703125" style="307" hidden="1" customWidth="1"/>
    <col min="27" max="27" width="9.140625" style="625" hidden="1" customWidth="1"/>
    <col min="28" max="28" width="10" style="307" hidden="1" customWidth="1"/>
    <col min="29" max="29" width="11" style="307" customWidth="1"/>
    <col min="30" max="30" width="11.42578125" style="307" hidden="1" customWidth="1"/>
    <col min="31" max="31" width="6.85546875" style="307" hidden="1" customWidth="1"/>
    <col min="32" max="32" width="9.140625" style="307"/>
    <col min="33" max="33" width="10.7109375" style="307" customWidth="1"/>
    <col min="34" max="16384" width="9.140625" style="143"/>
  </cols>
  <sheetData>
    <row r="1" spans="1:33" ht="17.45" customHeight="1">
      <c r="A1" s="958" t="s">
        <v>894</v>
      </c>
      <c r="B1" s="958"/>
      <c r="C1" s="958"/>
      <c r="D1" s="958"/>
      <c r="E1" s="958"/>
      <c r="F1" s="958"/>
      <c r="G1" s="958"/>
      <c r="H1" s="958"/>
      <c r="I1" s="958"/>
      <c r="J1" s="958"/>
      <c r="K1" s="958"/>
      <c r="L1" s="958"/>
      <c r="M1" s="958"/>
      <c r="N1" s="958"/>
      <c r="O1" s="958"/>
      <c r="P1" s="958"/>
      <c r="Q1" s="958"/>
      <c r="R1" s="958"/>
      <c r="S1" s="958"/>
      <c r="T1" s="913"/>
      <c r="U1" s="913"/>
      <c r="V1" s="913"/>
      <c r="W1" s="913"/>
      <c r="X1" s="913"/>
      <c r="Y1" s="913"/>
      <c r="Z1" s="913"/>
      <c r="AA1" s="913"/>
      <c r="AB1" s="913"/>
      <c r="AC1" s="913"/>
      <c r="AD1" s="913"/>
      <c r="AE1" s="913"/>
      <c r="AF1" s="913"/>
      <c r="AG1" s="913"/>
    </row>
    <row r="2" spans="1:33">
      <c r="A2" s="181"/>
      <c r="B2" s="307"/>
      <c r="C2" s="307"/>
      <c r="D2" s="307"/>
      <c r="E2" s="307"/>
      <c r="F2" s="307"/>
      <c r="G2" s="563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182"/>
      <c r="S2" s="307"/>
      <c r="T2" s="307"/>
      <c r="U2" s="181"/>
      <c r="V2" s="307"/>
    </row>
    <row r="3" spans="1:33" ht="30.75" customHeight="1">
      <c r="A3" s="959" t="s">
        <v>486</v>
      </c>
      <c r="B3" s="959"/>
      <c r="C3" s="959"/>
      <c r="D3" s="959"/>
      <c r="E3" s="959"/>
      <c r="F3" s="959"/>
      <c r="G3" s="959"/>
      <c r="H3" s="959"/>
      <c r="I3" s="959"/>
      <c r="J3" s="959"/>
      <c r="K3" s="959"/>
      <c r="L3" s="959"/>
      <c r="M3" s="959"/>
      <c r="N3" s="959"/>
      <c r="O3" s="959"/>
      <c r="P3" s="959"/>
      <c r="Q3" s="959"/>
      <c r="R3" s="959"/>
      <c r="S3" s="959"/>
      <c r="T3" s="913"/>
      <c r="U3" s="913"/>
      <c r="V3" s="913"/>
      <c r="W3" s="913"/>
      <c r="X3" s="913"/>
      <c r="Y3" s="913"/>
      <c r="Z3" s="913"/>
      <c r="AA3" s="913"/>
      <c r="AB3" s="913"/>
      <c r="AC3" s="913"/>
      <c r="AD3" s="913"/>
      <c r="AE3" s="913"/>
      <c r="AF3" s="913"/>
      <c r="AG3" s="913"/>
    </row>
    <row r="4" spans="1:33">
      <c r="A4" s="181"/>
      <c r="B4" s="181"/>
      <c r="C4" s="181"/>
      <c r="D4" s="181"/>
      <c r="E4" s="307"/>
      <c r="F4" s="307"/>
      <c r="G4" s="563"/>
      <c r="H4" s="307"/>
      <c r="I4" s="307"/>
      <c r="J4" s="307"/>
      <c r="K4" s="307"/>
      <c r="L4" s="307"/>
      <c r="M4" s="307"/>
      <c r="N4" s="307"/>
      <c r="O4" s="307"/>
      <c r="P4" s="307"/>
      <c r="Q4" s="181"/>
      <c r="R4" s="182"/>
      <c r="S4" s="181"/>
      <c r="T4" s="307"/>
      <c r="U4" s="181"/>
      <c r="V4" s="307"/>
    </row>
    <row r="5" spans="1:33" ht="16.899999999999999" customHeight="1">
      <c r="A5" s="181"/>
      <c r="B5" s="307"/>
      <c r="C5" s="307"/>
      <c r="D5" s="307"/>
      <c r="E5" s="307"/>
      <c r="F5" s="307"/>
      <c r="G5" s="563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960" t="s">
        <v>103</v>
      </c>
      <c r="S5" s="960"/>
      <c r="T5" s="918"/>
      <c r="U5" s="918"/>
      <c r="V5" s="918"/>
      <c r="W5" s="918"/>
      <c r="X5" s="918"/>
      <c r="Y5" s="918"/>
      <c r="Z5" s="918"/>
      <c r="AA5" s="918"/>
      <c r="AB5" s="918"/>
      <c r="AC5" s="918"/>
      <c r="AD5" s="918"/>
      <c r="AE5" s="918"/>
      <c r="AF5" s="918"/>
      <c r="AG5" s="918"/>
    </row>
    <row r="6" spans="1:33">
      <c r="A6" s="308" t="s">
        <v>387</v>
      </c>
      <c r="B6" s="309" t="s">
        <v>388</v>
      </c>
      <c r="C6" s="309" t="s">
        <v>389</v>
      </c>
      <c r="D6" s="309" t="s">
        <v>389</v>
      </c>
      <c r="E6" s="309" t="s">
        <v>390</v>
      </c>
      <c r="F6" s="424" t="s">
        <v>546</v>
      </c>
      <c r="G6" s="564" t="s">
        <v>390</v>
      </c>
      <c r="H6" s="424" t="s">
        <v>389</v>
      </c>
      <c r="I6" s="309" t="s">
        <v>390</v>
      </c>
      <c r="J6" s="424" t="s">
        <v>546</v>
      </c>
      <c r="K6" s="332" t="s">
        <v>390</v>
      </c>
      <c r="L6" s="309" t="s">
        <v>389</v>
      </c>
      <c r="M6" s="332" t="s">
        <v>390</v>
      </c>
      <c r="N6" s="470" t="s">
        <v>546</v>
      </c>
      <c r="O6" s="309" t="s">
        <v>390</v>
      </c>
      <c r="P6" s="309" t="s">
        <v>546</v>
      </c>
      <c r="Q6" s="332"/>
      <c r="R6" s="308" t="s">
        <v>387</v>
      </c>
      <c r="S6" s="309" t="s">
        <v>388</v>
      </c>
      <c r="T6" s="309" t="s">
        <v>389</v>
      </c>
      <c r="U6" s="308" t="s">
        <v>389</v>
      </c>
      <c r="V6" s="309" t="s">
        <v>390</v>
      </c>
      <c r="W6" s="424" t="s">
        <v>546</v>
      </c>
      <c r="X6" s="470" t="s">
        <v>390</v>
      </c>
      <c r="Y6" s="309" t="s">
        <v>389</v>
      </c>
      <c r="Z6" s="309" t="s">
        <v>390</v>
      </c>
      <c r="AA6" s="626" t="s">
        <v>546</v>
      </c>
      <c r="AB6" s="672" t="s">
        <v>390</v>
      </c>
      <c r="AC6" s="673" t="s">
        <v>389</v>
      </c>
      <c r="AD6" s="470" t="s">
        <v>390</v>
      </c>
      <c r="AE6" s="470" t="s">
        <v>546</v>
      </c>
      <c r="AF6" s="309" t="s">
        <v>390</v>
      </c>
      <c r="AG6" s="424" t="s">
        <v>546</v>
      </c>
    </row>
    <row r="7" spans="1:33" s="306" customFormat="1" ht="31.15" customHeight="1">
      <c r="A7" s="310" t="s">
        <v>395</v>
      </c>
      <c r="B7" s="311" t="s">
        <v>528</v>
      </c>
      <c r="C7" s="311" t="s">
        <v>432</v>
      </c>
      <c r="D7" s="312" t="s">
        <v>259</v>
      </c>
      <c r="E7" s="427" t="s">
        <v>550</v>
      </c>
      <c r="F7" s="426" t="s">
        <v>260</v>
      </c>
      <c r="G7" s="565" t="s">
        <v>116</v>
      </c>
      <c r="H7" s="426" t="s">
        <v>592</v>
      </c>
      <c r="I7" s="427" t="s">
        <v>707</v>
      </c>
      <c r="J7" s="426" t="s">
        <v>260</v>
      </c>
      <c r="K7" s="665" t="s">
        <v>432</v>
      </c>
      <c r="L7" s="427" t="s">
        <v>732</v>
      </c>
      <c r="M7" s="665" t="s">
        <v>815</v>
      </c>
      <c r="N7" s="735" t="s">
        <v>260</v>
      </c>
      <c r="O7" s="427" t="s">
        <v>432</v>
      </c>
      <c r="P7" s="427" t="s">
        <v>832</v>
      </c>
      <c r="Q7" s="327"/>
      <c r="R7" s="310" t="s">
        <v>396</v>
      </c>
      <c r="S7" s="311" t="s">
        <v>528</v>
      </c>
      <c r="T7" s="311" t="s">
        <v>432</v>
      </c>
      <c r="U7" s="312" t="s">
        <v>259</v>
      </c>
      <c r="V7" s="427" t="s">
        <v>550</v>
      </c>
      <c r="W7" s="439" t="s">
        <v>260</v>
      </c>
      <c r="X7" s="471" t="s">
        <v>116</v>
      </c>
      <c r="Y7" s="439" t="s">
        <v>592</v>
      </c>
      <c r="Z7" s="439" t="s">
        <v>707</v>
      </c>
      <c r="AA7" s="627" t="s">
        <v>260</v>
      </c>
      <c r="AB7" s="674" t="s">
        <v>432</v>
      </c>
      <c r="AC7" s="312" t="s">
        <v>732</v>
      </c>
      <c r="AD7" s="674" t="s">
        <v>815</v>
      </c>
      <c r="AE7" s="674" t="s">
        <v>260</v>
      </c>
      <c r="AF7" s="439" t="s">
        <v>432</v>
      </c>
      <c r="AG7" s="806" t="s">
        <v>832</v>
      </c>
    </row>
    <row r="8" spans="1:33">
      <c r="A8" s="267" t="s">
        <v>120</v>
      </c>
      <c r="B8" s="313">
        <v>156322</v>
      </c>
      <c r="C8" s="313">
        <v>0</v>
      </c>
      <c r="D8" s="313">
        <f>B8+C8</f>
        <v>156322</v>
      </c>
      <c r="E8" s="313">
        <v>70443</v>
      </c>
      <c r="F8" s="425">
        <f>SUM(E8/D8)*100</f>
        <v>45.062755082458004</v>
      </c>
      <c r="G8" s="566">
        <v>73895</v>
      </c>
      <c r="H8" s="469">
        <f>D8+G8</f>
        <v>230217</v>
      </c>
      <c r="I8" s="328">
        <v>217590</v>
      </c>
      <c r="J8" s="469">
        <f>SUM(I8/H8)*100</f>
        <v>94.515174813328301</v>
      </c>
      <c r="K8" s="328">
        <v>174567</v>
      </c>
      <c r="L8" s="320">
        <f>H8+K8</f>
        <v>404784</v>
      </c>
      <c r="M8" s="733">
        <v>488153</v>
      </c>
      <c r="N8" s="320">
        <f>SUM(M8/L8)*100</f>
        <v>120.59592276374561</v>
      </c>
      <c r="O8" s="313">
        <v>385902</v>
      </c>
      <c r="P8" s="313">
        <f>L8+O8</f>
        <v>790686</v>
      </c>
      <c r="Q8" s="328"/>
      <c r="R8" s="267" t="s">
        <v>219</v>
      </c>
      <c r="S8" s="313">
        <v>345173</v>
      </c>
      <c r="T8" s="313">
        <v>0</v>
      </c>
      <c r="U8" s="313">
        <f>S8+T8</f>
        <v>345173</v>
      </c>
      <c r="V8" s="313">
        <v>131840</v>
      </c>
      <c r="W8" s="425">
        <f>SUM(V8/U8)*100</f>
        <v>38.19533972819427</v>
      </c>
      <c r="X8" s="307">
        <v>293581</v>
      </c>
      <c r="Y8" s="313">
        <f>U8+X8</f>
        <v>638754</v>
      </c>
      <c r="Z8" s="307">
        <v>279267</v>
      </c>
      <c r="AA8" s="628">
        <f>SUM(Z8/Y8)*100</f>
        <v>43.720587268338043</v>
      </c>
      <c r="AB8" s="320">
        <v>11620</v>
      </c>
      <c r="AC8" s="313">
        <f>Y8+AB8</f>
        <v>650374</v>
      </c>
      <c r="AD8" s="307">
        <v>431960</v>
      </c>
      <c r="AE8" s="320">
        <f>SUM(AD8/AC8)*100</f>
        <v>66.417169198030663</v>
      </c>
      <c r="AF8" s="313">
        <v>43900</v>
      </c>
      <c r="AG8" s="425">
        <f>AC8+AF8</f>
        <v>694274</v>
      </c>
    </row>
    <row r="9" spans="1:33">
      <c r="A9" s="267" t="s">
        <v>125</v>
      </c>
      <c r="B9" s="313">
        <v>593051</v>
      </c>
      <c r="C9" s="313">
        <v>0</v>
      </c>
      <c r="D9" s="313">
        <f t="shared" ref="D9:D39" si="0">B9+C9</f>
        <v>593051</v>
      </c>
      <c r="E9" s="313">
        <v>237008</v>
      </c>
      <c r="F9" s="425">
        <f t="shared" ref="F9:F39" si="1">SUM(E9/D9)*100</f>
        <v>39.964185204982371</v>
      </c>
      <c r="G9" s="566">
        <v>0</v>
      </c>
      <c r="H9" s="320">
        <f t="shared" ref="H9:H39" si="2">D9+G9</f>
        <v>593051</v>
      </c>
      <c r="I9" s="320">
        <v>344204</v>
      </c>
      <c r="J9" s="313">
        <f t="shared" ref="J9:J39" si="3">SUM(I9/H9)*100</f>
        <v>58.039527797777936</v>
      </c>
      <c r="K9" s="320">
        <v>190</v>
      </c>
      <c r="L9" s="320">
        <f t="shared" ref="L9:L39" si="4">H9+K9</f>
        <v>593241</v>
      </c>
      <c r="M9" s="320">
        <v>614638</v>
      </c>
      <c r="N9" s="320">
        <f t="shared" ref="N9:N39" si="5">SUM(M9/L9)*100</f>
        <v>103.60679723754764</v>
      </c>
      <c r="O9" s="313">
        <v>5109</v>
      </c>
      <c r="P9" s="313">
        <f t="shared" ref="P9:P39" si="6">L9+O9</f>
        <v>598350</v>
      </c>
      <c r="Q9" s="425"/>
      <c r="R9" s="334" t="s">
        <v>493</v>
      </c>
      <c r="S9" s="313">
        <v>93125</v>
      </c>
      <c r="T9" s="313">
        <v>0</v>
      </c>
      <c r="U9" s="313">
        <f t="shared" ref="U9:U39" si="7">S9+T9</f>
        <v>93125</v>
      </c>
      <c r="V9" s="313">
        <v>31532</v>
      </c>
      <c r="W9" s="425">
        <f t="shared" ref="W9:W39" si="8">SUM(V9/U9)*100</f>
        <v>33.859865771812082</v>
      </c>
      <c r="X9" s="307">
        <v>42034</v>
      </c>
      <c r="Y9" s="320">
        <f t="shared" ref="Y9:Y39" si="9">U9+X9</f>
        <v>135159</v>
      </c>
      <c r="Z9" s="320">
        <v>60191</v>
      </c>
      <c r="AA9" s="629">
        <f t="shared" ref="AA9:AA39" si="10">SUM(Z9/Y9)*100</f>
        <v>44.533475388246437</v>
      </c>
      <c r="AB9" s="320">
        <v>2997</v>
      </c>
      <c r="AC9" s="320">
        <f t="shared" ref="AC9:AC39" si="11">Y9+AB9</f>
        <v>138156</v>
      </c>
      <c r="AD9" s="320">
        <v>91454</v>
      </c>
      <c r="AE9" s="320">
        <f t="shared" ref="AE9:AE39" si="12">SUM(AD9/AC9)*100</f>
        <v>66.196184023857086</v>
      </c>
      <c r="AF9" s="313">
        <v>8474</v>
      </c>
      <c r="AG9" s="425">
        <f t="shared" ref="AG9:AG39" si="13">AC9+AF9</f>
        <v>146630</v>
      </c>
    </row>
    <row r="10" spans="1:33">
      <c r="A10" s="267" t="s">
        <v>150</v>
      </c>
      <c r="B10" s="313">
        <v>315067</v>
      </c>
      <c r="C10" s="313">
        <v>23197</v>
      </c>
      <c r="D10" s="313">
        <f t="shared" si="0"/>
        <v>338264</v>
      </c>
      <c r="E10" s="313">
        <v>78973</v>
      </c>
      <c r="F10" s="425">
        <f t="shared" si="1"/>
        <v>23.346557718231914</v>
      </c>
      <c r="G10" s="566">
        <v>48298</v>
      </c>
      <c r="H10" s="320">
        <f t="shared" si="2"/>
        <v>386562</v>
      </c>
      <c r="I10" s="320">
        <v>291150</v>
      </c>
      <c r="J10" s="313">
        <f t="shared" si="3"/>
        <v>75.317801542831418</v>
      </c>
      <c r="K10" s="320">
        <v>147976</v>
      </c>
      <c r="L10" s="320">
        <f t="shared" si="4"/>
        <v>534538</v>
      </c>
      <c r="M10" s="320">
        <v>451649</v>
      </c>
      <c r="N10" s="320">
        <f t="shared" si="5"/>
        <v>84.493338172403085</v>
      </c>
      <c r="O10" s="313">
        <v>24913</v>
      </c>
      <c r="P10" s="313">
        <f t="shared" si="6"/>
        <v>559451</v>
      </c>
      <c r="Q10" s="425"/>
      <c r="R10" s="267" t="s">
        <v>397</v>
      </c>
      <c r="S10" s="313">
        <v>366927</v>
      </c>
      <c r="T10" s="313">
        <v>0</v>
      </c>
      <c r="U10" s="313">
        <f t="shared" si="7"/>
        <v>366927</v>
      </c>
      <c r="V10" s="313">
        <v>167346</v>
      </c>
      <c r="W10" s="425">
        <f t="shared" si="8"/>
        <v>45.60743690161803</v>
      </c>
      <c r="X10" s="307">
        <v>277640</v>
      </c>
      <c r="Y10" s="320">
        <f t="shared" si="9"/>
        <v>644567</v>
      </c>
      <c r="Z10" s="320">
        <v>303905</v>
      </c>
      <c r="AA10" s="629">
        <f t="shared" si="10"/>
        <v>47.148706030560049</v>
      </c>
      <c r="AB10" s="320">
        <v>142930</v>
      </c>
      <c r="AC10" s="320">
        <f t="shared" si="11"/>
        <v>787497</v>
      </c>
      <c r="AD10" s="320">
        <v>686401</v>
      </c>
      <c r="AE10" s="320">
        <f t="shared" si="12"/>
        <v>87.162363793131917</v>
      </c>
      <c r="AF10" s="313">
        <v>530526</v>
      </c>
      <c r="AG10" s="425">
        <f t="shared" si="13"/>
        <v>1318023</v>
      </c>
    </row>
    <row r="11" spans="1:33">
      <c r="A11" s="314" t="s">
        <v>136</v>
      </c>
      <c r="B11" s="315">
        <v>42000</v>
      </c>
      <c r="C11" s="315">
        <v>0</v>
      </c>
      <c r="D11" s="313">
        <f t="shared" si="0"/>
        <v>42000</v>
      </c>
      <c r="E11" s="313">
        <v>1223</v>
      </c>
      <c r="F11" s="425">
        <f t="shared" si="1"/>
        <v>2.9119047619047618</v>
      </c>
      <c r="G11" s="566">
        <v>0</v>
      </c>
      <c r="H11" s="320">
        <f t="shared" si="2"/>
        <v>42000</v>
      </c>
      <c r="I11" s="320">
        <v>21529</v>
      </c>
      <c r="J11" s="313">
        <f t="shared" si="3"/>
        <v>51.259523809523813</v>
      </c>
      <c r="K11" s="320">
        <v>0</v>
      </c>
      <c r="L11" s="320">
        <f t="shared" si="4"/>
        <v>42000</v>
      </c>
      <c r="M11" s="320">
        <v>25319</v>
      </c>
      <c r="N11" s="320">
        <f t="shared" si="5"/>
        <v>60.283333333333331</v>
      </c>
      <c r="O11" s="313">
        <v>0</v>
      </c>
      <c r="P11" s="313">
        <f t="shared" si="6"/>
        <v>42000</v>
      </c>
      <c r="Q11" s="425"/>
      <c r="R11" s="267" t="s">
        <v>398</v>
      </c>
      <c r="S11" s="313">
        <v>45885</v>
      </c>
      <c r="T11" s="313">
        <v>0</v>
      </c>
      <c r="U11" s="313">
        <f t="shared" si="7"/>
        <v>45885</v>
      </c>
      <c r="V11" s="313">
        <v>5859</v>
      </c>
      <c r="W11" s="425">
        <f t="shared" si="8"/>
        <v>12.76887871853547</v>
      </c>
      <c r="X11" s="307">
        <v>20657</v>
      </c>
      <c r="Y11" s="320">
        <f t="shared" si="9"/>
        <v>66542</v>
      </c>
      <c r="Z11" s="320">
        <v>41771</v>
      </c>
      <c r="AA11" s="629">
        <f t="shared" si="10"/>
        <v>62.773887169006038</v>
      </c>
      <c r="AB11" s="320">
        <v>128758</v>
      </c>
      <c r="AC11" s="320">
        <f t="shared" si="11"/>
        <v>195300</v>
      </c>
      <c r="AD11" s="320">
        <v>102161</v>
      </c>
      <c r="AE11" s="320">
        <f t="shared" si="12"/>
        <v>52.309779825908855</v>
      </c>
      <c r="AF11" s="313">
        <v>-12600</v>
      </c>
      <c r="AG11" s="425">
        <f t="shared" si="13"/>
        <v>182700</v>
      </c>
    </row>
    <row r="12" spans="1:33">
      <c r="A12" s="267" t="s">
        <v>498</v>
      </c>
      <c r="B12" s="315">
        <v>39000</v>
      </c>
      <c r="C12" s="315">
        <v>0</v>
      </c>
      <c r="D12" s="313">
        <f t="shared" si="0"/>
        <v>39000</v>
      </c>
      <c r="E12" s="313">
        <v>11732</v>
      </c>
      <c r="F12" s="425">
        <f t="shared" si="1"/>
        <v>30.082051282051282</v>
      </c>
      <c r="G12" s="566">
        <v>0</v>
      </c>
      <c r="H12" s="320">
        <f t="shared" si="2"/>
        <v>39000</v>
      </c>
      <c r="I12" s="320">
        <v>17893</v>
      </c>
      <c r="J12" s="313">
        <f t="shared" si="3"/>
        <v>45.879487179487178</v>
      </c>
      <c r="K12" s="320"/>
      <c r="L12" s="320">
        <f t="shared" si="4"/>
        <v>39000</v>
      </c>
      <c r="M12" s="320">
        <v>24136</v>
      </c>
      <c r="N12" s="320">
        <f t="shared" si="5"/>
        <v>61.887179487179488</v>
      </c>
      <c r="O12" s="313">
        <v>0</v>
      </c>
      <c r="P12" s="313">
        <f t="shared" si="6"/>
        <v>39000</v>
      </c>
      <c r="Q12" s="425"/>
      <c r="R12" s="267" t="s">
        <v>223</v>
      </c>
      <c r="S12" s="313">
        <v>189482</v>
      </c>
      <c r="T12" s="313">
        <v>0</v>
      </c>
      <c r="U12" s="313">
        <f t="shared" si="7"/>
        <v>189482</v>
      </c>
      <c r="V12" s="313">
        <v>32384</v>
      </c>
      <c r="W12" s="425">
        <f t="shared" si="8"/>
        <v>17.090805459093737</v>
      </c>
      <c r="X12" s="307">
        <v>24048</v>
      </c>
      <c r="Y12" s="320">
        <f t="shared" si="9"/>
        <v>213530</v>
      </c>
      <c r="Z12" s="320">
        <v>77977</v>
      </c>
      <c r="AA12" s="629">
        <f t="shared" si="10"/>
        <v>36.518053669273634</v>
      </c>
      <c r="AB12" s="320">
        <v>1094</v>
      </c>
      <c r="AC12" s="320">
        <f t="shared" si="11"/>
        <v>214624</v>
      </c>
      <c r="AD12" s="320">
        <v>146928</v>
      </c>
      <c r="AE12" s="320">
        <f t="shared" si="12"/>
        <v>68.45832712091844</v>
      </c>
      <c r="AF12" s="313">
        <v>10255</v>
      </c>
      <c r="AG12" s="425">
        <f t="shared" si="13"/>
        <v>224879</v>
      </c>
    </row>
    <row r="13" spans="1:33">
      <c r="A13" s="267" t="s">
        <v>399</v>
      </c>
      <c r="B13" s="313">
        <v>10618</v>
      </c>
      <c r="C13" s="313">
        <v>406</v>
      </c>
      <c r="D13" s="313">
        <f t="shared" si="0"/>
        <v>11024</v>
      </c>
      <c r="E13" s="313">
        <v>128261</v>
      </c>
      <c r="F13" s="425">
        <f t="shared" si="1"/>
        <v>1163.4706095791</v>
      </c>
      <c r="G13" s="566">
        <v>402589</v>
      </c>
      <c r="H13" s="320">
        <f t="shared" si="2"/>
        <v>413613</v>
      </c>
      <c r="I13" s="320">
        <v>252562</v>
      </c>
      <c r="J13" s="313">
        <f t="shared" si="3"/>
        <v>61.062394073687244</v>
      </c>
      <c r="K13" s="320">
        <v>32499</v>
      </c>
      <c r="L13" s="320">
        <f t="shared" si="4"/>
        <v>446112</v>
      </c>
      <c r="M13" s="320">
        <v>351613</v>
      </c>
      <c r="N13" s="320">
        <f t="shared" si="5"/>
        <v>78.817202854888464</v>
      </c>
      <c r="O13" s="313">
        <v>32304</v>
      </c>
      <c r="P13" s="313">
        <f t="shared" si="6"/>
        <v>478416</v>
      </c>
      <c r="Q13" s="425"/>
      <c r="R13" s="267" t="s">
        <v>400</v>
      </c>
      <c r="S13" s="313">
        <v>52904</v>
      </c>
      <c r="T13" s="313">
        <v>23709</v>
      </c>
      <c r="U13" s="313">
        <f t="shared" si="7"/>
        <v>76613</v>
      </c>
      <c r="V13" s="313">
        <v>39261</v>
      </c>
      <c r="W13" s="425">
        <f t="shared" si="8"/>
        <v>51.245872110477329</v>
      </c>
      <c r="X13" s="307">
        <v>22284</v>
      </c>
      <c r="Y13" s="320">
        <f t="shared" si="9"/>
        <v>98897</v>
      </c>
      <c r="Z13" s="320">
        <v>62071</v>
      </c>
      <c r="AA13" s="629">
        <f t="shared" si="10"/>
        <v>62.763278967006073</v>
      </c>
      <c r="AB13" s="320">
        <v>18947</v>
      </c>
      <c r="AC13" s="320">
        <f t="shared" si="11"/>
        <v>117844</v>
      </c>
      <c r="AD13" s="320">
        <v>89093</v>
      </c>
      <c r="AE13" s="320">
        <f t="shared" si="12"/>
        <v>75.602491429347268</v>
      </c>
      <c r="AF13" s="313">
        <v>15273</v>
      </c>
      <c r="AG13" s="425">
        <f t="shared" si="13"/>
        <v>133117</v>
      </c>
    </row>
    <row r="14" spans="1:33">
      <c r="A14" s="267" t="s">
        <v>200</v>
      </c>
      <c r="B14" s="313">
        <v>0</v>
      </c>
      <c r="C14" s="313"/>
      <c r="D14" s="313">
        <v>0</v>
      </c>
      <c r="E14" s="313">
        <v>7796</v>
      </c>
      <c r="F14" s="425">
        <v>0</v>
      </c>
      <c r="G14" s="566">
        <v>8549</v>
      </c>
      <c r="H14" s="313">
        <f t="shared" si="2"/>
        <v>8549</v>
      </c>
      <c r="I14" s="328">
        <v>7790</v>
      </c>
      <c r="J14" s="313">
        <f t="shared" si="3"/>
        <v>91.121768627909688</v>
      </c>
      <c r="K14" s="328">
        <v>0</v>
      </c>
      <c r="L14" s="320">
        <f t="shared" si="4"/>
        <v>8549</v>
      </c>
      <c r="M14" s="320">
        <v>7600</v>
      </c>
      <c r="N14" s="320">
        <f t="shared" si="5"/>
        <v>88.899286466253358</v>
      </c>
      <c r="O14" s="313">
        <v>0</v>
      </c>
      <c r="P14" s="313">
        <f t="shared" si="6"/>
        <v>8549</v>
      </c>
      <c r="Q14" s="328"/>
      <c r="R14" s="267" t="s">
        <v>229</v>
      </c>
      <c r="S14" s="271">
        <v>0</v>
      </c>
      <c r="T14" s="313">
        <v>362</v>
      </c>
      <c r="U14" s="313">
        <f t="shared" si="7"/>
        <v>362</v>
      </c>
      <c r="V14" s="313">
        <v>0</v>
      </c>
      <c r="W14" s="425">
        <f t="shared" si="8"/>
        <v>0</v>
      </c>
      <c r="X14" s="307">
        <v>34505</v>
      </c>
      <c r="Y14" s="320">
        <f t="shared" si="9"/>
        <v>34867</v>
      </c>
      <c r="Z14" s="320">
        <v>0</v>
      </c>
      <c r="AA14" s="629">
        <f t="shared" si="10"/>
        <v>0</v>
      </c>
      <c r="AB14" s="320">
        <v>-4017</v>
      </c>
      <c r="AC14" s="320">
        <f t="shared" si="11"/>
        <v>30850</v>
      </c>
      <c r="AD14" s="320">
        <v>0</v>
      </c>
      <c r="AE14" s="320">
        <f t="shared" si="12"/>
        <v>0</v>
      </c>
      <c r="AF14" s="313">
        <v>-11041</v>
      </c>
      <c r="AG14" s="425">
        <f t="shared" si="13"/>
        <v>19809</v>
      </c>
    </row>
    <row r="15" spans="1:33">
      <c r="A15" s="267"/>
      <c r="B15" s="313"/>
      <c r="C15" s="313"/>
      <c r="D15" s="313"/>
      <c r="E15" s="313"/>
      <c r="F15" s="425"/>
      <c r="G15" s="566"/>
      <c r="H15" s="313"/>
      <c r="I15" s="328"/>
      <c r="J15" s="313"/>
      <c r="K15" s="328"/>
      <c r="L15" s="313"/>
      <c r="M15" s="328"/>
      <c r="N15" s="320"/>
      <c r="O15" s="313"/>
      <c r="P15" s="313"/>
      <c r="Q15" s="328"/>
      <c r="R15" s="267"/>
      <c r="S15" s="313"/>
      <c r="T15" s="313"/>
      <c r="U15" s="313"/>
      <c r="V15" s="313">
        <v>80</v>
      </c>
      <c r="W15" s="425">
        <v>0</v>
      </c>
      <c r="Y15" s="313"/>
      <c r="AA15" s="629"/>
      <c r="AB15" s="320"/>
      <c r="AC15" s="313"/>
      <c r="AE15" s="320"/>
      <c r="AF15" s="313"/>
      <c r="AG15" s="425"/>
    </row>
    <row r="16" spans="1:33">
      <c r="A16" s="267"/>
      <c r="B16" s="313"/>
      <c r="C16" s="313"/>
      <c r="D16" s="313"/>
      <c r="E16" s="313"/>
      <c r="F16" s="425"/>
      <c r="G16" s="566"/>
      <c r="H16" s="313"/>
      <c r="I16" s="328"/>
      <c r="J16" s="313"/>
      <c r="K16" s="328"/>
      <c r="L16" s="313"/>
      <c r="M16" s="328"/>
      <c r="N16" s="320"/>
      <c r="O16" s="313"/>
      <c r="P16" s="313"/>
      <c r="Q16" s="328"/>
      <c r="R16" s="314"/>
      <c r="S16" s="313"/>
      <c r="T16" s="313"/>
      <c r="U16" s="313"/>
      <c r="V16" s="313"/>
      <c r="W16" s="425"/>
      <c r="Y16" s="313"/>
      <c r="AA16" s="629"/>
      <c r="AB16" s="320"/>
      <c r="AC16" s="313"/>
      <c r="AE16" s="320"/>
      <c r="AF16" s="313"/>
      <c r="AG16" s="425"/>
    </row>
    <row r="17" spans="1:33">
      <c r="A17" s="267"/>
      <c r="B17" s="313"/>
      <c r="C17" s="313"/>
      <c r="D17" s="313"/>
      <c r="E17" s="313"/>
      <c r="F17" s="425"/>
      <c r="G17" s="566"/>
      <c r="H17" s="313"/>
      <c r="I17" s="328"/>
      <c r="J17" s="313"/>
      <c r="K17" s="328"/>
      <c r="L17" s="313"/>
      <c r="M17" s="328"/>
      <c r="N17" s="320"/>
      <c r="O17" s="313"/>
      <c r="P17" s="313"/>
      <c r="Q17" s="328"/>
      <c r="R17" s="267"/>
      <c r="S17" s="313"/>
      <c r="T17" s="313"/>
      <c r="U17" s="313"/>
      <c r="V17" s="313"/>
      <c r="W17" s="425"/>
      <c r="Y17" s="313"/>
      <c r="AA17" s="629"/>
      <c r="AB17" s="320"/>
      <c r="AC17" s="313"/>
      <c r="AE17" s="320"/>
      <c r="AF17" s="313"/>
      <c r="AG17" s="425"/>
    </row>
    <row r="18" spans="1:33">
      <c r="A18" s="267"/>
      <c r="B18" s="313"/>
      <c r="C18" s="313"/>
      <c r="D18" s="316"/>
      <c r="E18" s="313"/>
      <c r="F18" s="316"/>
      <c r="G18" s="566"/>
      <c r="H18" s="316"/>
      <c r="I18" s="328"/>
      <c r="J18" s="320"/>
      <c r="K18" s="328"/>
      <c r="L18" s="313"/>
      <c r="M18" s="328"/>
      <c r="N18" s="320"/>
      <c r="O18" s="313"/>
      <c r="P18" s="313"/>
      <c r="Q18" s="328"/>
      <c r="R18" s="267"/>
      <c r="S18" s="313"/>
      <c r="T18" s="316"/>
      <c r="U18" s="316"/>
      <c r="V18" s="316"/>
      <c r="W18" s="316"/>
      <c r="Y18" s="313"/>
      <c r="AA18" s="629"/>
      <c r="AB18" s="320"/>
      <c r="AC18" s="313"/>
      <c r="AE18" s="320"/>
      <c r="AF18" s="313"/>
      <c r="AG18" s="425"/>
    </row>
    <row r="19" spans="1:33" s="442" customFormat="1" ht="15.75">
      <c r="A19" s="441" t="s">
        <v>395</v>
      </c>
      <c r="B19" s="318">
        <f>SUM(B8:B18)</f>
        <v>1156058</v>
      </c>
      <c r="C19" s="318">
        <f>SUM(C8:C18)</f>
        <v>23603</v>
      </c>
      <c r="D19" s="318">
        <f t="shared" si="0"/>
        <v>1179661</v>
      </c>
      <c r="E19" s="318">
        <f>SUM(E8:E18)</f>
        <v>535436</v>
      </c>
      <c r="F19" s="318">
        <f t="shared" si="1"/>
        <v>45.388971916508218</v>
      </c>
      <c r="G19" s="567">
        <f>SUM(G8:G18)</f>
        <v>533331</v>
      </c>
      <c r="H19" s="318">
        <f t="shared" si="2"/>
        <v>1712992</v>
      </c>
      <c r="I19" s="472">
        <f>SUM(I8:I18)</f>
        <v>1152718</v>
      </c>
      <c r="J19" s="623">
        <f t="shared" si="3"/>
        <v>67.292666865928155</v>
      </c>
      <c r="K19" s="472">
        <f>SUM(K8:K18)</f>
        <v>355232</v>
      </c>
      <c r="L19" s="318">
        <f t="shared" si="4"/>
        <v>2068224</v>
      </c>
      <c r="M19" s="472">
        <f>SUM(M8:M18)</f>
        <v>1963108</v>
      </c>
      <c r="N19" s="472">
        <f t="shared" si="5"/>
        <v>94.917571791063253</v>
      </c>
      <c r="O19" s="318">
        <f>SUM(O8:O18)</f>
        <v>448228</v>
      </c>
      <c r="P19" s="318">
        <f t="shared" si="6"/>
        <v>2516452</v>
      </c>
      <c r="Q19" s="741"/>
      <c r="R19" s="441" t="s">
        <v>396</v>
      </c>
      <c r="S19" s="318">
        <f>SUM(S8:S16)</f>
        <v>1093496</v>
      </c>
      <c r="T19" s="318">
        <f>SUM(T8:T18)</f>
        <v>24071</v>
      </c>
      <c r="U19" s="318">
        <f t="shared" si="7"/>
        <v>1117567</v>
      </c>
      <c r="V19" s="318">
        <f>SUM(V8:V18)</f>
        <v>408302</v>
      </c>
      <c r="W19" s="318">
        <f t="shared" si="8"/>
        <v>36.534901263190484</v>
      </c>
      <c r="X19" s="318">
        <f>SUM(X8:X18)</f>
        <v>714749</v>
      </c>
      <c r="Y19" s="318">
        <f t="shared" si="9"/>
        <v>1832316</v>
      </c>
      <c r="Z19" s="624">
        <f>SUM(Z8:Z18)</f>
        <v>825182</v>
      </c>
      <c r="AA19" s="631">
        <f t="shared" si="10"/>
        <v>45.034917557888491</v>
      </c>
      <c r="AB19" s="624">
        <f>SUM(AB8:AB18)</f>
        <v>302329</v>
      </c>
      <c r="AC19" s="318">
        <f t="shared" si="11"/>
        <v>2134645</v>
      </c>
      <c r="AD19" s="624">
        <f>SUM(AD8:AD18)</f>
        <v>1547997</v>
      </c>
      <c r="AE19" s="318">
        <f t="shared" si="12"/>
        <v>72.517772275952211</v>
      </c>
      <c r="AF19" s="318">
        <f>SUM(AF8:AF18)</f>
        <v>584787</v>
      </c>
      <c r="AG19" s="318">
        <f t="shared" si="13"/>
        <v>2719432</v>
      </c>
    </row>
    <row r="20" spans="1:33">
      <c r="A20" s="268"/>
      <c r="B20" s="313"/>
      <c r="C20" s="313"/>
      <c r="D20" s="313"/>
      <c r="E20" s="313"/>
      <c r="F20" s="425"/>
      <c r="G20" s="566"/>
      <c r="H20" s="313"/>
      <c r="I20" s="328"/>
      <c r="J20" s="469"/>
      <c r="K20" s="328"/>
      <c r="L20" s="313"/>
      <c r="M20" s="328"/>
      <c r="N20" s="320"/>
      <c r="O20" s="313"/>
      <c r="P20" s="313"/>
      <c r="Q20" s="328"/>
      <c r="R20" s="268"/>
      <c r="S20" s="313"/>
      <c r="T20" s="313"/>
      <c r="U20" s="313"/>
      <c r="V20" s="313"/>
      <c r="W20" s="425"/>
      <c r="Y20" s="313"/>
      <c r="AA20" s="628"/>
      <c r="AB20" s="320"/>
      <c r="AC20" s="313"/>
      <c r="AE20" s="320"/>
      <c r="AF20" s="313"/>
      <c r="AG20" s="425"/>
    </row>
    <row r="21" spans="1:33">
      <c r="A21" s="267"/>
      <c r="B21" s="313"/>
      <c r="C21" s="313"/>
      <c r="D21" s="313"/>
      <c r="E21" s="313"/>
      <c r="F21" s="425"/>
      <c r="G21" s="566"/>
      <c r="H21" s="313"/>
      <c r="I21" s="328"/>
      <c r="J21" s="313"/>
      <c r="K21" s="328"/>
      <c r="L21" s="313"/>
      <c r="M21" s="328"/>
      <c r="N21" s="320"/>
      <c r="O21" s="313"/>
      <c r="P21" s="313"/>
      <c r="Q21" s="328"/>
      <c r="R21" s="267"/>
      <c r="S21" s="313"/>
      <c r="T21" s="313"/>
      <c r="U21" s="313"/>
      <c r="V21" s="313"/>
      <c r="W21" s="425"/>
      <c r="Y21" s="313"/>
      <c r="AA21" s="629"/>
      <c r="AB21" s="320"/>
      <c r="AC21" s="313"/>
      <c r="AE21" s="320"/>
      <c r="AF21" s="313"/>
      <c r="AG21" s="425"/>
    </row>
    <row r="22" spans="1:33" ht="15.75">
      <c r="A22" s="319" t="s">
        <v>401</v>
      </c>
      <c r="B22" s="313"/>
      <c r="C22" s="313"/>
      <c r="D22" s="313"/>
      <c r="E22" s="313"/>
      <c r="F22" s="425"/>
      <c r="G22" s="566"/>
      <c r="H22" s="313"/>
      <c r="I22" s="328"/>
      <c r="J22" s="313"/>
      <c r="K22" s="328"/>
      <c r="L22" s="313"/>
      <c r="M22" s="328"/>
      <c r="N22" s="320"/>
      <c r="O22" s="313"/>
      <c r="P22" s="313"/>
      <c r="Q22" s="328"/>
      <c r="R22" s="319" t="s">
        <v>236</v>
      </c>
      <c r="S22" s="313"/>
      <c r="T22" s="313"/>
      <c r="U22" s="313"/>
      <c r="V22" s="313"/>
      <c r="W22" s="425"/>
      <c r="Y22" s="313"/>
      <c r="AA22" s="629"/>
      <c r="AB22" s="320"/>
      <c r="AC22" s="313"/>
      <c r="AE22" s="320"/>
      <c r="AF22" s="313"/>
      <c r="AG22" s="425"/>
    </row>
    <row r="23" spans="1:33" ht="15.75">
      <c r="A23" s="269" t="s">
        <v>150</v>
      </c>
      <c r="B23" s="313">
        <v>0</v>
      </c>
      <c r="C23" s="313">
        <v>82330</v>
      </c>
      <c r="D23" s="313">
        <f>B23+C23</f>
        <v>82330</v>
      </c>
      <c r="E23" s="313">
        <v>81962</v>
      </c>
      <c r="F23" s="425">
        <f t="shared" si="1"/>
        <v>99.553018340823513</v>
      </c>
      <c r="G23" s="566">
        <v>-368</v>
      </c>
      <c r="H23" s="313">
        <f t="shared" si="2"/>
        <v>81962</v>
      </c>
      <c r="I23" s="328">
        <v>81962</v>
      </c>
      <c r="J23" s="313">
        <f t="shared" si="3"/>
        <v>100</v>
      </c>
      <c r="K23" s="328">
        <v>0</v>
      </c>
      <c r="L23" s="320">
        <f t="shared" si="4"/>
        <v>81962</v>
      </c>
      <c r="M23" s="320">
        <v>81962</v>
      </c>
      <c r="N23" s="320">
        <f t="shared" si="5"/>
        <v>100</v>
      </c>
      <c r="O23" s="313">
        <v>0</v>
      </c>
      <c r="P23" s="313">
        <f t="shared" si="6"/>
        <v>81962</v>
      </c>
      <c r="Q23" s="328"/>
      <c r="R23" s="319"/>
      <c r="S23" s="313"/>
      <c r="T23" s="313"/>
      <c r="U23" s="313"/>
      <c r="V23" s="313"/>
      <c r="W23" s="425"/>
      <c r="Y23" s="313"/>
      <c r="AA23" s="629"/>
      <c r="AB23" s="320"/>
      <c r="AC23" s="313"/>
      <c r="AE23" s="320"/>
      <c r="AF23" s="313"/>
      <c r="AG23" s="425"/>
    </row>
    <row r="24" spans="1:33">
      <c r="A24" s="267" t="s">
        <v>402</v>
      </c>
      <c r="B24" s="313">
        <v>87530</v>
      </c>
      <c r="C24" s="313">
        <v>0</v>
      </c>
      <c r="D24" s="313">
        <f t="shared" si="0"/>
        <v>87530</v>
      </c>
      <c r="E24" s="313">
        <v>10225</v>
      </c>
      <c r="F24" s="425">
        <f t="shared" si="1"/>
        <v>11.681709128298868</v>
      </c>
      <c r="G24" s="566">
        <v>-30969</v>
      </c>
      <c r="H24" s="320">
        <f t="shared" si="2"/>
        <v>56561</v>
      </c>
      <c r="I24" s="320">
        <v>1800</v>
      </c>
      <c r="J24" s="313">
        <f t="shared" si="3"/>
        <v>3.1824048372553522</v>
      </c>
      <c r="K24" s="320">
        <v>235</v>
      </c>
      <c r="L24" s="320">
        <f t="shared" si="4"/>
        <v>56796</v>
      </c>
      <c r="M24" s="320">
        <v>15345</v>
      </c>
      <c r="N24" s="320">
        <f t="shared" si="5"/>
        <v>27.017747728713289</v>
      </c>
      <c r="O24" s="313">
        <v>0</v>
      </c>
      <c r="P24" s="313">
        <f t="shared" si="6"/>
        <v>56796</v>
      </c>
      <c r="Q24" s="425"/>
      <c r="R24" s="267" t="s">
        <v>476</v>
      </c>
      <c r="S24" s="313">
        <v>2000</v>
      </c>
      <c r="T24" s="313">
        <v>390050</v>
      </c>
      <c r="U24" s="313">
        <f t="shared" si="7"/>
        <v>392050</v>
      </c>
      <c r="V24" s="313">
        <v>232044</v>
      </c>
      <c r="W24" s="425">
        <f t="shared" si="8"/>
        <v>59.187348552480557</v>
      </c>
      <c r="X24" s="307">
        <v>2425423</v>
      </c>
      <c r="Y24" s="313">
        <f t="shared" si="9"/>
        <v>2817473</v>
      </c>
      <c r="Z24" s="307">
        <v>608818</v>
      </c>
      <c r="AA24" s="629">
        <f t="shared" si="10"/>
        <v>21.608654279916792</v>
      </c>
      <c r="AB24" s="320">
        <v>113408</v>
      </c>
      <c r="AC24" s="320">
        <f t="shared" si="11"/>
        <v>2930881</v>
      </c>
      <c r="AD24" s="320">
        <v>1049661</v>
      </c>
      <c r="AE24" s="320">
        <f t="shared" si="12"/>
        <v>35.813838910552839</v>
      </c>
      <c r="AF24" s="313">
        <v>209970</v>
      </c>
      <c r="AG24" s="425">
        <f t="shared" si="13"/>
        <v>3140851</v>
      </c>
    </row>
    <row r="25" spans="1:33">
      <c r="A25" s="267" t="s">
        <v>184</v>
      </c>
      <c r="B25" s="313">
        <v>3100</v>
      </c>
      <c r="C25" s="313">
        <v>0</v>
      </c>
      <c r="D25" s="313">
        <f t="shared" si="0"/>
        <v>3100</v>
      </c>
      <c r="E25" s="313">
        <v>2934</v>
      </c>
      <c r="F25" s="425">
        <f t="shared" si="1"/>
        <v>94.645161290322577</v>
      </c>
      <c r="G25" s="566">
        <v>0</v>
      </c>
      <c r="H25" s="320">
        <f t="shared" si="2"/>
        <v>3100</v>
      </c>
      <c r="I25" s="320">
        <v>3735</v>
      </c>
      <c r="J25" s="313">
        <f t="shared" si="3"/>
        <v>120.48387096774194</v>
      </c>
      <c r="K25" s="320">
        <v>1946</v>
      </c>
      <c r="L25" s="320">
        <f t="shared" si="4"/>
        <v>5046</v>
      </c>
      <c r="M25" s="320">
        <v>4629</v>
      </c>
      <c r="N25" s="320">
        <f t="shared" si="5"/>
        <v>91.736028537455411</v>
      </c>
      <c r="O25" s="313">
        <v>0</v>
      </c>
      <c r="P25" s="313">
        <f t="shared" si="6"/>
        <v>5046</v>
      </c>
      <c r="Q25" s="425"/>
      <c r="R25" s="267" t="s">
        <v>477</v>
      </c>
      <c r="S25" s="313">
        <v>414</v>
      </c>
      <c r="T25" s="313">
        <v>0</v>
      </c>
      <c r="U25" s="313">
        <f t="shared" si="7"/>
        <v>414</v>
      </c>
      <c r="V25" s="313">
        <v>433</v>
      </c>
      <c r="W25" s="425">
        <f t="shared" si="8"/>
        <v>104.58937198067633</v>
      </c>
      <c r="X25" s="307">
        <v>5588</v>
      </c>
      <c r="Y25" s="320">
        <f t="shared" si="9"/>
        <v>6002</v>
      </c>
      <c r="Z25" s="320">
        <v>1395</v>
      </c>
      <c r="AA25" s="629">
        <f t="shared" si="10"/>
        <v>23.24225258247251</v>
      </c>
      <c r="AB25" s="320">
        <v>1405</v>
      </c>
      <c r="AC25" s="320">
        <f t="shared" si="11"/>
        <v>7407</v>
      </c>
      <c r="AD25" s="320">
        <v>1857</v>
      </c>
      <c r="AE25" s="320">
        <f t="shared" si="12"/>
        <v>25.070878898339409</v>
      </c>
      <c r="AF25" s="313">
        <v>0</v>
      </c>
      <c r="AG25" s="425">
        <f t="shared" si="13"/>
        <v>7407</v>
      </c>
    </row>
    <row r="26" spans="1:33">
      <c r="A26" s="267" t="s">
        <v>499</v>
      </c>
      <c r="B26" s="320">
        <v>10949</v>
      </c>
      <c r="C26" s="313">
        <v>0</v>
      </c>
      <c r="D26" s="313">
        <f t="shared" si="0"/>
        <v>10949</v>
      </c>
      <c r="E26" s="313">
        <v>5827</v>
      </c>
      <c r="F26" s="425">
        <f t="shared" si="1"/>
        <v>53.219472097908479</v>
      </c>
      <c r="G26" s="566">
        <v>0</v>
      </c>
      <c r="H26" s="320">
        <f t="shared" si="2"/>
        <v>10949</v>
      </c>
      <c r="I26" s="320">
        <v>6473</v>
      </c>
      <c r="J26" s="313">
        <f t="shared" si="3"/>
        <v>59.119554297196089</v>
      </c>
      <c r="K26" s="320">
        <v>0</v>
      </c>
      <c r="L26" s="320">
        <f t="shared" si="4"/>
        <v>10949</v>
      </c>
      <c r="M26" s="320">
        <v>12334</v>
      </c>
      <c r="N26" s="320">
        <f t="shared" si="5"/>
        <v>112.64955703717234</v>
      </c>
      <c r="O26" s="313">
        <v>0</v>
      </c>
      <c r="P26" s="313">
        <f t="shared" si="6"/>
        <v>10949</v>
      </c>
      <c r="Q26" s="425"/>
      <c r="R26" s="271" t="s">
        <v>515</v>
      </c>
      <c r="S26" s="313">
        <v>158</v>
      </c>
      <c r="T26" s="313">
        <v>24</v>
      </c>
      <c r="U26" s="313">
        <f t="shared" si="7"/>
        <v>182</v>
      </c>
      <c r="V26" s="313">
        <v>8691</v>
      </c>
      <c r="W26" s="425">
        <f t="shared" si="8"/>
        <v>4775.2747252747258</v>
      </c>
      <c r="X26" s="307">
        <v>18012</v>
      </c>
      <c r="Y26" s="320">
        <f t="shared" si="9"/>
        <v>18194</v>
      </c>
      <c r="Z26" s="320">
        <v>6045</v>
      </c>
      <c r="AA26" s="629">
        <f t="shared" si="10"/>
        <v>33.225239089809826</v>
      </c>
      <c r="AB26" s="320">
        <v>553</v>
      </c>
      <c r="AC26" s="320">
        <f t="shared" si="11"/>
        <v>18747</v>
      </c>
      <c r="AD26" s="320">
        <v>10102</v>
      </c>
      <c r="AE26" s="320">
        <f t="shared" si="12"/>
        <v>53.885955086147121</v>
      </c>
      <c r="AF26" s="313">
        <v>7327</v>
      </c>
      <c r="AG26" s="425">
        <f t="shared" si="13"/>
        <v>26074</v>
      </c>
    </row>
    <row r="27" spans="1:33">
      <c r="A27" s="267" t="s">
        <v>420</v>
      </c>
      <c r="B27" s="320">
        <v>500</v>
      </c>
      <c r="C27" s="313">
        <v>0</v>
      </c>
      <c r="D27" s="313">
        <f t="shared" si="0"/>
        <v>500</v>
      </c>
      <c r="E27" s="313">
        <v>148</v>
      </c>
      <c r="F27" s="425">
        <f t="shared" si="1"/>
        <v>29.599999999999998</v>
      </c>
      <c r="G27" s="566">
        <v>0</v>
      </c>
      <c r="H27" s="320">
        <f t="shared" si="2"/>
        <v>500</v>
      </c>
      <c r="I27" s="320">
        <v>3266</v>
      </c>
      <c r="J27" s="313">
        <f t="shared" si="3"/>
        <v>653.20000000000005</v>
      </c>
      <c r="K27" s="320">
        <v>0</v>
      </c>
      <c r="L27" s="320">
        <f t="shared" si="4"/>
        <v>500</v>
      </c>
      <c r="M27" s="320">
        <v>358</v>
      </c>
      <c r="N27" s="320">
        <f t="shared" si="5"/>
        <v>71.599999999999994</v>
      </c>
      <c r="O27" s="313">
        <v>0</v>
      </c>
      <c r="P27" s="313">
        <f t="shared" si="6"/>
        <v>500</v>
      </c>
      <c r="Q27" s="425"/>
      <c r="R27" s="271" t="s">
        <v>504</v>
      </c>
      <c r="S27" s="313">
        <v>45670</v>
      </c>
      <c r="T27" s="313">
        <v>368</v>
      </c>
      <c r="U27" s="313">
        <f t="shared" si="7"/>
        <v>46038</v>
      </c>
      <c r="V27" s="313">
        <v>0</v>
      </c>
      <c r="W27" s="425">
        <f t="shared" si="8"/>
        <v>0</v>
      </c>
      <c r="X27" s="307">
        <v>1022429</v>
      </c>
      <c r="Y27" s="320">
        <f t="shared" si="9"/>
        <v>1068467</v>
      </c>
      <c r="Z27" s="320">
        <v>0</v>
      </c>
      <c r="AA27" s="629">
        <f t="shared" si="10"/>
        <v>0</v>
      </c>
      <c r="AB27" s="320">
        <v>78870</v>
      </c>
      <c r="AC27" s="320">
        <f t="shared" si="11"/>
        <v>1147337</v>
      </c>
      <c r="AD27" s="320">
        <v>0</v>
      </c>
      <c r="AE27" s="320">
        <f t="shared" si="12"/>
        <v>0</v>
      </c>
      <c r="AF27" s="313">
        <v>-4992</v>
      </c>
      <c r="AG27" s="425">
        <f t="shared" si="13"/>
        <v>1142345</v>
      </c>
    </row>
    <row r="28" spans="1:33">
      <c r="A28" s="267" t="s">
        <v>543</v>
      </c>
      <c r="B28" s="320">
        <v>0</v>
      </c>
      <c r="C28" s="313">
        <v>264409</v>
      </c>
      <c r="D28" s="313">
        <f t="shared" si="0"/>
        <v>264409</v>
      </c>
      <c r="E28" s="313">
        <v>196697</v>
      </c>
      <c r="F28" s="425">
        <f t="shared" si="1"/>
        <v>74.391189407319729</v>
      </c>
      <c r="G28" s="566">
        <v>1960162</v>
      </c>
      <c r="H28" s="320">
        <f t="shared" si="2"/>
        <v>2224571</v>
      </c>
      <c r="I28" s="320">
        <v>492303</v>
      </c>
      <c r="J28" s="313">
        <f t="shared" si="3"/>
        <v>22.130244438141105</v>
      </c>
      <c r="K28" s="320">
        <v>41255</v>
      </c>
      <c r="L28" s="320">
        <f t="shared" si="4"/>
        <v>2265826</v>
      </c>
      <c r="M28" s="320">
        <v>803537</v>
      </c>
      <c r="N28" s="320">
        <f t="shared" si="5"/>
        <v>35.463314482224142</v>
      </c>
      <c r="O28" s="313">
        <v>348864</v>
      </c>
      <c r="P28" s="313">
        <f t="shared" si="6"/>
        <v>2614690</v>
      </c>
      <c r="Q28" s="425"/>
      <c r="R28" s="271" t="s">
        <v>500</v>
      </c>
      <c r="S28" s="313">
        <v>52500</v>
      </c>
      <c r="T28" s="313">
        <v>0</v>
      </c>
      <c r="U28" s="313">
        <f t="shared" si="7"/>
        <v>52500</v>
      </c>
      <c r="V28" s="313">
        <v>3919</v>
      </c>
      <c r="W28" s="425">
        <f t="shared" si="8"/>
        <v>7.4647619047619047</v>
      </c>
      <c r="X28" s="307">
        <v>0</v>
      </c>
      <c r="Y28" s="320">
        <f t="shared" si="9"/>
        <v>52500</v>
      </c>
      <c r="Z28" s="320">
        <v>17185</v>
      </c>
      <c r="AA28" s="629">
        <f t="shared" si="10"/>
        <v>32.733333333333334</v>
      </c>
      <c r="AB28" s="320">
        <v>0</v>
      </c>
      <c r="AC28" s="320">
        <f t="shared" si="11"/>
        <v>52500</v>
      </c>
      <c r="AD28" s="320">
        <v>20511</v>
      </c>
      <c r="AE28" s="320">
        <f t="shared" si="12"/>
        <v>39.068571428571431</v>
      </c>
      <c r="AF28" s="313">
        <v>0</v>
      </c>
      <c r="AG28" s="425">
        <f t="shared" si="13"/>
        <v>52500</v>
      </c>
    </row>
    <row r="29" spans="1:33">
      <c r="A29" s="267"/>
      <c r="B29" s="313"/>
      <c r="C29" s="313"/>
      <c r="D29" s="313"/>
      <c r="E29" s="313"/>
      <c r="F29" s="425"/>
      <c r="G29" s="566"/>
      <c r="H29" s="313"/>
      <c r="I29" s="328"/>
      <c r="J29" s="313"/>
      <c r="K29" s="328"/>
      <c r="L29" s="313"/>
      <c r="M29" s="328"/>
      <c r="N29" s="320"/>
      <c r="O29" s="313"/>
      <c r="P29" s="313"/>
      <c r="Q29" s="328"/>
      <c r="R29" s="267" t="s">
        <v>240</v>
      </c>
      <c r="S29" s="313">
        <v>0</v>
      </c>
      <c r="T29" s="313"/>
      <c r="U29" s="313">
        <v>0</v>
      </c>
      <c r="V29" s="313"/>
      <c r="W29" s="425"/>
      <c r="X29" s="307">
        <v>45000</v>
      </c>
      <c r="Y29" s="320">
        <f t="shared" si="9"/>
        <v>45000</v>
      </c>
      <c r="Z29" s="320">
        <v>0</v>
      </c>
      <c r="AA29" s="629">
        <f t="shared" si="10"/>
        <v>0</v>
      </c>
      <c r="AB29" s="320">
        <v>104</v>
      </c>
      <c r="AC29" s="320">
        <f t="shared" si="11"/>
        <v>45104</v>
      </c>
      <c r="AD29" s="320">
        <v>0</v>
      </c>
      <c r="AE29" s="320">
        <f t="shared" si="12"/>
        <v>0</v>
      </c>
      <c r="AF29" s="313">
        <v>0</v>
      </c>
      <c r="AG29" s="425">
        <f t="shared" si="13"/>
        <v>45104</v>
      </c>
    </row>
    <row r="30" spans="1:33">
      <c r="A30" s="272"/>
      <c r="B30" s="316"/>
      <c r="C30" s="316"/>
      <c r="D30" s="316"/>
      <c r="E30" s="316"/>
      <c r="F30" s="316"/>
      <c r="G30" s="568"/>
      <c r="H30" s="313"/>
      <c r="I30" s="328"/>
      <c r="J30" s="313"/>
      <c r="K30" s="328"/>
      <c r="L30" s="313"/>
      <c r="M30" s="328"/>
      <c r="N30" s="320"/>
      <c r="O30" s="313"/>
      <c r="P30" s="313"/>
      <c r="Q30" s="329"/>
      <c r="R30" s="272"/>
      <c r="S30" s="316"/>
      <c r="T30" s="316"/>
      <c r="U30" s="316"/>
      <c r="V30" s="316"/>
      <c r="W30" s="316"/>
      <c r="Y30" s="313"/>
      <c r="AA30" s="629"/>
      <c r="AB30" s="320"/>
      <c r="AC30" s="313"/>
      <c r="AE30" s="320"/>
      <c r="AF30" s="313"/>
      <c r="AG30" s="425"/>
    </row>
    <row r="31" spans="1:33" s="442" customFormat="1" ht="15.75">
      <c r="A31" s="444" t="s">
        <v>403</v>
      </c>
      <c r="B31" s="321">
        <f>SUM(B23:B30)</f>
        <v>102079</v>
      </c>
      <c r="C31" s="318">
        <f>SUM(C23:C30)</f>
        <v>346739</v>
      </c>
      <c r="D31" s="318">
        <f>B31+C31</f>
        <v>448818</v>
      </c>
      <c r="E31" s="321">
        <f>SUM(E23:E30)</f>
        <v>297793</v>
      </c>
      <c r="F31" s="318">
        <f t="shared" si="1"/>
        <v>66.350502876444352</v>
      </c>
      <c r="G31" s="569">
        <f>SUM(G23:G30)</f>
        <v>1928825</v>
      </c>
      <c r="H31" s="318">
        <f t="shared" si="2"/>
        <v>2377643</v>
      </c>
      <c r="I31" s="472">
        <f>SUM(I23:I30)</f>
        <v>589539</v>
      </c>
      <c r="J31" s="666">
        <f t="shared" si="3"/>
        <v>24.795101703661988</v>
      </c>
      <c r="K31" s="331">
        <f>SUM(K23:K30)</f>
        <v>43436</v>
      </c>
      <c r="L31" s="318">
        <f t="shared" si="4"/>
        <v>2421079</v>
      </c>
      <c r="M31" s="472">
        <f>SUM(M23:M30)</f>
        <v>918165</v>
      </c>
      <c r="N31" s="472">
        <f t="shared" si="5"/>
        <v>37.923793482162296</v>
      </c>
      <c r="O31" s="318">
        <f>SUM(O23:O30)</f>
        <v>348864</v>
      </c>
      <c r="P31" s="318">
        <f t="shared" si="6"/>
        <v>2769943</v>
      </c>
      <c r="Q31" s="330"/>
      <c r="R31" s="444" t="s">
        <v>404</v>
      </c>
      <c r="S31" s="321">
        <f>SUM(S24:S30)</f>
        <v>100742</v>
      </c>
      <c r="T31" s="318">
        <f>SUM(T24:T30)</f>
        <v>390442</v>
      </c>
      <c r="U31" s="318">
        <f t="shared" si="7"/>
        <v>491184</v>
      </c>
      <c r="V31" s="318">
        <f>SUM(V24:V30)</f>
        <v>245087</v>
      </c>
      <c r="W31" s="318">
        <f t="shared" si="8"/>
        <v>49.897187204794946</v>
      </c>
      <c r="X31" s="472">
        <f>SUM(X24:X30)</f>
        <v>3516452</v>
      </c>
      <c r="Y31" s="318">
        <f t="shared" si="9"/>
        <v>4007636</v>
      </c>
      <c r="Z31" s="624">
        <f>SUM(Z24:Z30)</f>
        <v>633443</v>
      </c>
      <c r="AA31" s="631">
        <f t="shared" si="10"/>
        <v>15.805901533971648</v>
      </c>
      <c r="AB31" s="624">
        <f>SUM(AB24:AB30)</f>
        <v>194340</v>
      </c>
      <c r="AC31" s="318">
        <f t="shared" si="11"/>
        <v>4201976</v>
      </c>
      <c r="AD31" s="624">
        <f>SUM(AD24:AD30)</f>
        <v>1082131</v>
      </c>
      <c r="AE31" s="318">
        <f t="shared" si="12"/>
        <v>25.752907679625014</v>
      </c>
      <c r="AF31" s="318">
        <f>SUM(AF24:AF30)</f>
        <v>212305</v>
      </c>
      <c r="AG31" s="318">
        <f t="shared" si="13"/>
        <v>4414281</v>
      </c>
    </row>
    <row r="32" spans="1:33" s="442" customFormat="1" ht="15.75">
      <c r="A32" s="445" t="s">
        <v>405</v>
      </c>
      <c r="B32" s="318">
        <f>SUM(B19+B31)</f>
        <v>1258137</v>
      </c>
      <c r="C32" s="321">
        <f>C19+C31</f>
        <v>370342</v>
      </c>
      <c r="D32" s="318">
        <f t="shared" si="0"/>
        <v>1628479</v>
      </c>
      <c r="E32" s="318">
        <f>E19+E31</f>
        <v>833229</v>
      </c>
      <c r="F32" s="318">
        <f t="shared" si="1"/>
        <v>51.166088110439247</v>
      </c>
      <c r="G32" s="570">
        <f>G19+G31</f>
        <v>2462156</v>
      </c>
      <c r="H32" s="318">
        <f t="shared" si="2"/>
        <v>4090635</v>
      </c>
      <c r="I32" s="331">
        <f>I19+I31</f>
        <v>1742257</v>
      </c>
      <c r="J32" s="623">
        <f t="shared" si="3"/>
        <v>42.591358065434832</v>
      </c>
      <c r="K32" s="472">
        <f>K19+K31</f>
        <v>398668</v>
      </c>
      <c r="L32" s="318">
        <f t="shared" si="4"/>
        <v>4489303</v>
      </c>
      <c r="M32" s="331">
        <f>M19+M31</f>
        <v>2881273</v>
      </c>
      <c r="N32" s="472">
        <f t="shared" si="5"/>
        <v>64.180853909838561</v>
      </c>
      <c r="O32" s="318">
        <f>O19+O31</f>
        <v>797092</v>
      </c>
      <c r="P32" s="318">
        <f t="shared" si="6"/>
        <v>5286395</v>
      </c>
      <c r="Q32" s="331"/>
      <c r="R32" s="445" t="s">
        <v>406</v>
      </c>
      <c r="S32" s="318">
        <f>SUM(S19+S31)</f>
        <v>1194238</v>
      </c>
      <c r="T32" s="318">
        <f>T19+T31</f>
        <v>414513</v>
      </c>
      <c r="U32" s="318">
        <f t="shared" si="7"/>
        <v>1608751</v>
      </c>
      <c r="V32" s="318">
        <f>V19+V31</f>
        <v>653389</v>
      </c>
      <c r="W32" s="318">
        <f t="shared" si="8"/>
        <v>40.614675608593245</v>
      </c>
      <c r="X32" s="472">
        <f>X19+X31</f>
        <v>4231201</v>
      </c>
      <c r="Y32" s="318">
        <f t="shared" si="9"/>
        <v>5839952</v>
      </c>
      <c r="Z32" s="624">
        <f>Z19+Z31</f>
        <v>1458625</v>
      </c>
      <c r="AA32" s="631">
        <f t="shared" si="10"/>
        <v>24.976660767074797</v>
      </c>
      <c r="AB32" s="624">
        <f>AB19+AB31</f>
        <v>496669</v>
      </c>
      <c r="AC32" s="318">
        <f t="shared" si="11"/>
        <v>6336621</v>
      </c>
      <c r="AD32" s="624">
        <f>AD19+AD31</f>
        <v>2630128</v>
      </c>
      <c r="AE32" s="318">
        <f t="shared" si="12"/>
        <v>41.506790448726541</v>
      </c>
      <c r="AF32" s="318">
        <f>AF19+AF31</f>
        <v>797092</v>
      </c>
      <c r="AG32" s="318">
        <f t="shared" si="13"/>
        <v>7133713</v>
      </c>
    </row>
    <row r="33" spans="1:33" ht="15.75">
      <c r="A33" s="317"/>
      <c r="B33" s="322"/>
      <c r="C33" s="323"/>
      <c r="D33" s="313"/>
      <c r="E33" s="313"/>
      <c r="F33" s="425"/>
      <c r="G33" s="566"/>
      <c r="H33" s="313"/>
      <c r="I33" s="328"/>
      <c r="J33" s="469"/>
      <c r="K33" s="328"/>
      <c r="L33" s="313"/>
      <c r="M33" s="328"/>
      <c r="N33" s="320"/>
      <c r="O33" s="313"/>
      <c r="P33" s="313"/>
      <c r="Q33" s="328"/>
      <c r="R33" s="322"/>
      <c r="S33" s="323"/>
      <c r="T33" s="313"/>
      <c r="U33" s="313"/>
      <c r="V33" s="313"/>
      <c r="W33" s="425"/>
      <c r="Y33" s="313"/>
      <c r="AA33" s="628"/>
      <c r="AB33" s="320"/>
      <c r="AC33" s="313"/>
      <c r="AE33" s="320"/>
      <c r="AF33" s="313"/>
      <c r="AG33" s="425"/>
    </row>
    <row r="34" spans="1:33" ht="15.75">
      <c r="A34" s="324"/>
      <c r="B34" s="325"/>
      <c r="C34" s="326"/>
      <c r="D34" s="313"/>
      <c r="E34" s="313"/>
      <c r="F34" s="425"/>
      <c r="G34" s="566"/>
      <c r="H34" s="313"/>
      <c r="I34" s="328"/>
      <c r="J34" s="313"/>
      <c r="K34" s="328"/>
      <c r="L34" s="313"/>
      <c r="M34" s="328"/>
      <c r="N34" s="320"/>
      <c r="O34" s="313"/>
      <c r="P34" s="313"/>
      <c r="Q34" s="328"/>
      <c r="R34" s="325"/>
      <c r="S34" s="326"/>
      <c r="T34" s="313"/>
      <c r="U34" s="313"/>
      <c r="V34" s="313"/>
      <c r="W34" s="425"/>
      <c r="Y34" s="313"/>
      <c r="AA34" s="629"/>
      <c r="AB34" s="320"/>
      <c r="AC34" s="313"/>
      <c r="AE34" s="320"/>
      <c r="AF34" s="313"/>
      <c r="AG34" s="425"/>
    </row>
    <row r="35" spans="1:33" ht="15.75">
      <c r="A35" s="319" t="s">
        <v>407</v>
      </c>
      <c r="B35" s="325"/>
      <c r="C35" s="326"/>
      <c r="D35" s="313"/>
      <c r="E35" s="313"/>
      <c r="F35" s="425"/>
      <c r="G35" s="566"/>
      <c r="H35" s="313"/>
      <c r="I35" s="328"/>
      <c r="J35" s="313"/>
      <c r="K35" s="328"/>
      <c r="L35" s="313"/>
      <c r="M35" s="328"/>
      <c r="N35" s="320"/>
      <c r="O35" s="313"/>
      <c r="P35" s="313"/>
      <c r="Q35" s="328"/>
      <c r="R35" s="335" t="s">
        <v>408</v>
      </c>
      <c r="S35" s="326"/>
      <c r="T35" s="313"/>
      <c r="U35" s="313"/>
      <c r="V35" s="313"/>
      <c r="W35" s="425"/>
      <c r="Y35" s="313"/>
      <c r="AA35" s="629"/>
      <c r="AB35" s="320"/>
      <c r="AC35" s="313"/>
      <c r="AE35" s="320"/>
      <c r="AF35" s="313"/>
      <c r="AG35" s="425"/>
    </row>
    <row r="36" spans="1:33">
      <c r="A36" s="267" t="s">
        <v>410</v>
      </c>
      <c r="B36" s="320">
        <v>144430</v>
      </c>
      <c r="C36" s="313">
        <v>28116</v>
      </c>
      <c r="D36" s="313">
        <f t="shared" si="0"/>
        <v>172546</v>
      </c>
      <c r="E36" s="313">
        <v>0</v>
      </c>
      <c r="F36" s="425">
        <f t="shared" si="1"/>
        <v>0</v>
      </c>
      <c r="G36" s="566">
        <v>1733008</v>
      </c>
      <c r="H36" s="320">
        <f t="shared" si="2"/>
        <v>1905554</v>
      </c>
      <c r="I36" s="320">
        <v>437589</v>
      </c>
      <c r="J36" s="313">
        <f t="shared" si="3"/>
        <v>22.963872973424003</v>
      </c>
      <c r="K36" s="313"/>
      <c r="L36" s="320">
        <f t="shared" si="4"/>
        <v>1905554</v>
      </c>
      <c r="M36" s="320">
        <v>751099</v>
      </c>
      <c r="N36" s="320">
        <f t="shared" si="5"/>
        <v>39.416306229054648</v>
      </c>
      <c r="O36" s="313">
        <v>0</v>
      </c>
      <c r="P36" s="313">
        <f t="shared" si="6"/>
        <v>1905554</v>
      </c>
      <c r="Q36" s="425"/>
      <c r="R36" s="267" t="s">
        <v>409</v>
      </c>
      <c r="S36" s="313">
        <v>208329</v>
      </c>
      <c r="T36" s="313">
        <v>0</v>
      </c>
      <c r="U36" s="313">
        <f t="shared" si="7"/>
        <v>208329</v>
      </c>
      <c r="V36" s="313">
        <v>89325</v>
      </c>
      <c r="W36" s="425">
        <f t="shared" si="8"/>
        <v>42.876891839350257</v>
      </c>
      <c r="X36" s="307">
        <v>3631</v>
      </c>
      <c r="Y36" s="313">
        <f t="shared" si="9"/>
        <v>211960</v>
      </c>
      <c r="Z36" s="307">
        <v>197447</v>
      </c>
      <c r="AA36" s="629">
        <f t="shared" si="10"/>
        <v>93.152953387431594</v>
      </c>
      <c r="AB36" s="320">
        <v>0</v>
      </c>
      <c r="AC36" s="320">
        <f t="shared" si="11"/>
        <v>211960</v>
      </c>
      <c r="AD36" s="320">
        <v>259947</v>
      </c>
      <c r="AE36" s="320">
        <f t="shared" si="12"/>
        <v>122.63964899037553</v>
      </c>
      <c r="AF36" s="313">
        <v>0</v>
      </c>
      <c r="AG36" s="425">
        <f t="shared" si="13"/>
        <v>211960</v>
      </c>
    </row>
    <row r="37" spans="1:33">
      <c r="A37" s="267" t="s">
        <v>542</v>
      </c>
      <c r="B37" s="320">
        <v>0</v>
      </c>
      <c r="C37" s="313">
        <v>16055</v>
      </c>
      <c r="D37" s="313">
        <f t="shared" si="0"/>
        <v>16055</v>
      </c>
      <c r="E37" s="313">
        <v>0</v>
      </c>
      <c r="F37" s="316">
        <f t="shared" si="1"/>
        <v>0</v>
      </c>
      <c r="G37" s="566">
        <v>39668</v>
      </c>
      <c r="H37" s="313">
        <f t="shared" si="2"/>
        <v>55723</v>
      </c>
      <c r="I37" s="622">
        <v>0</v>
      </c>
      <c r="J37" s="313">
        <f t="shared" si="3"/>
        <v>0</v>
      </c>
      <c r="K37" s="328">
        <v>98001</v>
      </c>
      <c r="L37" s="313">
        <f t="shared" si="4"/>
        <v>153724</v>
      </c>
      <c r="M37" s="328">
        <v>0</v>
      </c>
      <c r="N37" s="320">
        <f t="shared" si="5"/>
        <v>0</v>
      </c>
      <c r="O37" s="313">
        <v>0</v>
      </c>
      <c r="P37" s="313">
        <f t="shared" si="6"/>
        <v>153724</v>
      </c>
      <c r="Q37" s="328"/>
      <c r="R37" s="267"/>
      <c r="S37" s="313"/>
      <c r="T37" s="316"/>
      <c r="U37" s="316"/>
      <c r="V37" s="316"/>
      <c r="W37" s="316"/>
      <c r="Y37" s="313"/>
      <c r="AA37" s="629"/>
      <c r="AB37" s="320"/>
      <c r="AC37" s="313"/>
      <c r="AE37" s="320"/>
      <c r="AF37" s="313"/>
      <c r="AG37" s="425"/>
    </row>
    <row r="38" spans="1:33" s="442" customFormat="1" ht="15.75">
      <c r="A38" s="273" t="s">
        <v>411</v>
      </c>
      <c r="B38" s="318">
        <f>SUM(B36:B36)</f>
        <v>144430</v>
      </c>
      <c r="C38" s="318">
        <f>SUM(C36:C37)</f>
        <v>44171</v>
      </c>
      <c r="D38" s="318">
        <f t="shared" si="0"/>
        <v>188601</v>
      </c>
      <c r="E38" s="318">
        <f>SUM(E36:E37)</f>
        <v>0</v>
      </c>
      <c r="F38" s="318">
        <f t="shared" si="1"/>
        <v>0</v>
      </c>
      <c r="G38" s="570">
        <f>SUM(G36:G37)</f>
        <v>1772676</v>
      </c>
      <c r="H38" s="318">
        <f t="shared" si="2"/>
        <v>1961277</v>
      </c>
      <c r="I38" s="331">
        <f>SUM(I36:I37)</f>
        <v>437589</v>
      </c>
      <c r="J38" s="666">
        <f t="shared" si="3"/>
        <v>22.311432806278766</v>
      </c>
      <c r="K38" s="331">
        <f>SUM(K36:K37)</f>
        <v>98001</v>
      </c>
      <c r="L38" s="318">
        <f t="shared" si="4"/>
        <v>2059278</v>
      </c>
      <c r="M38" s="331">
        <f>SUM(M36:M37)</f>
        <v>751099</v>
      </c>
      <c r="N38" s="472">
        <f t="shared" si="5"/>
        <v>36.473900075657582</v>
      </c>
      <c r="O38" s="318">
        <f>SUM(O36:O37)</f>
        <v>0</v>
      </c>
      <c r="P38" s="318">
        <f t="shared" si="6"/>
        <v>2059278</v>
      </c>
      <c r="Q38" s="331"/>
      <c r="R38" s="318" t="s">
        <v>412</v>
      </c>
      <c r="S38" s="318">
        <f>SUM(S36:S36)</f>
        <v>208329</v>
      </c>
      <c r="T38" s="318">
        <v>0</v>
      </c>
      <c r="U38" s="318">
        <f t="shared" si="7"/>
        <v>208329</v>
      </c>
      <c r="V38" s="318">
        <f>SUM(V36:V37)</f>
        <v>89325</v>
      </c>
      <c r="W38" s="318">
        <f t="shared" si="8"/>
        <v>42.876891839350257</v>
      </c>
      <c r="X38" s="472">
        <f>SUM(X36:X37)</f>
        <v>3631</v>
      </c>
      <c r="Y38" s="318">
        <f t="shared" si="9"/>
        <v>211960</v>
      </c>
      <c r="Z38" s="624">
        <f>SUM(Z36:Z37)</f>
        <v>197447</v>
      </c>
      <c r="AA38" s="632">
        <f t="shared" si="10"/>
        <v>93.152953387431594</v>
      </c>
      <c r="AB38" s="624">
        <f>SUM(AB36:AB37)</f>
        <v>0</v>
      </c>
      <c r="AC38" s="318">
        <f t="shared" si="11"/>
        <v>211960</v>
      </c>
      <c r="AD38" s="624">
        <f>SUM(AD36:AD37)</f>
        <v>259947</v>
      </c>
      <c r="AE38" s="318">
        <f t="shared" si="12"/>
        <v>122.63964899037553</v>
      </c>
      <c r="AF38" s="318">
        <f>SUM(AF36:AF37)</f>
        <v>0</v>
      </c>
      <c r="AG38" s="318">
        <f t="shared" si="13"/>
        <v>211960</v>
      </c>
    </row>
    <row r="39" spans="1:33" s="156" customFormat="1" ht="15.75">
      <c r="A39" s="273" t="s">
        <v>413</v>
      </c>
      <c r="B39" s="318">
        <f>SUM(B32+B38)</f>
        <v>1402567</v>
      </c>
      <c r="C39" s="318">
        <f>C32+C38</f>
        <v>414513</v>
      </c>
      <c r="D39" s="318">
        <f t="shared" si="0"/>
        <v>1817080</v>
      </c>
      <c r="E39" s="318">
        <f>E32+E38</f>
        <v>833229</v>
      </c>
      <c r="F39" s="318">
        <f t="shared" si="1"/>
        <v>45.855383362317568</v>
      </c>
      <c r="G39" s="570">
        <f>G32+G38</f>
        <v>4234832</v>
      </c>
      <c r="H39" s="321">
        <f t="shared" si="2"/>
        <v>6051912</v>
      </c>
      <c r="I39" s="330">
        <f>I32+I38</f>
        <v>2179846</v>
      </c>
      <c r="J39" s="318">
        <f t="shared" si="3"/>
        <v>36.019129161164273</v>
      </c>
      <c r="K39" s="472">
        <f>K32+K38</f>
        <v>496669</v>
      </c>
      <c r="L39" s="318">
        <f t="shared" si="4"/>
        <v>6548581</v>
      </c>
      <c r="M39" s="331">
        <f>M32+M38</f>
        <v>3632372</v>
      </c>
      <c r="N39" s="472">
        <f t="shared" si="5"/>
        <v>55.468077740811324</v>
      </c>
      <c r="O39" s="321">
        <f>O32+O38</f>
        <v>797092</v>
      </c>
      <c r="P39" s="318">
        <f t="shared" si="6"/>
        <v>7345673</v>
      </c>
      <c r="Q39" s="331"/>
      <c r="R39" s="273" t="s">
        <v>414</v>
      </c>
      <c r="S39" s="318">
        <f>SUM(S32+S38)</f>
        <v>1402567</v>
      </c>
      <c r="T39" s="318">
        <f>T32+T38</f>
        <v>414513</v>
      </c>
      <c r="U39" s="318">
        <f t="shared" si="7"/>
        <v>1817080</v>
      </c>
      <c r="V39" s="321">
        <f>V32+V38</f>
        <v>742714</v>
      </c>
      <c r="W39" s="318">
        <f t="shared" si="8"/>
        <v>40.874039668038833</v>
      </c>
      <c r="X39" s="473">
        <f>X32+X38</f>
        <v>4234832</v>
      </c>
      <c r="Y39" s="321">
        <f t="shared" si="9"/>
        <v>6051912</v>
      </c>
      <c r="Z39" s="624">
        <f>Z32+Z38</f>
        <v>1656072</v>
      </c>
      <c r="AA39" s="632">
        <f t="shared" si="10"/>
        <v>27.364442840543617</v>
      </c>
      <c r="AB39" s="624">
        <f>AB32+AB38</f>
        <v>496669</v>
      </c>
      <c r="AC39" s="318">
        <f t="shared" si="11"/>
        <v>6548581</v>
      </c>
      <c r="AD39" s="624">
        <f>AD32+AD38</f>
        <v>2890075</v>
      </c>
      <c r="AE39" s="318">
        <f t="shared" si="12"/>
        <v>44.132843435852742</v>
      </c>
      <c r="AF39" s="318">
        <f>AF32+AF38</f>
        <v>797092</v>
      </c>
      <c r="AG39" s="318">
        <f t="shared" si="13"/>
        <v>7345673</v>
      </c>
    </row>
    <row r="40" spans="1:33">
      <c r="A40" s="181"/>
      <c r="B40" s="181"/>
      <c r="C40" s="181"/>
      <c r="D40" s="181"/>
      <c r="E40" s="307"/>
      <c r="F40" s="307"/>
      <c r="G40" s="563"/>
      <c r="H40" s="307"/>
      <c r="I40" s="307"/>
      <c r="J40" s="307"/>
      <c r="K40" s="307"/>
      <c r="L40" s="307"/>
      <c r="M40" s="307"/>
      <c r="N40" s="307"/>
      <c r="O40" s="307"/>
      <c r="P40" s="307"/>
      <c r="Q40" s="181"/>
      <c r="R40" s="182"/>
      <c r="S40" s="181"/>
      <c r="T40" s="307"/>
      <c r="U40" s="181"/>
      <c r="V40" s="307"/>
    </row>
    <row r="41" spans="1:33">
      <c r="A41" s="859" t="s">
        <v>3</v>
      </c>
      <c r="B41" s="181"/>
      <c r="C41" s="181"/>
      <c r="D41" s="181"/>
      <c r="E41" s="307"/>
      <c r="F41" s="307"/>
      <c r="G41" s="563"/>
      <c r="H41" s="307"/>
      <c r="I41" s="307"/>
      <c r="J41" s="307"/>
      <c r="K41" s="307"/>
      <c r="L41" s="307"/>
      <c r="M41" s="307"/>
      <c r="N41" s="307"/>
      <c r="O41" s="307"/>
      <c r="P41" s="307"/>
      <c r="Q41" s="181"/>
      <c r="R41" s="182"/>
      <c r="S41" s="181"/>
      <c r="T41" s="307"/>
      <c r="U41" s="181"/>
      <c r="V41" s="307"/>
    </row>
    <row r="42" spans="1:33" s="144" customFormat="1" ht="15.75">
      <c r="E42" s="407"/>
      <c r="F42" s="407"/>
      <c r="G42" s="571"/>
      <c r="H42" s="407"/>
      <c r="I42" s="407"/>
      <c r="J42" s="407"/>
      <c r="K42" s="407"/>
      <c r="L42" s="407"/>
      <c r="M42" s="407"/>
      <c r="N42" s="407"/>
      <c r="O42" s="407"/>
      <c r="P42" s="407"/>
      <c r="R42" s="147"/>
      <c r="T42" s="407"/>
      <c r="V42" s="407"/>
      <c r="W42" s="440"/>
      <c r="X42" s="440"/>
      <c r="Y42" s="440"/>
      <c r="Z42" s="440"/>
      <c r="AA42" s="630"/>
      <c r="AB42" s="440"/>
      <c r="AC42" s="440"/>
      <c r="AD42" s="440"/>
      <c r="AE42" s="440"/>
      <c r="AF42" s="440"/>
      <c r="AG42" s="440"/>
    </row>
    <row r="46" spans="1:33" s="144" customFormat="1" ht="15.75">
      <c r="E46" s="407"/>
      <c r="F46" s="407"/>
      <c r="G46" s="571"/>
      <c r="H46" s="407"/>
      <c r="I46" s="407"/>
      <c r="J46" s="407"/>
      <c r="K46" s="407"/>
      <c r="L46" s="407"/>
      <c r="M46" s="407"/>
      <c r="N46" s="407"/>
      <c r="O46" s="407"/>
      <c r="P46" s="407"/>
      <c r="R46" s="147"/>
      <c r="T46" s="407"/>
      <c r="V46" s="407"/>
      <c r="W46" s="440"/>
      <c r="X46" s="440"/>
      <c r="Y46" s="440"/>
      <c r="Z46" s="440"/>
      <c r="AA46" s="630"/>
      <c r="AB46" s="440"/>
      <c r="AC46" s="440"/>
      <c r="AD46" s="440"/>
      <c r="AE46" s="440"/>
      <c r="AF46" s="440"/>
      <c r="AG46" s="440"/>
    </row>
    <row r="47" spans="1:33" s="144" customFormat="1" ht="15.75">
      <c r="E47" s="407"/>
      <c r="F47" s="407"/>
      <c r="G47" s="571"/>
      <c r="H47" s="407"/>
      <c r="I47" s="407"/>
      <c r="J47" s="407"/>
      <c r="K47" s="407"/>
      <c r="L47" s="407"/>
      <c r="M47" s="407"/>
      <c r="N47" s="407"/>
      <c r="O47" s="407"/>
      <c r="P47" s="407"/>
      <c r="R47" s="147"/>
      <c r="T47" s="407"/>
      <c r="V47" s="407"/>
      <c r="W47" s="440"/>
      <c r="X47" s="440"/>
      <c r="Y47" s="440"/>
      <c r="Z47" s="440"/>
      <c r="AA47" s="630"/>
      <c r="AB47" s="440"/>
      <c r="AC47" s="440"/>
      <c r="AD47" s="440"/>
      <c r="AE47" s="440"/>
      <c r="AF47" s="440"/>
      <c r="AG47" s="440"/>
    </row>
    <row r="51" spans="5:33" s="144" customFormat="1" ht="15.75">
      <c r="E51" s="407"/>
      <c r="F51" s="407"/>
      <c r="G51" s="571"/>
      <c r="H51" s="407"/>
      <c r="I51" s="407"/>
      <c r="J51" s="407"/>
      <c r="K51" s="407"/>
      <c r="L51" s="407"/>
      <c r="M51" s="407"/>
      <c r="N51" s="407"/>
      <c r="O51" s="407"/>
      <c r="P51" s="407"/>
      <c r="R51" s="147"/>
      <c r="T51" s="407"/>
      <c r="V51" s="407"/>
      <c r="W51" s="440"/>
      <c r="X51" s="440"/>
      <c r="Y51" s="440"/>
      <c r="Z51" s="440"/>
      <c r="AA51" s="630"/>
      <c r="AB51" s="440"/>
      <c r="AC51" s="440"/>
      <c r="AD51" s="440"/>
      <c r="AE51" s="440"/>
      <c r="AF51" s="440"/>
      <c r="AG51" s="440"/>
    </row>
  </sheetData>
  <mergeCells count="3">
    <mergeCell ref="A1:AG1"/>
    <mergeCell ref="A3:AG3"/>
    <mergeCell ref="R5:AG5"/>
  </mergeCells>
  <phoneticPr fontId="13" type="noConversion"/>
  <printOptions horizontalCentered="1" verticalCentered="1"/>
  <pageMargins left="0.64" right="0.56000000000000005" top="0.51" bottom="0.49" header="0.51181102362204722" footer="0.69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10"/>
  <dimension ref="A1:T65"/>
  <sheetViews>
    <sheetView view="pageBreakPreview" topLeftCell="A41" zoomScale="75" zoomScaleNormal="100" workbookViewId="0">
      <selection activeCell="A65" sqref="A65"/>
    </sheetView>
  </sheetViews>
  <sheetFormatPr defaultRowHeight="15"/>
  <cols>
    <col min="1" max="1" width="4.7109375" style="337" customWidth="1"/>
    <col min="2" max="2" width="5.5703125" style="338" customWidth="1"/>
    <col min="3" max="3" width="18.42578125" style="339" customWidth="1"/>
    <col min="4" max="4" width="9.140625" style="339"/>
    <col min="5" max="5" width="21.85546875" style="339" customWidth="1"/>
    <col min="6" max="6" width="12.5703125" style="339" customWidth="1"/>
    <col min="7" max="7" width="9.140625" style="352" hidden="1" customWidth="1"/>
    <col min="8" max="8" width="11.28515625" style="339" hidden="1" customWidth="1"/>
    <col min="9" max="9" width="9.140625" style="307" hidden="1" customWidth="1"/>
    <col min="10" max="10" width="9.140625" style="151" hidden="1" customWidth="1"/>
    <col min="11" max="11" width="11.85546875" style="352" hidden="1" customWidth="1"/>
    <col min="12" max="12" width="12" style="352" hidden="1" customWidth="1"/>
    <col min="13" max="13" width="10.7109375" style="307" hidden="1" customWidth="1"/>
    <col min="14" max="14" width="9.140625" style="638" hidden="1" customWidth="1"/>
    <col min="15" max="15" width="10.42578125" style="307" hidden="1" customWidth="1"/>
    <col min="16" max="16" width="11.28515625" style="307" customWidth="1"/>
    <col min="17" max="17" width="10.7109375" style="307" hidden="1" customWidth="1"/>
    <col min="18" max="18" width="6.140625" style="307" hidden="1" customWidth="1"/>
    <col min="19" max="19" width="10" style="307" customWidth="1"/>
    <col min="20" max="20" width="11.85546875" style="307" customWidth="1"/>
    <col min="21" max="16384" width="9.140625" style="150"/>
  </cols>
  <sheetData>
    <row r="1" spans="1:20" ht="15" customHeight="1">
      <c r="B1" s="338" t="s">
        <v>155</v>
      </c>
      <c r="D1" s="962" t="s">
        <v>895</v>
      </c>
      <c r="E1" s="912"/>
      <c r="F1" s="912"/>
      <c r="G1" s="912"/>
      <c r="H1" s="912"/>
      <c r="I1" s="913"/>
      <c r="J1" s="913"/>
      <c r="K1" s="913"/>
      <c r="L1" s="913"/>
      <c r="M1" s="913"/>
      <c r="N1" s="913"/>
      <c r="O1" s="913"/>
      <c r="P1" s="913"/>
      <c r="Q1" s="913"/>
      <c r="R1" s="913"/>
      <c r="S1" s="913"/>
      <c r="T1" s="913"/>
    </row>
    <row r="2" spans="1:20" ht="10.9" customHeight="1"/>
    <row r="3" spans="1:20" s="274" customFormat="1" ht="29.45" customHeight="1">
      <c r="A3" s="963" t="s">
        <v>496</v>
      </c>
      <c r="B3" s="964"/>
      <c r="C3" s="964"/>
      <c r="D3" s="964"/>
      <c r="E3" s="964"/>
      <c r="F3" s="964"/>
      <c r="G3" s="964"/>
      <c r="H3" s="964"/>
      <c r="I3" s="964"/>
      <c r="J3" s="964"/>
      <c r="K3" s="964"/>
      <c r="L3" s="964"/>
      <c r="M3" s="964"/>
      <c r="N3" s="964"/>
      <c r="O3" s="964"/>
      <c r="P3" s="964"/>
      <c r="Q3" s="964"/>
      <c r="R3" s="964"/>
      <c r="S3" s="964"/>
      <c r="T3" s="964"/>
    </row>
    <row r="6" spans="1:20">
      <c r="C6" s="340"/>
      <c r="F6" s="965" t="s">
        <v>103</v>
      </c>
      <c r="G6" s="930"/>
      <c r="H6" s="930"/>
      <c r="I6" s="930"/>
      <c r="J6" s="930"/>
      <c r="K6" s="918"/>
      <c r="L6" s="918"/>
      <c r="M6" s="918"/>
      <c r="N6" s="918"/>
      <c r="O6" s="918"/>
      <c r="P6" s="918"/>
      <c r="Q6" s="918"/>
      <c r="R6" s="918"/>
      <c r="S6" s="918"/>
      <c r="T6" s="918"/>
    </row>
    <row r="7" spans="1:20">
      <c r="A7" s="961" t="s">
        <v>387</v>
      </c>
      <c r="B7" s="961"/>
      <c r="C7" s="961"/>
      <c r="D7" s="961"/>
      <c r="E7" s="961"/>
      <c r="F7" s="714" t="s">
        <v>388</v>
      </c>
      <c r="G7" s="474" t="s">
        <v>389</v>
      </c>
      <c r="H7" s="371" t="s">
        <v>389</v>
      </c>
      <c r="I7" s="332" t="s">
        <v>390</v>
      </c>
      <c r="J7" s="228" t="s">
        <v>546</v>
      </c>
      <c r="K7" s="474" t="s">
        <v>390</v>
      </c>
      <c r="L7" s="474" t="s">
        <v>389</v>
      </c>
      <c r="M7" s="332" t="s">
        <v>390</v>
      </c>
      <c r="N7" s="633" t="s">
        <v>546</v>
      </c>
      <c r="O7" s="332" t="s">
        <v>390</v>
      </c>
      <c r="P7" s="332" t="s">
        <v>389</v>
      </c>
      <c r="Q7" s="332" t="s">
        <v>390</v>
      </c>
      <c r="R7" s="332" t="s">
        <v>546</v>
      </c>
      <c r="S7" s="332" t="s">
        <v>390</v>
      </c>
      <c r="T7" s="332" t="s">
        <v>546</v>
      </c>
    </row>
    <row r="8" spans="1:20" ht="15.75">
      <c r="A8" s="341"/>
      <c r="B8" s="342" t="s">
        <v>415</v>
      </c>
      <c r="C8" s="341"/>
      <c r="D8" s="341"/>
      <c r="E8" s="341"/>
      <c r="F8" s="343"/>
      <c r="I8" s="328"/>
      <c r="J8" s="166"/>
      <c r="K8" s="366"/>
      <c r="L8" s="366"/>
      <c r="M8" s="328"/>
      <c r="N8" s="634"/>
    </row>
    <row r="9" spans="1:20" s="156" customFormat="1" ht="30" customHeight="1">
      <c r="A9" s="344" t="s">
        <v>416</v>
      </c>
      <c r="B9" s="345" t="s">
        <v>417</v>
      </c>
      <c r="C9" s="346"/>
      <c r="D9" s="347"/>
      <c r="E9" s="347"/>
      <c r="F9" s="348" t="s">
        <v>528</v>
      </c>
      <c r="G9" s="409" t="s">
        <v>432</v>
      </c>
      <c r="H9" s="390" t="s">
        <v>259</v>
      </c>
      <c r="I9" s="456" t="s">
        <v>547</v>
      </c>
      <c r="J9" s="299" t="s">
        <v>548</v>
      </c>
      <c r="K9" s="475" t="s">
        <v>116</v>
      </c>
      <c r="L9" s="475" t="s">
        <v>592</v>
      </c>
      <c r="M9" s="456" t="s">
        <v>706</v>
      </c>
      <c r="N9" s="635" t="s">
        <v>548</v>
      </c>
      <c r="O9" s="675" t="s">
        <v>432</v>
      </c>
      <c r="P9" s="675" t="s">
        <v>732</v>
      </c>
      <c r="Q9" s="675" t="s">
        <v>815</v>
      </c>
      <c r="R9" s="675" t="s">
        <v>260</v>
      </c>
      <c r="S9" s="675" t="s">
        <v>432</v>
      </c>
      <c r="T9" s="675" t="s">
        <v>832</v>
      </c>
    </row>
    <row r="10" spans="1:20" s="156" customFormat="1" ht="30" hidden="1" customHeight="1">
      <c r="A10" s="344"/>
      <c r="B10" s="345"/>
      <c r="C10" s="346"/>
      <c r="D10" s="347"/>
      <c r="E10" s="347"/>
      <c r="F10" s="349" t="s">
        <v>518</v>
      </c>
      <c r="G10" s="373"/>
      <c r="H10" s="347"/>
      <c r="I10" s="128" t="s">
        <v>390</v>
      </c>
      <c r="J10" s="128" t="s">
        <v>546</v>
      </c>
      <c r="K10" s="373"/>
      <c r="L10" s="373"/>
      <c r="M10" s="440"/>
      <c r="N10" s="636"/>
      <c r="O10" s="440"/>
      <c r="P10" s="440"/>
      <c r="Q10" s="440"/>
      <c r="R10" s="440"/>
      <c r="S10" s="440"/>
      <c r="T10" s="440"/>
    </row>
    <row r="11" spans="1:20" ht="13.15" customHeight="1">
      <c r="B11" s="350" t="s">
        <v>247</v>
      </c>
      <c r="C11" s="351" t="s">
        <v>189</v>
      </c>
      <c r="F11" s="352">
        <f>SUM('címrendes bevétel'!M118)</f>
        <v>156322</v>
      </c>
      <c r="G11" s="352">
        <v>0</v>
      </c>
      <c r="H11" s="352">
        <f>F11+G11</f>
        <v>156322</v>
      </c>
      <c r="I11" s="307">
        <v>70443</v>
      </c>
      <c r="J11" s="428">
        <f>SUM(I11/H11)*100</f>
        <v>45.062755082458004</v>
      </c>
      <c r="K11" s="352">
        <v>73895</v>
      </c>
      <c r="L11" s="352">
        <f>H11+K11</f>
        <v>230217</v>
      </c>
      <c r="M11" s="328">
        <v>217590</v>
      </c>
      <c r="N11" s="634">
        <f>SUM(M11/L11)*100</f>
        <v>94.515174813328301</v>
      </c>
      <c r="O11" s="307">
        <v>174567</v>
      </c>
      <c r="P11" s="307">
        <f>L11+O11</f>
        <v>404784</v>
      </c>
      <c r="Q11" s="328">
        <v>488153</v>
      </c>
      <c r="R11" s="328">
        <f>SUM(Q11/P11)*100</f>
        <v>120.59592276374561</v>
      </c>
      <c r="S11" s="307">
        <v>385902</v>
      </c>
      <c r="T11" s="307">
        <f>P11+S11</f>
        <v>790686</v>
      </c>
    </row>
    <row r="12" spans="1:20">
      <c r="B12" s="350" t="s">
        <v>244</v>
      </c>
      <c r="C12" s="351" t="s">
        <v>418</v>
      </c>
      <c r="F12" s="352">
        <f>SUM('címrendes bevétel'!M119)</f>
        <v>685000</v>
      </c>
      <c r="G12" s="384">
        <v>0</v>
      </c>
      <c r="H12" s="384">
        <f>F12+G12</f>
        <v>685000</v>
      </c>
      <c r="I12" s="329">
        <v>255790</v>
      </c>
      <c r="J12" s="443">
        <f t="shared" ref="J12:J63" si="0">SUM(I12/H12)*100</f>
        <v>37.341605839416061</v>
      </c>
      <c r="K12" s="352">
        <v>0</v>
      </c>
      <c r="L12" s="352">
        <f t="shared" ref="L12:L63" si="1">H12+K12</f>
        <v>685000</v>
      </c>
      <c r="M12" s="329">
        <v>390099</v>
      </c>
      <c r="N12" s="634">
        <f t="shared" ref="N12:N63" si="2">SUM(M12/L12)*100</f>
        <v>56.948759124087587</v>
      </c>
      <c r="O12" s="307">
        <v>190</v>
      </c>
      <c r="P12" s="307">
        <f t="shared" ref="P12:P63" si="3">L12+O12</f>
        <v>685190</v>
      </c>
      <c r="Q12" s="328">
        <v>676427</v>
      </c>
      <c r="R12" s="328">
        <f t="shared" ref="R12:R63" si="4">SUM(Q12/P12)*100</f>
        <v>98.721084662648323</v>
      </c>
      <c r="S12" s="307">
        <v>5109</v>
      </c>
      <c r="T12" s="307">
        <f t="shared" ref="T12:T63" si="5">P12+S12</f>
        <v>690299</v>
      </c>
    </row>
    <row r="13" spans="1:20" s="156" customFormat="1" ht="15.75">
      <c r="A13" s="353" t="s">
        <v>119</v>
      </c>
      <c r="B13" s="354" t="s">
        <v>494</v>
      </c>
      <c r="C13" s="355"/>
      <c r="D13" s="356"/>
      <c r="E13" s="356"/>
      <c r="F13" s="357">
        <f>SUM(F11:F12)</f>
        <v>841322</v>
      </c>
      <c r="G13" s="357">
        <v>0</v>
      </c>
      <c r="H13" s="357">
        <f>F13+G13</f>
        <v>841322</v>
      </c>
      <c r="I13" s="457">
        <f>SUM(I11:I12)</f>
        <v>326233</v>
      </c>
      <c r="J13" s="331">
        <f t="shared" si="0"/>
        <v>38.776235496040755</v>
      </c>
      <c r="K13" s="357">
        <f>SUM(K11:K12)</f>
        <v>73895</v>
      </c>
      <c r="L13" s="357">
        <f t="shared" si="1"/>
        <v>915217</v>
      </c>
      <c r="M13" s="440">
        <f>SUM(M11:M12)</f>
        <v>607689</v>
      </c>
      <c r="N13" s="637">
        <f t="shared" si="2"/>
        <v>66.398351429223894</v>
      </c>
      <c r="O13" s="457">
        <f>SUM(O11:O12)</f>
        <v>174757</v>
      </c>
      <c r="P13" s="331">
        <f t="shared" si="3"/>
        <v>1089974</v>
      </c>
      <c r="Q13" s="457">
        <f>SUM(Q11:Q12)</f>
        <v>1164580</v>
      </c>
      <c r="R13" s="331">
        <f t="shared" si="4"/>
        <v>106.84475042523951</v>
      </c>
      <c r="S13" s="331">
        <f>SUM(S11:S12)</f>
        <v>391011</v>
      </c>
      <c r="T13" s="331">
        <f t="shared" si="5"/>
        <v>1480985</v>
      </c>
    </row>
    <row r="14" spans="1:20" s="156" customFormat="1" ht="15.75">
      <c r="A14" s="353" t="s">
        <v>149</v>
      </c>
      <c r="B14" s="354" t="s">
        <v>150</v>
      </c>
      <c r="C14" s="355"/>
      <c r="D14" s="356"/>
      <c r="E14" s="356"/>
      <c r="F14" s="357">
        <f>SUM('címrendes bevétel'!M121)</f>
        <v>315067</v>
      </c>
      <c r="G14" s="357">
        <v>105527</v>
      </c>
      <c r="H14" s="357">
        <f>F14+G14</f>
        <v>420594</v>
      </c>
      <c r="I14" s="457">
        <v>160935</v>
      </c>
      <c r="J14" s="331">
        <f t="shared" si="0"/>
        <v>38.263741280189443</v>
      </c>
      <c r="K14" s="373">
        <v>47930</v>
      </c>
      <c r="L14" s="373">
        <f t="shared" si="1"/>
        <v>468524</v>
      </c>
      <c r="M14" s="457">
        <v>373112</v>
      </c>
      <c r="N14" s="637">
        <f t="shared" si="2"/>
        <v>79.635621654386966</v>
      </c>
      <c r="O14" s="457">
        <v>147976</v>
      </c>
      <c r="P14" s="331">
        <f t="shared" si="3"/>
        <v>616500</v>
      </c>
      <c r="Q14" s="736">
        <v>533611</v>
      </c>
      <c r="R14" s="737">
        <f t="shared" si="4"/>
        <v>86.554906731549067</v>
      </c>
      <c r="S14" s="676">
        <v>24913</v>
      </c>
      <c r="T14" s="676">
        <f t="shared" si="5"/>
        <v>641413</v>
      </c>
    </row>
    <row r="15" spans="1:20" s="156" customFormat="1" ht="15.75">
      <c r="A15" s="358" t="s">
        <v>419</v>
      </c>
      <c r="B15" s="359" t="s">
        <v>166</v>
      </c>
      <c r="C15" s="360"/>
      <c r="D15" s="361"/>
      <c r="E15" s="361"/>
      <c r="F15" s="357">
        <f>SUM('címrendes bevétel'!M122)</f>
        <v>87530</v>
      </c>
      <c r="G15" s="357">
        <v>0</v>
      </c>
      <c r="H15" s="357">
        <f>F15+G15</f>
        <v>87530</v>
      </c>
      <c r="I15" s="457">
        <v>10225</v>
      </c>
      <c r="J15" s="331">
        <f t="shared" si="0"/>
        <v>11.681709128298868</v>
      </c>
      <c r="K15" s="357">
        <v>-30969</v>
      </c>
      <c r="L15" s="357">
        <f t="shared" si="1"/>
        <v>56561</v>
      </c>
      <c r="M15" s="457">
        <v>1800</v>
      </c>
      <c r="N15" s="637">
        <f t="shared" si="2"/>
        <v>3.1824048372553522</v>
      </c>
      <c r="O15" s="457">
        <v>235</v>
      </c>
      <c r="P15" s="331">
        <f t="shared" si="3"/>
        <v>56796</v>
      </c>
      <c r="Q15" s="457">
        <v>15345</v>
      </c>
      <c r="R15" s="331">
        <f t="shared" si="4"/>
        <v>27.017747728713289</v>
      </c>
      <c r="S15" s="331">
        <v>0</v>
      </c>
      <c r="T15" s="331">
        <f t="shared" si="5"/>
        <v>56796</v>
      </c>
    </row>
    <row r="16" spans="1:20" s="156" customFormat="1" ht="15.75">
      <c r="A16" s="344" t="s">
        <v>172</v>
      </c>
      <c r="B16" s="362" t="s">
        <v>198</v>
      </c>
      <c r="C16" s="363"/>
      <c r="D16" s="347"/>
      <c r="E16" s="347"/>
      <c r="F16" s="364"/>
      <c r="G16" s="373"/>
      <c r="H16" s="352"/>
      <c r="I16" s="440"/>
      <c r="J16" s="428"/>
      <c r="K16" s="373"/>
      <c r="L16" s="352"/>
      <c r="M16" s="440"/>
      <c r="N16" s="634"/>
      <c r="O16" s="440"/>
      <c r="P16" s="307"/>
      <c r="Q16" s="736"/>
      <c r="R16" s="328"/>
      <c r="S16" s="440"/>
      <c r="T16" s="307"/>
    </row>
    <row r="17" spans="1:20">
      <c r="B17" s="350" t="s">
        <v>117</v>
      </c>
      <c r="C17" s="365" t="s">
        <v>174</v>
      </c>
      <c r="F17" s="366">
        <f>SUM('címrendes bevétel'!M124)</f>
        <v>10618</v>
      </c>
      <c r="G17" s="352">
        <v>406</v>
      </c>
      <c r="H17" s="352">
        <f>F17+G17</f>
        <v>11024</v>
      </c>
      <c r="I17" s="307">
        <v>128261</v>
      </c>
      <c r="J17" s="428">
        <f t="shared" si="0"/>
        <v>1163.4706095791</v>
      </c>
      <c r="K17" s="352">
        <v>402589</v>
      </c>
      <c r="L17" s="352">
        <f t="shared" si="1"/>
        <v>413613</v>
      </c>
      <c r="M17" s="328">
        <v>252562</v>
      </c>
      <c r="N17" s="634">
        <f t="shared" si="2"/>
        <v>61.062394073687244</v>
      </c>
      <c r="O17" s="307">
        <v>32499</v>
      </c>
      <c r="P17" s="307">
        <f t="shared" si="3"/>
        <v>446112</v>
      </c>
      <c r="Q17" s="328">
        <v>351613</v>
      </c>
      <c r="R17" s="328">
        <f t="shared" si="4"/>
        <v>78.817202854888464</v>
      </c>
      <c r="S17" s="307">
        <v>32304</v>
      </c>
      <c r="T17" s="307">
        <f t="shared" si="5"/>
        <v>478416</v>
      </c>
    </row>
    <row r="18" spans="1:20">
      <c r="B18" s="367" t="s">
        <v>122</v>
      </c>
      <c r="C18" s="368" t="s">
        <v>175</v>
      </c>
      <c r="F18" s="366">
        <f>SUM('címrendes bevétel'!M125)</f>
        <v>0</v>
      </c>
      <c r="G18" s="384">
        <v>264409</v>
      </c>
      <c r="H18" s="384">
        <f>F18+G18</f>
        <v>264409</v>
      </c>
      <c r="I18" s="329">
        <v>196697</v>
      </c>
      <c r="J18" s="443">
        <f t="shared" si="0"/>
        <v>74.391189407319729</v>
      </c>
      <c r="K18" s="352">
        <v>1960162</v>
      </c>
      <c r="L18" s="352">
        <f t="shared" si="1"/>
        <v>2224571</v>
      </c>
      <c r="M18" s="329">
        <v>492303</v>
      </c>
      <c r="N18" s="634">
        <f t="shared" si="2"/>
        <v>22.130244438141105</v>
      </c>
      <c r="O18" s="307">
        <v>41255</v>
      </c>
      <c r="P18" s="307">
        <f t="shared" si="3"/>
        <v>2265826</v>
      </c>
      <c r="Q18" s="328">
        <v>803537</v>
      </c>
      <c r="R18" s="328">
        <f t="shared" si="4"/>
        <v>35.463314482224142</v>
      </c>
      <c r="S18" s="307">
        <v>348864</v>
      </c>
      <c r="T18" s="307">
        <f t="shared" si="5"/>
        <v>2614690</v>
      </c>
    </row>
    <row r="19" spans="1:20" s="156" customFormat="1" ht="15.75">
      <c r="A19" s="353" t="s">
        <v>172</v>
      </c>
      <c r="B19" s="354" t="s">
        <v>495</v>
      </c>
      <c r="C19" s="355"/>
      <c r="D19" s="356"/>
      <c r="E19" s="356"/>
      <c r="F19" s="357">
        <f>SUM(F17:F18)</f>
        <v>10618</v>
      </c>
      <c r="G19" s="357">
        <f>SUM(G17:G18)</f>
        <v>264815</v>
      </c>
      <c r="H19" s="357">
        <f>F19+G19</f>
        <v>275433</v>
      </c>
      <c r="I19" s="457">
        <f>SUM(I17:I18)</f>
        <v>324958</v>
      </c>
      <c r="J19" s="331">
        <f t="shared" si="0"/>
        <v>117.98077935468881</v>
      </c>
      <c r="K19" s="357">
        <f>SUM(K17:K18)</f>
        <v>2362751</v>
      </c>
      <c r="L19" s="357">
        <f t="shared" si="1"/>
        <v>2638184</v>
      </c>
      <c r="M19" s="457">
        <f>SUM(M17:M18)</f>
        <v>744865</v>
      </c>
      <c r="N19" s="637">
        <f t="shared" si="2"/>
        <v>28.234004906405314</v>
      </c>
      <c r="O19" s="457">
        <f>SUM(O17:O18)</f>
        <v>73754</v>
      </c>
      <c r="P19" s="331">
        <f t="shared" si="3"/>
        <v>2711938</v>
      </c>
      <c r="Q19" s="457">
        <f>SUM(Q17:Q18)</f>
        <v>1155150</v>
      </c>
      <c r="R19" s="331">
        <f t="shared" si="4"/>
        <v>42.595000328178592</v>
      </c>
      <c r="S19" s="331">
        <f>SUM(S17:S18)</f>
        <v>381168</v>
      </c>
      <c r="T19" s="331">
        <f t="shared" si="5"/>
        <v>3093106</v>
      </c>
    </row>
    <row r="20" spans="1:20" ht="15.75">
      <c r="A20" s="344" t="s">
        <v>177</v>
      </c>
      <c r="B20" s="362" t="s">
        <v>178</v>
      </c>
      <c r="C20" s="363"/>
      <c r="D20" s="347"/>
      <c r="E20" s="347"/>
      <c r="F20" s="364"/>
      <c r="H20" s="352"/>
      <c r="J20" s="428"/>
      <c r="N20" s="634"/>
      <c r="Q20" s="328"/>
      <c r="R20" s="328"/>
    </row>
    <row r="21" spans="1:20">
      <c r="B21" s="350" t="s">
        <v>117</v>
      </c>
      <c r="C21" s="351" t="s">
        <v>200</v>
      </c>
      <c r="F21" s="366">
        <f>SUM('címrendes bevétel'!M128)</f>
        <v>0</v>
      </c>
      <c r="G21" s="352">
        <v>0</v>
      </c>
      <c r="H21" s="352">
        <f>F21+G21</f>
        <v>0</v>
      </c>
      <c r="I21" s="307">
        <v>7796</v>
      </c>
      <c r="J21" s="428">
        <v>0</v>
      </c>
      <c r="K21" s="352">
        <v>8549</v>
      </c>
      <c r="L21" s="352">
        <f t="shared" si="1"/>
        <v>8549</v>
      </c>
      <c r="M21" s="328">
        <v>7790</v>
      </c>
      <c r="N21" s="634">
        <f t="shared" si="2"/>
        <v>91.121768627909688</v>
      </c>
      <c r="O21" s="307">
        <v>0</v>
      </c>
      <c r="P21" s="307">
        <f t="shared" si="3"/>
        <v>8549</v>
      </c>
      <c r="Q21" s="328">
        <v>7600</v>
      </c>
      <c r="R21" s="328">
        <f t="shared" si="4"/>
        <v>88.899286466253358</v>
      </c>
      <c r="S21" s="307">
        <v>0</v>
      </c>
      <c r="T21" s="307">
        <f t="shared" si="5"/>
        <v>8549</v>
      </c>
    </row>
    <row r="22" spans="1:20" ht="15.75">
      <c r="A22" s="369"/>
      <c r="B22" s="367" t="s">
        <v>122</v>
      </c>
      <c r="C22" s="370" t="s">
        <v>180</v>
      </c>
      <c r="E22" s="266"/>
      <c r="F22" s="366">
        <f>SUM('címrendes bevétel'!M129)</f>
        <v>500</v>
      </c>
      <c r="G22" s="384">
        <v>0</v>
      </c>
      <c r="H22" s="384">
        <f>F22+G22</f>
        <v>500</v>
      </c>
      <c r="I22" s="329">
        <v>148</v>
      </c>
      <c r="J22" s="443">
        <f t="shared" si="0"/>
        <v>29.599999999999998</v>
      </c>
      <c r="K22" s="352">
        <v>0</v>
      </c>
      <c r="L22" s="352">
        <f t="shared" si="1"/>
        <v>500</v>
      </c>
      <c r="M22" s="329">
        <v>3266</v>
      </c>
      <c r="N22" s="634">
        <f t="shared" si="2"/>
        <v>653.20000000000005</v>
      </c>
      <c r="O22" s="307">
        <v>0</v>
      </c>
      <c r="P22" s="307">
        <f t="shared" si="3"/>
        <v>500</v>
      </c>
      <c r="Q22" s="328">
        <v>358</v>
      </c>
      <c r="R22" s="328">
        <f t="shared" si="4"/>
        <v>71.599999999999994</v>
      </c>
      <c r="S22" s="307">
        <v>0</v>
      </c>
      <c r="T22" s="307">
        <f t="shared" si="5"/>
        <v>500</v>
      </c>
    </row>
    <row r="23" spans="1:20" s="156" customFormat="1" ht="15.75">
      <c r="A23" s="353" t="s">
        <v>177</v>
      </c>
      <c r="B23" s="354" t="s">
        <v>181</v>
      </c>
      <c r="C23" s="355"/>
      <c r="D23" s="356"/>
      <c r="E23" s="356"/>
      <c r="F23" s="357">
        <f>SUM(F21:F22)</f>
        <v>500</v>
      </c>
      <c r="G23" s="357">
        <v>0</v>
      </c>
      <c r="H23" s="357">
        <f>F23+G23</f>
        <v>500</v>
      </c>
      <c r="I23" s="457">
        <f>SUM(I21:I22)</f>
        <v>7944</v>
      </c>
      <c r="J23" s="331">
        <f t="shared" si="0"/>
        <v>1588.8</v>
      </c>
      <c r="K23" s="357">
        <f>SUM(K21:K22)</f>
        <v>8549</v>
      </c>
      <c r="L23" s="357">
        <f t="shared" si="1"/>
        <v>9049</v>
      </c>
      <c r="M23" s="440">
        <f>SUM(M21:M22)</f>
        <v>11056</v>
      </c>
      <c r="N23" s="637">
        <f t="shared" si="2"/>
        <v>122.17924632556083</v>
      </c>
      <c r="O23" s="457">
        <f>SUM(O21:O22)</f>
        <v>0</v>
      </c>
      <c r="P23" s="331">
        <f t="shared" si="3"/>
        <v>9049</v>
      </c>
      <c r="Q23" s="457">
        <f>SUM(Q21:Q22)</f>
        <v>7958</v>
      </c>
      <c r="R23" s="331">
        <f t="shared" si="4"/>
        <v>87.943419162338373</v>
      </c>
      <c r="S23" s="331">
        <f>SUM(S21:S22)</f>
        <v>0</v>
      </c>
      <c r="T23" s="331">
        <f t="shared" si="5"/>
        <v>9049</v>
      </c>
    </row>
    <row r="24" spans="1:20" s="156" customFormat="1" ht="15.75">
      <c r="A24" s="353" t="s">
        <v>182</v>
      </c>
      <c r="B24" s="354" t="s">
        <v>502</v>
      </c>
      <c r="C24" s="355"/>
      <c r="D24" s="356"/>
      <c r="E24" s="356"/>
      <c r="F24" s="357">
        <f>SUM('címrendes bevétel'!M134)</f>
        <v>3100</v>
      </c>
      <c r="G24" s="357">
        <v>0</v>
      </c>
      <c r="H24" s="357">
        <f>F24+G24</f>
        <v>3100</v>
      </c>
      <c r="I24" s="457">
        <v>2934</v>
      </c>
      <c r="J24" s="331">
        <f t="shared" si="0"/>
        <v>94.645161290322577</v>
      </c>
      <c r="K24" s="373">
        <v>0</v>
      </c>
      <c r="L24" s="373">
        <f t="shared" si="1"/>
        <v>3100</v>
      </c>
      <c r="M24" s="457">
        <v>3735</v>
      </c>
      <c r="N24" s="637">
        <f t="shared" si="2"/>
        <v>120.48387096774194</v>
      </c>
      <c r="O24" s="440">
        <v>1946</v>
      </c>
      <c r="P24" s="676">
        <f t="shared" si="3"/>
        <v>5046</v>
      </c>
      <c r="Q24" s="736">
        <v>4629</v>
      </c>
      <c r="R24" s="737">
        <f t="shared" si="4"/>
        <v>91.736028537455411</v>
      </c>
      <c r="S24" s="676">
        <v>0</v>
      </c>
      <c r="T24" s="676">
        <f t="shared" si="5"/>
        <v>5046</v>
      </c>
    </row>
    <row r="25" spans="1:20" s="156" customFormat="1" ht="15.75">
      <c r="A25" s="353" t="s">
        <v>155</v>
      </c>
      <c r="B25" s="354" t="s">
        <v>421</v>
      </c>
      <c r="C25" s="355"/>
      <c r="D25" s="356"/>
      <c r="E25" s="356"/>
      <c r="F25" s="357">
        <f>SUM(F13+F14+F15+F19+F23+F24)</f>
        <v>1258137</v>
      </c>
      <c r="G25" s="357">
        <f>G13+G14+G15+G19+G23+G24</f>
        <v>370342</v>
      </c>
      <c r="H25" s="357">
        <f>F25+G25</f>
        <v>1628479</v>
      </c>
      <c r="I25" s="458">
        <f>I13+I14+I15+I19+I23+I24</f>
        <v>833229</v>
      </c>
      <c r="J25" s="331">
        <f t="shared" si="0"/>
        <v>51.166088110439247</v>
      </c>
      <c r="K25" s="357">
        <f>K13+K14+K15+K19+K23+K24</f>
        <v>2462156</v>
      </c>
      <c r="L25" s="357">
        <f t="shared" si="1"/>
        <v>4090635</v>
      </c>
      <c r="M25" s="457">
        <f>M13+M14+M15+M19+M23+M24</f>
        <v>1742257</v>
      </c>
      <c r="N25" s="637">
        <f t="shared" si="2"/>
        <v>42.591358065434832</v>
      </c>
      <c r="O25" s="457">
        <f>O13+O14+O15+O19+O23+O24</f>
        <v>398668</v>
      </c>
      <c r="P25" s="331">
        <f>P13+P14+P15+P19+P23+P24</f>
        <v>4489303</v>
      </c>
      <c r="Q25" s="457">
        <f>Q13+Q14+Q15+Q19+Q23+Q24</f>
        <v>2881273</v>
      </c>
      <c r="R25" s="331">
        <f t="shared" si="4"/>
        <v>64.180853909838561</v>
      </c>
      <c r="S25" s="331">
        <f>S13+S14+S15+S19+S23+S24</f>
        <v>797092</v>
      </c>
      <c r="T25" s="331">
        <f t="shared" si="5"/>
        <v>5286395</v>
      </c>
    </row>
    <row r="26" spans="1:20">
      <c r="B26" s="362"/>
      <c r="C26" s="363"/>
      <c r="F26" s="352"/>
      <c r="H26" s="352"/>
      <c r="J26" s="428"/>
      <c r="N26" s="634"/>
      <c r="Q26" s="328"/>
      <c r="R26" s="328"/>
    </row>
    <row r="27" spans="1:20">
      <c r="B27" s="372" t="s">
        <v>422</v>
      </c>
      <c r="C27" s="363"/>
      <c r="F27" s="352"/>
      <c r="H27" s="352"/>
      <c r="J27" s="428"/>
      <c r="N27" s="634"/>
      <c r="Q27" s="328"/>
      <c r="R27" s="328"/>
    </row>
    <row r="28" spans="1:20" s="156" customFormat="1" ht="15.75">
      <c r="A28" s="344" t="s">
        <v>117</v>
      </c>
      <c r="B28" s="362" t="s">
        <v>218</v>
      </c>
      <c r="C28" s="363"/>
      <c r="D28" s="347"/>
      <c r="E28" s="347"/>
      <c r="F28" s="373"/>
      <c r="G28" s="373"/>
      <c r="H28" s="352"/>
      <c r="I28" s="440"/>
      <c r="J28" s="428"/>
      <c r="K28" s="373"/>
      <c r="L28" s="352"/>
      <c r="M28" s="440"/>
      <c r="N28" s="634"/>
      <c r="O28" s="440"/>
      <c r="P28" s="307"/>
      <c r="Q28" s="736"/>
      <c r="R28" s="328"/>
      <c r="S28" s="440"/>
      <c r="T28" s="307"/>
    </row>
    <row r="29" spans="1:20">
      <c r="B29" s="351" t="s">
        <v>152</v>
      </c>
      <c r="C29" s="370" t="s">
        <v>317</v>
      </c>
      <c r="F29" s="352">
        <f>SUM('címrendes kiadás'!M44)</f>
        <v>345173</v>
      </c>
      <c r="G29" s="352">
        <v>0</v>
      </c>
      <c r="H29" s="352">
        <f t="shared" ref="H29:H38" si="6">F29+G29</f>
        <v>345173</v>
      </c>
      <c r="I29" s="307">
        <v>131840</v>
      </c>
      <c r="J29" s="428">
        <f t="shared" si="0"/>
        <v>38.19533972819427</v>
      </c>
      <c r="K29" s="352">
        <v>293581</v>
      </c>
      <c r="L29" s="352">
        <f t="shared" si="1"/>
        <v>638754</v>
      </c>
      <c r="M29" s="328">
        <v>279267</v>
      </c>
      <c r="N29" s="634">
        <f t="shared" si="2"/>
        <v>43.720587268338043</v>
      </c>
      <c r="O29" s="307">
        <v>11620</v>
      </c>
      <c r="P29" s="307">
        <f t="shared" si="3"/>
        <v>650374</v>
      </c>
      <c r="Q29" s="328">
        <v>431960</v>
      </c>
      <c r="R29" s="328">
        <f t="shared" si="4"/>
        <v>66.417169198030663</v>
      </c>
      <c r="S29" s="307">
        <v>43900</v>
      </c>
      <c r="T29" s="307">
        <f t="shared" si="5"/>
        <v>694274</v>
      </c>
    </row>
    <row r="30" spans="1:20">
      <c r="B30" s="351" t="s">
        <v>156</v>
      </c>
      <c r="C30" s="374" t="s">
        <v>490</v>
      </c>
      <c r="F30" s="352">
        <f>SUM('címrendes kiadás'!M45)</f>
        <v>93125</v>
      </c>
      <c r="G30" s="352">
        <v>0</v>
      </c>
      <c r="H30" s="352">
        <f t="shared" si="6"/>
        <v>93125</v>
      </c>
      <c r="I30" s="307">
        <v>31532</v>
      </c>
      <c r="J30" s="428">
        <f t="shared" si="0"/>
        <v>33.859865771812082</v>
      </c>
      <c r="K30" s="352">
        <v>42034</v>
      </c>
      <c r="L30" s="352">
        <f t="shared" si="1"/>
        <v>135159</v>
      </c>
      <c r="M30" s="328">
        <v>60191</v>
      </c>
      <c r="N30" s="634">
        <f t="shared" si="2"/>
        <v>44.533475388246437</v>
      </c>
      <c r="O30" s="307">
        <v>2997</v>
      </c>
      <c r="P30" s="307">
        <f t="shared" si="3"/>
        <v>138156</v>
      </c>
      <c r="Q30" s="328">
        <v>91454</v>
      </c>
      <c r="R30" s="328">
        <f t="shared" si="4"/>
        <v>66.196184023857086</v>
      </c>
      <c r="S30" s="307">
        <v>8474</v>
      </c>
      <c r="T30" s="307">
        <f t="shared" si="5"/>
        <v>146630</v>
      </c>
    </row>
    <row r="31" spans="1:20">
      <c r="B31" s="351" t="s">
        <v>220</v>
      </c>
      <c r="C31" s="370" t="s">
        <v>221</v>
      </c>
      <c r="F31" s="352">
        <f>SUM('címrendes kiadás'!M46)</f>
        <v>366927</v>
      </c>
      <c r="G31" s="352">
        <v>0</v>
      </c>
      <c r="H31" s="352">
        <f t="shared" si="6"/>
        <v>366927</v>
      </c>
      <c r="I31" s="307">
        <v>167346</v>
      </c>
      <c r="J31" s="428">
        <f t="shared" si="0"/>
        <v>45.60743690161803</v>
      </c>
      <c r="K31" s="352">
        <v>277640</v>
      </c>
      <c r="L31" s="352">
        <f t="shared" si="1"/>
        <v>644567</v>
      </c>
      <c r="M31" s="328">
        <v>303905</v>
      </c>
      <c r="N31" s="634">
        <f t="shared" si="2"/>
        <v>47.148706030560049</v>
      </c>
      <c r="O31" s="307">
        <v>142930</v>
      </c>
      <c r="P31" s="307">
        <f t="shared" si="3"/>
        <v>787497</v>
      </c>
      <c r="Q31" s="328">
        <v>686401</v>
      </c>
      <c r="R31" s="328">
        <f t="shared" si="4"/>
        <v>87.162363793131917</v>
      </c>
      <c r="S31" s="307">
        <v>530526</v>
      </c>
      <c r="T31" s="307">
        <f t="shared" si="5"/>
        <v>1318023</v>
      </c>
    </row>
    <row r="32" spans="1:20">
      <c r="B32" s="351" t="s">
        <v>230</v>
      </c>
      <c r="C32" s="370" t="s">
        <v>485</v>
      </c>
      <c r="F32" s="352">
        <v>0</v>
      </c>
      <c r="G32" s="352">
        <v>0</v>
      </c>
      <c r="H32" s="352">
        <f t="shared" si="6"/>
        <v>0</v>
      </c>
      <c r="I32" s="307">
        <v>0</v>
      </c>
      <c r="J32" s="428">
        <v>0</v>
      </c>
      <c r="K32" s="352">
        <v>0</v>
      </c>
      <c r="L32" s="352">
        <f t="shared" si="1"/>
        <v>0</v>
      </c>
      <c r="M32" s="328">
        <v>0</v>
      </c>
      <c r="N32" s="634">
        <v>0</v>
      </c>
      <c r="O32" s="307">
        <v>0</v>
      </c>
      <c r="P32" s="307">
        <f t="shared" si="3"/>
        <v>0</v>
      </c>
      <c r="Q32" s="328">
        <v>0</v>
      </c>
      <c r="R32" s="328">
        <v>0</v>
      </c>
      <c r="S32" s="307">
        <v>0</v>
      </c>
      <c r="T32" s="307">
        <f t="shared" si="5"/>
        <v>0</v>
      </c>
    </row>
    <row r="33" spans="1:20">
      <c r="B33" s="351" t="s">
        <v>162</v>
      </c>
      <c r="C33" s="375" t="s">
        <v>222</v>
      </c>
      <c r="F33" s="352">
        <f>SUM('címrendes kiadás'!M48)</f>
        <v>45885</v>
      </c>
      <c r="G33" s="352">
        <v>0</v>
      </c>
      <c r="H33" s="352">
        <f t="shared" si="6"/>
        <v>45885</v>
      </c>
      <c r="I33" s="307">
        <v>5859</v>
      </c>
      <c r="J33" s="428">
        <f t="shared" si="0"/>
        <v>12.76887871853547</v>
      </c>
      <c r="K33" s="352">
        <v>20657</v>
      </c>
      <c r="L33" s="352">
        <f t="shared" si="1"/>
        <v>66542</v>
      </c>
      <c r="M33" s="328">
        <v>41771</v>
      </c>
      <c r="N33" s="634">
        <f t="shared" si="2"/>
        <v>62.773887169006038</v>
      </c>
      <c r="O33" s="307">
        <v>128758</v>
      </c>
      <c r="P33" s="307">
        <f t="shared" si="3"/>
        <v>195300</v>
      </c>
      <c r="Q33" s="328">
        <v>102161</v>
      </c>
      <c r="R33" s="328">
        <f t="shared" si="4"/>
        <v>52.309779825908855</v>
      </c>
      <c r="S33" s="307">
        <v>-12600</v>
      </c>
      <c r="T33" s="307">
        <f t="shared" si="5"/>
        <v>182700</v>
      </c>
    </row>
    <row r="34" spans="1:20">
      <c r="B34" s="351" t="s">
        <v>163</v>
      </c>
      <c r="C34" s="370" t="s">
        <v>423</v>
      </c>
      <c r="F34" s="352">
        <f>SUM('címrendes kiadás'!M49)</f>
        <v>189482</v>
      </c>
      <c r="G34" s="352">
        <v>0</v>
      </c>
      <c r="H34" s="352">
        <f t="shared" si="6"/>
        <v>189482</v>
      </c>
      <c r="I34" s="307">
        <v>32384</v>
      </c>
      <c r="J34" s="428">
        <f t="shared" si="0"/>
        <v>17.090805459093737</v>
      </c>
      <c r="K34" s="352">
        <v>24048</v>
      </c>
      <c r="L34" s="352">
        <f t="shared" si="1"/>
        <v>213530</v>
      </c>
      <c r="M34" s="328">
        <v>77977</v>
      </c>
      <c r="N34" s="634">
        <f t="shared" si="2"/>
        <v>36.518053669273634</v>
      </c>
      <c r="O34" s="307">
        <v>1094</v>
      </c>
      <c r="P34" s="307">
        <f t="shared" si="3"/>
        <v>214624</v>
      </c>
      <c r="Q34" s="328">
        <v>146928</v>
      </c>
      <c r="R34" s="328">
        <f t="shared" si="4"/>
        <v>68.45832712091844</v>
      </c>
      <c r="S34" s="307">
        <v>10255</v>
      </c>
      <c r="T34" s="307">
        <f t="shared" si="5"/>
        <v>224879</v>
      </c>
    </row>
    <row r="35" spans="1:20">
      <c r="B35" s="351" t="s">
        <v>224</v>
      </c>
      <c r="C35" s="370" t="s">
        <v>225</v>
      </c>
      <c r="F35" s="352">
        <f>SUM('címrendes kiadás'!M50)</f>
        <v>52904</v>
      </c>
      <c r="G35" s="352">
        <v>23709</v>
      </c>
      <c r="H35" s="352">
        <f t="shared" si="6"/>
        <v>76613</v>
      </c>
      <c r="I35" s="307">
        <v>39261</v>
      </c>
      <c r="J35" s="428">
        <f t="shared" si="0"/>
        <v>51.245872110477329</v>
      </c>
      <c r="K35" s="352">
        <v>22284</v>
      </c>
      <c r="L35" s="352">
        <f t="shared" si="1"/>
        <v>98897</v>
      </c>
      <c r="M35" s="328">
        <v>62071</v>
      </c>
      <c r="N35" s="634">
        <f t="shared" si="2"/>
        <v>62.763278967006073</v>
      </c>
      <c r="O35" s="307">
        <v>18947</v>
      </c>
      <c r="P35" s="307">
        <f t="shared" si="3"/>
        <v>117844</v>
      </c>
      <c r="Q35" s="328">
        <v>89093</v>
      </c>
      <c r="R35" s="328">
        <f t="shared" si="4"/>
        <v>75.602491429347268</v>
      </c>
      <c r="S35" s="307">
        <v>15273</v>
      </c>
      <c r="T35" s="307">
        <f t="shared" si="5"/>
        <v>133117</v>
      </c>
    </row>
    <row r="36" spans="1:20">
      <c r="B36" s="351" t="s">
        <v>226</v>
      </c>
      <c r="C36" s="370" t="s">
        <v>227</v>
      </c>
      <c r="F36" s="352">
        <f>SUM('címrendes kiadás'!M51)</f>
        <v>52500</v>
      </c>
      <c r="G36" s="352">
        <v>0</v>
      </c>
      <c r="H36" s="352">
        <f t="shared" si="6"/>
        <v>52500</v>
      </c>
      <c r="I36" s="307">
        <v>3999</v>
      </c>
      <c r="J36" s="428">
        <f t="shared" si="0"/>
        <v>7.6171428571428574</v>
      </c>
      <c r="K36" s="352">
        <v>0</v>
      </c>
      <c r="L36" s="352">
        <f t="shared" si="1"/>
        <v>52500</v>
      </c>
      <c r="M36" s="328">
        <v>17185</v>
      </c>
      <c r="N36" s="634">
        <f t="shared" si="2"/>
        <v>32.733333333333334</v>
      </c>
      <c r="O36" s="307">
        <v>0</v>
      </c>
      <c r="P36" s="307">
        <f t="shared" si="3"/>
        <v>52500</v>
      </c>
      <c r="Q36" s="328">
        <v>20511</v>
      </c>
      <c r="R36" s="328">
        <f t="shared" si="4"/>
        <v>39.068571428571431</v>
      </c>
      <c r="S36" s="307">
        <v>0</v>
      </c>
      <c r="T36" s="307">
        <f t="shared" si="5"/>
        <v>52500</v>
      </c>
    </row>
    <row r="37" spans="1:20" ht="15.75" customHeight="1">
      <c r="B37" s="351" t="s">
        <v>228</v>
      </c>
      <c r="C37" s="339" t="s">
        <v>232</v>
      </c>
      <c r="F37" s="352">
        <f>SUM('címrendes kiadás'!M52)</f>
        <v>0</v>
      </c>
      <c r="G37" s="384">
        <v>362</v>
      </c>
      <c r="H37" s="384">
        <f t="shared" si="6"/>
        <v>362</v>
      </c>
      <c r="I37" s="329">
        <v>0</v>
      </c>
      <c r="J37" s="443">
        <f t="shared" si="0"/>
        <v>0</v>
      </c>
      <c r="K37" s="352">
        <v>34505</v>
      </c>
      <c r="L37" s="352">
        <f t="shared" si="1"/>
        <v>34867</v>
      </c>
      <c r="M37" s="307">
        <v>0</v>
      </c>
      <c r="N37" s="634">
        <f t="shared" si="2"/>
        <v>0</v>
      </c>
      <c r="O37" s="307">
        <v>-4017</v>
      </c>
      <c r="P37" s="307">
        <f t="shared" si="3"/>
        <v>30850</v>
      </c>
      <c r="Q37" s="328">
        <v>0</v>
      </c>
      <c r="R37" s="328">
        <f t="shared" si="4"/>
        <v>0</v>
      </c>
      <c r="S37" s="307">
        <v>-11041</v>
      </c>
      <c r="T37" s="307">
        <f t="shared" si="5"/>
        <v>19809</v>
      </c>
    </row>
    <row r="38" spans="1:20" s="156" customFormat="1" ht="15.75">
      <c r="A38" s="353" t="s">
        <v>117</v>
      </c>
      <c r="B38" s="354" t="s">
        <v>231</v>
      </c>
      <c r="C38" s="376"/>
      <c r="D38" s="356"/>
      <c r="E38" s="356"/>
      <c r="F38" s="357">
        <f>SUM(F29:F37)</f>
        <v>1145996</v>
      </c>
      <c r="G38" s="357">
        <f>SUM(G29:G37)</f>
        <v>24071</v>
      </c>
      <c r="H38" s="357">
        <f t="shared" si="6"/>
        <v>1170067</v>
      </c>
      <c r="I38" s="457">
        <f>SUM(I29:I37)</f>
        <v>412221</v>
      </c>
      <c r="J38" s="331">
        <f t="shared" si="0"/>
        <v>35.230546626817095</v>
      </c>
      <c r="K38" s="357">
        <f>SUM(K29:K37)</f>
        <v>714749</v>
      </c>
      <c r="L38" s="357">
        <f t="shared" si="1"/>
        <v>1884816</v>
      </c>
      <c r="M38" s="457">
        <f>SUM(M29:M37)</f>
        <v>842367</v>
      </c>
      <c r="N38" s="637">
        <f t="shared" si="2"/>
        <v>44.692267043573487</v>
      </c>
      <c r="O38" s="457">
        <f>SUM(O29:O37)</f>
        <v>302329</v>
      </c>
      <c r="P38" s="331">
        <f t="shared" si="3"/>
        <v>2187145</v>
      </c>
      <c r="Q38" s="457">
        <f>SUM(Q29:Q37)</f>
        <v>1568508</v>
      </c>
      <c r="R38" s="331">
        <f t="shared" si="4"/>
        <v>71.714861154610233</v>
      </c>
      <c r="S38" s="331">
        <f>SUM(S29:S37)</f>
        <v>584787</v>
      </c>
      <c r="T38" s="331">
        <f t="shared" si="5"/>
        <v>2771932</v>
      </c>
    </row>
    <row r="39" spans="1:20" ht="15.75">
      <c r="A39" s="344" t="s">
        <v>122</v>
      </c>
      <c r="B39" s="362" t="s">
        <v>234</v>
      </c>
      <c r="C39" s="370"/>
      <c r="F39" s="352"/>
      <c r="H39" s="352"/>
      <c r="J39" s="428"/>
      <c r="N39" s="634"/>
      <c r="Q39" s="328"/>
      <c r="R39" s="328"/>
    </row>
    <row r="40" spans="1:20">
      <c r="B40" s="351" t="s">
        <v>235</v>
      </c>
      <c r="C40" s="370" t="s">
        <v>476</v>
      </c>
      <c r="F40" s="352">
        <f>SUM('címrendes kiadás'!M147)</f>
        <v>2000</v>
      </c>
      <c r="G40" s="352">
        <v>390050</v>
      </c>
      <c r="H40" s="352">
        <f t="shared" ref="H40:H47" si="7">F40+G40</f>
        <v>392050</v>
      </c>
      <c r="I40" s="307">
        <v>232044</v>
      </c>
      <c r="J40" s="428">
        <f t="shared" si="0"/>
        <v>59.187348552480557</v>
      </c>
      <c r="K40" s="352">
        <v>2425423</v>
      </c>
      <c r="L40" s="352">
        <f t="shared" si="1"/>
        <v>2817473</v>
      </c>
      <c r="M40" s="328">
        <v>608818</v>
      </c>
      <c r="N40" s="634">
        <f t="shared" si="2"/>
        <v>21.608654279916792</v>
      </c>
      <c r="O40" s="307">
        <v>113408</v>
      </c>
      <c r="P40" s="307">
        <f t="shared" si="3"/>
        <v>2930881</v>
      </c>
      <c r="Q40" s="328">
        <v>1049661</v>
      </c>
      <c r="R40" s="328">
        <f t="shared" si="4"/>
        <v>35.813838910552839</v>
      </c>
      <c r="S40" s="307">
        <v>209970</v>
      </c>
      <c r="T40" s="307">
        <f t="shared" si="5"/>
        <v>3140851</v>
      </c>
    </row>
    <row r="41" spans="1:20">
      <c r="B41" s="351" t="s">
        <v>124</v>
      </c>
      <c r="C41" s="370" t="s">
        <v>477</v>
      </c>
      <c r="F41" s="352">
        <f>SUM('címrendes kiadás'!M148)</f>
        <v>414</v>
      </c>
      <c r="G41" s="352">
        <v>0</v>
      </c>
      <c r="H41" s="352">
        <f t="shared" si="7"/>
        <v>414</v>
      </c>
      <c r="I41" s="307">
        <v>433</v>
      </c>
      <c r="J41" s="428">
        <f t="shared" si="0"/>
        <v>104.58937198067633</v>
      </c>
      <c r="K41" s="352">
        <v>5588</v>
      </c>
      <c r="L41" s="352">
        <f t="shared" si="1"/>
        <v>6002</v>
      </c>
      <c r="M41" s="328">
        <v>1395</v>
      </c>
      <c r="N41" s="634">
        <f t="shared" si="2"/>
        <v>23.24225258247251</v>
      </c>
      <c r="O41" s="307">
        <v>1405</v>
      </c>
      <c r="P41" s="307">
        <f t="shared" si="3"/>
        <v>7407</v>
      </c>
      <c r="Q41" s="328">
        <v>1857</v>
      </c>
      <c r="R41" s="328">
        <f t="shared" si="4"/>
        <v>25.070878898339409</v>
      </c>
      <c r="S41" s="307">
        <v>0</v>
      </c>
      <c r="T41" s="307">
        <f t="shared" si="5"/>
        <v>7407</v>
      </c>
    </row>
    <row r="42" spans="1:20">
      <c r="B42" s="351" t="s">
        <v>133</v>
      </c>
      <c r="C42" s="370" t="s">
        <v>424</v>
      </c>
      <c r="F42" s="352">
        <f>SUM('címrendes kiadás'!M149)</f>
        <v>158</v>
      </c>
      <c r="G42" s="352">
        <v>0</v>
      </c>
      <c r="H42" s="352">
        <f t="shared" si="7"/>
        <v>158</v>
      </c>
      <c r="I42" s="307">
        <v>8667</v>
      </c>
      <c r="J42" s="428">
        <f t="shared" si="0"/>
        <v>5485.4430379746836</v>
      </c>
      <c r="K42" s="352">
        <v>15766</v>
      </c>
      <c r="L42" s="352">
        <f t="shared" si="1"/>
        <v>15924</v>
      </c>
      <c r="M42" s="328">
        <v>6024</v>
      </c>
      <c r="N42" s="634">
        <f t="shared" si="2"/>
        <v>37.829691032403915</v>
      </c>
      <c r="O42" s="307">
        <v>260</v>
      </c>
      <c r="P42" s="307">
        <f t="shared" si="3"/>
        <v>16184</v>
      </c>
      <c r="Q42" s="328">
        <v>9543</v>
      </c>
      <c r="R42" s="328">
        <f t="shared" si="4"/>
        <v>58.965645081562037</v>
      </c>
      <c r="S42" s="307">
        <v>1854</v>
      </c>
      <c r="T42" s="307">
        <f t="shared" si="5"/>
        <v>18038</v>
      </c>
    </row>
    <row r="43" spans="1:20">
      <c r="B43" s="351" t="s">
        <v>137</v>
      </c>
      <c r="C43" s="370" t="s">
        <v>425</v>
      </c>
      <c r="F43" s="352">
        <f>SUM('címrendes kiadás'!M150)</f>
        <v>0</v>
      </c>
      <c r="G43" s="352">
        <v>24</v>
      </c>
      <c r="H43" s="352">
        <f t="shared" si="7"/>
        <v>24</v>
      </c>
      <c r="I43" s="307">
        <v>24</v>
      </c>
      <c r="J43" s="428">
        <f t="shared" si="0"/>
        <v>100</v>
      </c>
      <c r="K43" s="352">
        <v>2246</v>
      </c>
      <c r="L43" s="352">
        <f t="shared" si="1"/>
        <v>2270</v>
      </c>
      <c r="M43" s="328">
        <v>21</v>
      </c>
      <c r="N43" s="634">
        <f t="shared" si="2"/>
        <v>0.92511013215859028</v>
      </c>
      <c r="O43" s="307">
        <v>293</v>
      </c>
      <c r="P43" s="307">
        <f t="shared" si="3"/>
        <v>2563</v>
      </c>
      <c r="Q43" s="328">
        <v>559</v>
      </c>
      <c r="R43" s="328">
        <f t="shared" si="4"/>
        <v>21.810378462738978</v>
      </c>
      <c r="S43" s="307">
        <v>5473</v>
      </c>
      <c r="T43" s="307">
        <f t="shared" si="5"/>
        <v>8036</v>
      </c>
    </row>
    <row r="44" spans="1:20">
      <c r="B44" s="351" t="s">
        <v>239</v>
      </c>
      <c r="C44" s="370" t="s">
        <v>240</v>
      </c>
      <c r="F44" s="352">
        <f>SUM('címrendes kiadás'!M151)</f>
        <v>0</v>
      </c>
      <c r="G44" s="352">
        <v>0</v>
      </c>
      <c r="H44" s="352">
        <f t="shared" si="7"/>
        <v>0</v>
      </c>
      <c r="I44" s="307">
        <v>0</v>
      </c>
      <c r="J44" s="428">
        <v>0</v>
      </c>
      <c r="K44" s="352">
        <v>45000</v>
      </c>
      <c r="L44" s="352">
        <f t="shared" si="1"/>
        <v>45000</v>
      </c>
      <c r="M44" s="328">
        <v>0</v>
      </c>
      <c r="N44" s="634">
        <f t="shared" si="2"/>
        <v>0</v>
      </c>
      <c r="O44" s="307">
        <v>104</v>
      </c>
      <c r="P44" s="307">
        <f t="shared" si="3"/>
        <v>45104</v>
      </c>
      <c r="Q44" s="328">
        <v>0</v>
      </c>
      <c r="R44" s="328">
        <f t="shared" si="4"/>
        <v>0</v>
      </c>
      <c r="S44" s="307">
        <v>0</v>
      </c>
      <c r="T44" s="307">
        <f t="shared" si="5"/>
        <v>45104</v>
      </c>
    </row>
    <row r="45" spans="1:20">
      <c r="B45" s="338" t="s">
        <v>241</v>
      </c>
      <c r="C45" s="370" t="s">
        <v>242</v>
      </c>
      <c r="F45" s="352">
        <f>SUM('címrendes kiadás'!M152)</f>
        <v>45670</v>
      </c>
      <c r="G45" s="384">
        <v>368</v>
      </c>
      <c r="H45" s="384">
        <f t="shared" si="7"/>
        <v>46038</v>
      </c>
      <c r="I45" s="329">
        <v>0</v>
      </c>
      <c r="J45" s="443">
        <f t="shared" si="0"/>
        <v>0</v>
      </c>
      <c r="K45" s="352">
        <v>1022429</v>
      </c>
      <c r="L45" s="352">
        <f t="shared" si="1"/>
        <v>1068467</v>
      </c>
      <c r="M45" s="329">
        <v>0</v>
      </c>
      <c r="N45" s="634">
        <f t="shared" si="2"/>
        <v>0</v>
      </c>
      <c r="O45" s="307">
        <v>78870</v>
      </c>
      <c r="P45" s="307">
        <f t="shared" si="3"/>
        <v>1147337</v>
      </c>
      <c r="Q45" s="328">
        <v>0</v>
      </c>
      <c r="R45" s="328">
        <f t="shared" si="4"/>
        <v>0</v>
      </c>
      <c r="S45" s="307">
        <v>-4992</v>
      </c>
      <c r="T45" s="307">
        <f t="shared" si="5"/>
        <v>1142345</v>
      </c>
    </row>
    <row r="46" spans="1:20" s="156" customFormat="1" ht="15.75">
      <c r="A46" s="353" t="s">
        <v>122</v>
      </c>
      <c r="B46" s="354" t="s">
        <v>426</v>
      </c>
      <c r="C46" s="376"/>
      <c r="D46" s="356"/>
      <c r="E46" s="356"/>
      <c r="F46" s="357">
        <f>SUM(F40:F45)</f>
        <v>48242</v>
      </c>
      <c r="G46" s="357">
        <f>SUM(G40:G45)</f>
        <v>390442</v>
      </c>
      <c r="H46" s="357">
        <f t="shared" si="7"/>
        <v>438684</v>
      </c>
      <c r="I46" s="457">
        <f>SUM(I40:I45)</f>
        <v>241168</v>
      </c>
      <c r="J46" s="331">
        <f t="shared" si="0"/>
        <v>54.975335321096729</v>
      </c>
      <c r="K46" s="357">
        <f>SUM(K40:K45)</f>
        <v>3516452</v>
      </c>
      <c r="L46" s="357">
        <f t="shared" si="1"/>
        <v>3955136</v>
      </c>
      <c r="M46" s="440">
        <f>SUM(M40:M45)</f>
        <v>616258</v>
      </c>
      <c r="N46" s="637">
        <f t="shared" si="2"/>
        <v>15.581208838330717</v>
      </c>
      <c r="O46" s="457">
        <f>SUM(O40:O45)</f>
        <v>194340</v>
      </c>
      <c r="P46" s="331">
        <f t="shared" si="3"/>
        <v>4149476</v>
      </c>
      <c r="Q46" s="457">
        <f>SUM(Q40:Q45)</f>
        <v>1061620</v>
      </c>
      <c r="R46" s="331">
        <f t="shared" si="4"/>
        <v>25.58443523953386</v>
      </c>
      <c r="S46" s="331">
        <f>SUM(S40:S45)</f>
        <v>212305</v>
      </c>
      <c r="T46" s="331">
        <f t="shared" si="5"/>
        <v>4361781</v>
      </c>
    </row>
    <row r="47" spans="1:20" s="156" customFormat="1" ht="15.75">
      <c r="A47" s="353"/>
      <c r="B47" s="354" t="s">
        <v>427</v>
      </c>
      <c r="C47" s="376"/>
      <c r="D47" s="356"/>
      <c r="E47" s="356"/>
      <c r="F47" s="357">
        <f>SUM(F38+F46)</f>
        <v>1194238</v>
      </c>
      <c r="G47" s="357">
        <f>G38+G46</f>
        <v>414513</v>
      </c>
      <c r="H47" s="357">
        <f t="shared" si="7"/>
        <v>1608751</v>
      </c>
      <c r="I47" s="457">
        <f>I38+I46</f>
        <v>653389</v>
      </c>
      <c r="J47" s="331">
        <f t="shared" si="0"/>
        <v>40.614675608593245</v>
      </c>
      <c r="K47" s="357">
        <f>K38+K46</f>
        <v>4231201</v>
      </c>
      <c r="L47" s="357">
        <f t="shared" si="1"/>
        <v>5839952</v>
      </c>
      <c r="M47" s="457">
        <f>M38+M46</f>
        <v>1458625</v>
      </c>
      <c r="N47" s="637">
        <f t="shared" si="2"/>
        <v>24.976660767074797</v>
      </c>
      <c r="O47" s="457">
        <f>O38+O46</f>
        <v>496669</v>
      </c>
      <c r="P47" s="331">
        <f t="shared" si="3"/>
        <v>6336621</v>
      </c>
      <c r="Q47" s="457">
        <f>Q38+Q46</f>
        <v>2630128</v>
      </c>
      <c r="R47" s="331">
        <f t="shared" si="4"/>
        <v>41.506790448726541</v>
      </c>
      <c r="S47" s="331">
        <f>S38+S46</f>
        <v>797092</v>
      </c>
      <c r="T47" s="331">
        <f t="shared" si="5"/>
        <v>7133713</v>
      </c>
    </row>
    <row r="48" spans="1:20">
      <c r="C48" s="377"/>
      <c r="F48" s="352"/>
      <c r="H48" s="352"/>
      <c r="J48" s="428"/>
      <c r="N48" s="634"/>
      <c r="Q48" s="328"/>
      <c r="R48" s="328"/>
    </row>
    <row r="49" spans="1:20" s="156" customFormat="1" ht="15.75">
      <c r="A49" s="369"/>
      <c r="B49" s="362" t="s">
        <v>407</v>
      </c>
      <c r="C49" s="345"/>
      <c r="D49" s="266"/>
      <c r="E49" s="266"/>
      <c r="F49" s="266"/>
      <c r="G49" s="373"/>
      <c r="H49" s="352"/>
      <c r="I49" s="440"/>
      <c r="J49" s="428"/>
      <c r="K49" s="373"/>
      <c r="L49" s="352"/>
      <c r="M49" s="440"/>
      <c r="N49" s="634"/>
      <c r="O49" s="440"/>
      <c r="P49" s="307"/>
      <c r="Q49" s="736"/>
      <c r="R49" s="328"/>
      <c r="S49" s="440"/>
      <c r="T49" s="307"/>
    </row>
    <row r="50" spans="1:20" s="156" customFormat="1" ht="15.75">
      <c r="A50" s="369" t="s">
        <v>205</v>
      </c>
      <c r="B50" s="362" t="s">
        <v>428</v>
      </c>
      <c r="C50" s="345"/>
      <c r="D50" s="266"/>
      <c r="E50" s="266"/>
      <c r="F50" s="266"/>
      <c r="G50" s="373"/>
      <c r="H50" s="352"/>
      <c r="I50" s="440"/>
      <c r="J50" s="428"/>
      <c r="K50" s="373"/>
      <c r="L50" s="352"/>
      <c r="M50" s="440"/>
      <c r="N50" s="634"/>
      <c r="O50" s="440"/>
      <c r="P50" s="307"/>
      <c r="Q50" s="736"/>
      <c r="R50" s="328"/>
      <c r="S50" s="440"/>
      <c r="T50" s="307"/>
    </row>
    <row r="51" spans="1:20">
      <c r="A51" s="378"/>
      <c r="B51" s="351" t="s">
        <v>117</v>
      </c>
      <c r="C51" s="379" t="s">
        <v>207</v>
      </c>
      <c r="D51" s="203"/>
      <c r="E51" s="203"/>
      <c r="F51" s="366">
        <f>SUM('címrendes bevétel'!M141)</f>
        <v>0</v>
      </c>
      <c r="G51" s="352">
        <v>0</v>
      </c>
      <c r="H51" s="352">
        <f>F51+G51</f>
        <v>0</v>
      </c>
      <c r="I51" s="307">
        <v>0</v>
      </c>
      <c r="J51" s="428">
        <v>0</v>
      </c>
      <c r="K51" s="352">
        <v>0</v>
      </c>
      <c r="L51" s="352">
        <f t="shared" si="1"/>
        <v>0</v>
      </c>
      <c r="M51" s="328">
        <v>0</v>
      </c>
      <c r="N51" s="634">
        <v>0</v>
      </c>
      <c r="O51" s="307">
        <v>0</v>
      </c>
      <c r="P51" s="307">
        <v>0</v>
      </c>
      <c r="Q51" s="328">
        <v>0</v>
      </c>
      <c r="R51" s="328">
        <v>0</v>
      </c>
      <c r="S51" s="307">
        <v>0</v>
      </c>
      <c r="T51" s="307">
        <f t="shared" si="5"/>
        <v>0</v>
      </c>
    </row>
    <row r="52" spans="1:20">
      <c r="A52" s="380"/>
      <c r="B52" s="381" t="s">
        <v>122</v>
      </c>
      <c r="C52" s="382" t="s">
        <v>208</v>
      </c>
      <c r="D52" s="383"/>
      <c r="E52" s="383"/>
      <c r="F52" s="384">
        <f>SUM('címrendes bevétel'!M142+'címrendes bevétel'!M143)</f>
        <v>0</v>
      </c>
      <c r="G52" s="384">
        <v>16055</v>
      </c>
      <c r="H52" s="384">
        <f>F52+G52</f>
        <v>16055</v>
      </c>
      <c r="I52" s="329">
        <v>0</v>
      </c>
      <c r="J52" s="443">
        <f t="shared" si="0"/>
        <v>0</v>
      </c>
      <c r="K52" s="352">
        <v>39668</v>
      </c>
      <c r="L52" s="352">
        <f t="shared" si="1"/>
        <v>55723</v>
      </c>
      <c r="M52" s="329">
        <v>0</v>
      </c>
      <c r="N52" s="634">
        <f t="shared" si="2"/>
        <v>0</v>
      </c>
      <c r="O52" s="307">
        <v>98001</v>
      </c>
      <c r="P52" s="307">
        <f t="shared" si="3"/>
        <v>153724</v>
      </c>
      <c r="Q52" s="328">
        <v>0</v>
      </c>
      <c r="R52" s="328">
        <f t="shared" si="4"/>
        <v>0</v>
      </c>
      <c r="S52" s="307">
        <v>0</v>
      </c>
      <c r="T52" s="307">
        <f t="shared" si="5"/>
        <v>153724</v>
      </c>
    </row>
    <row r="53" spans="1:20" s="156" customFormat="1" ht="15.75">
      <c r="A53" s="369"/>
      <c r="B53" s="362" t="s">
        <v>210</v>
      </c>
      <c r="C53" s="345"/>
      <c r="D53" s="266"/>
      <c r="E53" s="266"/>
      <c r="F53" s="385">
        <f>SUM(F51:F52)</f>
        <v>0</v>
      </c>
      <c r="G53" s="357">
        <f>SUM(G51:G52)</f>
        <v>16055</v>
      </c>
      <c r="H53" s="357">
        <f>F53+G53</f>
        <v>16055</v>
      </c>
      <c r="I53" s="457">
        <f>SUM(I51:I52)</f>
        <v>0</v>
      </c>
      <c r="J53" s="331">
        <f t="shared" si="0"/>
        <v>0</v>
      </c>
      <c r="K53" s="357">
        <f>SUM(K51:K52)</f>
        <v>39668</v>
      </c>
      <c r="L53" s="357">
        <f t="shared" si="1"/>
        <v>55723</v>
      </c>
      <c r="M53" s="440">
        <f>SUM(M51:M52)</f>
        <v>0</v>
      </c>
      <c r="N53" s="637">
        <f t="shared" si="2"/>
        <v>0</v>
      </c>
      <c r="O53" s="457">
        <f>SUM(O51:O52)</f>
        <v>98001</v>
      </c>
      <c r="P53" s="331">
        <f t="shared" si="3"/>
        <v>153724</v>
      </c>
      <c r="Q53" s="457">
        <f>SUM(Q51:Q52)</f>
        <v>0</v>
      </c>
      <c r="R53" s="331">
        <f t="shared" si="4"/>
        <v>0</v>
      </c>
      <c r="S53" s="331">
        <f>SUM(S51:S52)</f>
        <v>0</v>
      </c>
      <c r="T53" s="331">
        <f t="shared" si="5"/>
        <v>153724</v>
      </c>
    </row>
    <row r="54" spans="1:20" s="156" customFormat="1" ht="15.75">
      <c r="A54" s="353" t="s">
        <v>211</v>
      </c>
      <c r="B54" s="354" t="s">
        <v>212</v>
      </c>
      <c r="C54" s="355"/>
      <c r="D54" s="356"/>
      <c r="E54" s="356"/>
      <c r="F54" s="357">
        <f>SUM('címrendes bevétel'!M146+'címrendes bevétel'!M151+'címrendes bevétel'!M155+'címrendes bevétel'!M159)</f>
        <v>144430</v>
      </c>
      <c r="G54" s="357">
        <v>28116</v>
      </c>
      <c r="H54" s="357">
        <f>F54+G54</f>
        <v>172546</v>
      </c>
      <c r="I54" s="457">
        <v>0</v>
      </c>
      <c r="J54" s="331">
        <f t="shared" si="0"/>
        <v>0</v>
      </c>
      <c r="K54" s="373">
        <v>1733008</v>
      </c>
      <c r="L54" s="373">
        <f t="shared" si="1"/>
        <v>1905554</v>
      </c>
      <c r="M54" s="457">
        <v>437589</v>
      </c>
      <c r="N54" s="637">
        <f t="shared" si="2"/>
        <v>22.963872973424003</v>
      </c>
      <c r="O54" s="440">
        <v>0</v>
      </c>
      <c r="P54" s="676">
        <f t="shared" si="3"/>
        <v>1905554</v>
      </c>
      <c r="Q54" s="736">
        <v>751099</v>
      </c>
      <c r="R54" s="737">
        <f t="shared" si="4"/>
        <v>39.416306229054648</v>
      </c>
      <c r="S54" s="676">
        <v>0</v>
      </c>
      <c r="T54" s="676">
        <f t="shared" si="5"/>
        <v>1905554</v>
      </c>
    </row>
    <row r="55" spans="1:20" s="156" customFormat="1" ht="15.75">
      <c r="A55" s="353"/>
      <c r="B55" s="354" t="s">
        <v>216</v>
      </c>
      <c r="C55" s="386"/>
      <c r="D55" s="356"/>
      <c r="E55" s="356"/>
      <c r="F55" s="357">
        <f>SUM(F53+F54)</f>
        <v>144430</v>
      </c>
      <c r="G55" s="357">
        <f>G53+G54</f>
        <v>44171</v>
      </c>
      <c r="H55" s="357">
        <f>F55+G55</f>
        <v>188601</v>
      </c>
      <c r="I55" s="457">
        <v>0</v>
      </c>
      <c r="J55" s="331">
        <f t="shared" si="0"/>
        <v>0</v>
      </c>
      <c r="K55" s="357">
        <f>SUM(K53:K54)</f>
        <v>1772676</v>
      </c>
      <c r="L55" s="357">
        <f t="shared" si="1"/>
        <v>1961277</v>
      </c>
      <c r="M55" s="457">
        <f>SUM(M54)</f>
        <v>437589</v>
      </c>
      <c r="N55" s="637">
        <f t="shared" si="2"/>
        <v>22.311432806278766</v>
      </c>
      <c r="O55" s="457">
        <f>O53+O54</f>
        <v>98001</v>
      </c>
      <c r="P55" s="331">
        <f t="shared" si="3"/>
        <v>2059278</v>
      </c>
      <c r="Q55" s="457">
        <f>SUM(Q53:Q54)</f>
        <v>751099</v>
      </c>
      <c r="R55" s="331">
        <f t="shared" si="4"/>
        <v>36.473900075657582</v>
      </c>
      <c r="S55" s="331">
        <f>S53+S54</f>
        <v>0</v>
      </c>
      <c r="T55" s="331">
        <f t="shared" si="5"/>
        <v>2059278</v>
      </c>
    </row>
    <row r="56" spans="1:20">
      <c r="C56" s="377"/>
      <c r="F56" s="352"/>
      <c r="H56" s="352"/>
      <c r="J56" s="428"/>
      <c r="N56" s="634"/>
      <c r="Q56" s="328"/>
      <c r="R56" s="328"/>
    </row>
    <row r="57" spans="1:20" s="156" customFormat="1" ht="15.75">
      <c r="A57" s="369" t="s">
        <v>169</v>
      </c>
      <c r="B57" s="362" t="s">
        <v>429</v>
      </c>
      <c r="C57" s="345"/>
      <c r="D57" s="266"/>
      <c r="E57" s="266"/>
      <c r="F57" s="266"/>
      <c r="G57" s="373"/>
      <c r="H57" s="352"/>
      <c r="I57" s="440"/>
      <c r="J57" s="428"/>
      <c r="K57" s="373"/>
      <c r="L57" s="352"/>
      <c r="M57" s="440"/>
      <c r="N57" s="634"/>
      <c r="O57" s="440"/>
      <c r="P57" s="307"/>
      <c r="Q57" s="736"/>
      <c r="R57" s="328"/>
      <c r="S57" s="440"/>
      <c r="T57" s="307"/>
    </row>
    <row r="58" spans="1:20">
      <c r="A58" s="378"/>
      <c r="B58" s="387" t="s">
        <v>249</v>
      </c>
      <c r="C58" s="203" t="s">
        <v>430</v>
      </c>
      <c r="D58" s="203"/>
      <c r="E58" s="203"/>
      <c r="F58" s="366">
        <f>SUM('címrendes kiadás'!M171)</f>
        <v>69579</v>
      </c>
      <c r="G58" s="352">
        <v>0</v>
      </c>
      <c r="H58" s="352">
        <f>F58+G58</f>
        <v>69579</v>
      </c>
      <c r="I58" s="307">
        <v>26825</v>
      </c>
      <c r="J58" s="428">
        <f t="shared" si="0"/>
        <v>38.553299127610344</v>
      </c>
      <c r="K58" s="352">
        <v>3631</v>
      </c>
      <c r="L58" s="352">
        <f t="shared" si="1"/>
        <v>73210</v>
      </c>
      <c r="M58" s="328">
        <v>104947</v>
      </c>
      <c r="N58" s="634">
        <f t="shared" si="2"/>
        <v>143.35063515913126</v>
      </c>
      <c r="O58" s="307">
        <v>0</v>
      </c>
      <c r="P58" s="307">
        <f t="shared" si="3"/>
        <v>73210</v>
      </c>
      <c r="Q58" s="328">
        <v>104947</v>
      </c>
      <c r="R58" s="328">
        <f t="shared" si="4"/>
        <v>143.35063515913126</v>
      </c>
      <c r="S58" s="307">
        <v>0</v>
      </c>
      <c r="T58" s="307">
        <f t="shared" si="5"/>
        <v>73210</v>
      </c>
    </row>
    <row r="59" spans="1:20">
      <c r="A59" s="380"/>
      <c r="B59" s="388" t="s">
        <v>257</v>
      </c>
      <c r="C59" s="383" t="s">
        <v>254</v>
      </c>
      <c r="D59" s="383"/>
      <c r="E59" s="383"/>
      <c r="F59" s="384">
        <f>SUM('címrendes kiadás'!M175)</f>
        <v>138750</v>
      </c>
      <c r="G59" s="384">
        <v>0</v>
      </c>
      <c r="H59" s="384">
        <f>F59+G59</f>
        <v>138750</v>
      </c>
      <c r="I59" s="329">
        <v>62500</v>
      </c>
      <c r="J59" s="443">
        <f t="shared" si="0"/>
        <v>45.045045045045043</v>
      </c>
      <c r="K59" s="352">
        <v>0</v>
      </c>
      <c r="L59" s="352">
        <f t="shared" si="1"/>
        <v>138750</v>
      </c>
      <c r="M59" s="329">
        <v>92500</v>
      </c>
      <c r="N59" s="634">
        <f t="shared" si="2"/>
        <v>66.666666666666657</v>
      </c>
      <c r="O59" s="307">
        <v>0</v>
      </c>
      <c r="P59" s="307">
        <f t="shared" si="3"/>
        <v>138750</v>
      </c>
      <c r="Q59" s="328">
        <v>155000</v>
      </c>
      <c r="R59" s="328">
        <f t="shared" si="4"/>
        <v>111.7117117117117</v>
      </c>
      <c r="S59" s="307">
        <v>0</v>
      </c>
      <c r="T59" s="307">
        <f t="shared" si="5"/>
        <v>138750</v>
      </c>
    </row>
    <row r="60" spans="1:20" s="156" customFormat="1" ht="15.75">
      <c r="A60" s="358"/>
      <c r="B60" s="359" t="s">
        <v>431</v>
      </c>
      <c r="C60" s="361"/>
      <c r="D60" s="361"/>
      <c r="E60" s="361"/>
      <c r="F60" s="389">
        <f>SUM(F58:F59)</f>
        <v>208329</v>
      </c>
      <c r="G60" s="357">
        <f>SUM(G58:G59)</f>
        <v>0</v>
      </c>
      <c r="H60" s="357">
        <f>F60+G60</f>
        <v>208329</v>
      </c>
      <c r="I60" s="457">
        <f>SUM(I58:I59)</f>
        <v>89325</v>
      </c>
      <c r="J60" s="331">
        <f t="shared" si="0"/>
        <v>42.876891839350257</v>
      </c>
      <c r="K60" s="357">
        <f>SUM(K58:K59)</f>
        <v>3631</v>
      </c>
      <c r="L60" s="357">
        <f t="shared" si="1"/>
        <v>211960</v>
      </c>
      <c r="M60" s="457">
        <f>SUM(M58:M59)</f>
        <v>197447</v>
      </c>
      <c r="N60" s="637">
        <f t="shared" si="2"/>
        <v>93.152953387431594</v>
      </c>
      <c r="O60" s="457">
        <f>SUM(O58:O59)</f>
        <v>0</v>
      </c>
      <c r="P60" s="331">
        <f t="shared" si="3"/>
        <v>211960</v>
      </c>
      <c r="Q60" s="457">
        <f>SUM(Q58:Q59)</f>
        <v>259947</v>
      </c>
      <c r="R60" s="331">
        <f t="shared" si="4"/>
        <v>122.63964899037553</v>
      </c>
      <c r="S60" s="331">
        <f>SUM(S58:S59)</f>
        <v>0</v>
      </c>
      <c r="T60" s="331">
        <f t="shared" si="5"/>
        <v>211960</v>
      </c>
    </row>
    <row r="61" spans="1:20" s="156" customFormat="1" ht="15.75">
      <c r="A61" s="358"/>
      <c r="B61" s="359"/>
      <c r="C61" s="361"/>
      <c r="D61" s="361"/>
      <c r="E61" s="361"/>
      <c r="F61" s="389"/>
      <c r="G61" s="357"/>
      <c r="H61" s="391"/>
      <c r="I61" s="457"/>
      <c r="J61" s="333"/>
      <c r="K61" s="373"/>
      <c r="L61" s="352"/>
      <c r="M61" s="440"/>
      <c r="N61" s="634"/>
      <c r="O61" s="440"/>
      <c r="P61" s="307"/>
      <c r="Q61" s="736"/>
      <c r="R61" s="328"/>
      <c r="S61" s="440"/>
      <c r="T61" s="307"/>
    </row>
    <row r="62" spans="1:20" s="156" customFormat="1" ht="15.75">
      <c r="A62" s="358"/>
      <c r="B62" s="359" t="s">
        <v>217</v>
      </c>
      <c r="C62" s="361"/>
      <c r="D62" s="361"/>
      <c r="E62" s="361"/>
      <c r="F62" s="389">
        <f>SUM(F55+F25)</f>
        <v>1402567</v>
      </c>
      <c r="G62" s="357">
        <f>G25+G55</f>
        <v>414513</v>
      </c>
      <c r="H62" s="357">
        <f>F62+G62</f>
        <v>1817080</v>
      </c>
      <c r="I62" s="457">
        <f>I25+I55</f>
        <v>833229</v>
      </c>
      <c r="J62" s="331">
        <f t="shared" si="0"/>
        <v>45.855383362317568</v>
      </c>
      <c r="K62" s="357">
        <f>K25+K55</f>
        <v>4234832</v>
      </c>
      <c r="L62" s="357">
        <f t="shared" si="1"/>
        <v>6051912</v>
      </c>
      <c r="M62" s="457">
        <f>M25+M55</f>
        <v>2179846</v>
      </c>
      <c r="N62" s="637">
        <f t="shared" si="2"/>
        <v>36.019129161164273</v>
      </c>
      <c r="O62" s="457">
        <f>O25+O55</f>
        <v>496669</v>
      </c>
      <c r="P62" s="331">
        <f t="shared" si="3"/>
        <v>6548581</v>
      </c>
      <c r="Q62" s="457">
        <f>Q25+Q55</f>
        <v>3632372</v>
      </c>
      <c r="R62" s="331">
        <f t="shared" si="4"/>
        <v>55.468077740811324</v>
      </c>
      <c r="S62" s="331">
        <f>S25+S55</f>
        <v>797092</v>
      </c>
      <c r="T62" s="331">
        <f t="shared" si="5"/>
        <v>7345673</v>
      </c>
    </row>
    <row r="63" spans="1:20" s="156" customFormat="1" ht="15.75">
      <c r="A63" s="353"/>
      <c r="B63" s="354" t="s">
        <v>414</v>
      </c>
      <c r="C63" s="356"/>
      <c r="D63" s="356"/>
      <c r="E63" s="356"/>
      <c r="F63" s="357">
        <f>SUM(F60+F47)</f>
        <v>1402567</v>
      </c>
      <c r="G63" s="357">
        <f>G47+G60</f>
        <v>414513</v>
      </c>
      <c r="H63" s="357">
        <f>F63+G63</f>
        <v>1817080</v>
      </c>
      <c r="I63" s="457">
        <f>I47+I60</f>
        <v>742714</v>
      </c>
      <c r="J63" s="331">
        <f t="shared" si="0"/>
        <v>40.874039668038833</v>
      </c>
      <c r="K63" s="357">
        <f>K47+K60</f>
        <v>4234832</v>
      </c>
      <c r="L63" s="357">
        <f t="shared" si="1"/>
        <v>6051912</v>
      </c>
      <c r="M63" s="457">
        <f>M47+M60</f>
        <v>1656072</v>
      </c>
      <c r="N63" s="637">
        <f t="shared" si="2"/>
        <v>27.364442840543617</v>
      </c>
      <c r="O63" s="457">
        <f>O47+O60</f>
        <v>496669</v>
      </c>
      <c r="P63" s="331">
        <f t="shared" si="3"/>
        <v>6548581</v>
      </c>
      <c r="Q63" s="457">
        <f>Q47+Q60</f>
        <v>2890075</v>
      </c>
      <c r="R63" s="331">
        <f t="shared" si="4"/>
        <v>44.132843435852742</v>
      </c>
      <c r="S63" s="331">
        <f>S47+S60</f>
        <v>797092</v>
      </c>
      <c r="T63" s="331">
        <f t="shared" si="5"/>
        <v>7345673</v>
      </c>
    </row>
    <row r="65" spans="1:1">
      <c r="A65" s="859" t="s">
        <v>3</v>
      </c>
    </row>
  </sheetData>
  <mergeCells count="4">
    <mergeCell ref="A7:E7"/>
    <mergeCell ref="D1:T1"/>
    <mergeCell ref="A3:T3"/>
    <mergeCell ref="F6:T6"/>
  </mergeCells>
  <phoneticPr fontId="2" type="noConversion"/>
  <pageMargins left="0.75" right="0.75" top="0.5" bottom="0.5" header="0.5" footer="0.5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16</vt:i4>
      </vt:variant>
    </vt:vector>
  </HeadingPairs>
  <TitlesOfParts>
    <vt:vector size="34" baseType="lpstr">
      <vt:lpstr>címrendes bevétel</vt:lpstr>
      <vt:lpstr>címrendes kiadás</vt:lpstr>
      <vt:lpstr>Önkorm.bevétel</vt:lpstr>
      <vt:lpstr>Hivatal bevétel</vt:lpstr>
      <vt:lpstr>Önkorm.kiadás</vt:lpstr>
      <vt:lpstr>Hivatal kiad.</vt:lpstr>
      <vt:lpstr>hitel 3.sz.</vt:lpstr>
      <vt:lpstr>4.sz.mell. (2)</vt:lpstr>
      <vt:lpstr>5.mell. (2)</vt:lpstr>
      <vt:lpstr>kötelező-nem kötelező</vt:lpstr>
      <vt:lpstr>6.mell.(2)</vt:lpstr>
      <vt:lpstr>7.mell (2)</vt:lpstr>
      <vt:lpstr>9.m.II.f.</vt:lpstr>
      <vt:lpstr>10.mell </vt:lpstr>
      <vt:lpstr>11a melléklet</vt:lpstr>
      <vt:lpstr>11b melléklet</vt:lpstr>
      <vt:lpstr>12. melléklet</vt:lpstr>
      <vt:lpstr>13.mell.</vt:lpstr>
      <vt:lpstr>'11a melléklet'!Nyomtatási_cím</vt:lpstr>
      <vt:lpstr>'címrendes bevétel'!Nyomtatási_cím</vt:lpstr>
      <vt:lpstr>'11a melléklet'!Nyomtatási_terület</vt:lpstr>
      <vt:lpstr>'11b melléklet'!Nyomtatási_terület</vt:lpstr>
      <vt:lpstr>'4.sz.mell. (2)'!Nyomtatási_terület</vt:lpstr>
      <vt:lpstr>'5.mell. (2)'!Nyomtatási_terület</vt:lpstr>
      <vt:lpstr>'6.mell.(2)'!Nyomtatási_terület</vt:lpstr>
      <vt:lpstr>'7.mell (2)'!Nyomtatási_terület</vt:lpstr>
      <vt:lpstr>'címrendes bevétel'!Nyomtatási_terület</vt:lpstr>
      <vt:lpstr>'címrendes kiadás'!Nyomtatási_terület</vt:lpstr>
      <vt:lpstr>'hitel 3.sz.'!Nyomtatási_terület</vt:lpstr>
      <vt:lpstr>'Hivatal bevétel'!Nyomtatási_terület</vt:lpstr>
      <vt:lpstr>'Hivatal kiad.'!Nyomtatási_terület</vt:lpstr>
      <vt:lpstr>'kötelező-nem kötelező'!Nyomtatási_terület</vt:lpstr>
      <vt:lpstr>Önkorm.bevétel!Nyomtatási_terület</vt:lpstr>
      <vt:lpstr>Önkorm.kiadás!Nyomtatási_terület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Szarvas Város Önkormányzata</dc:creator>
  <cp:lastModifiedBy>user</cp:lastModifiedBy>
  <cp:revision>3</cp:revision>
  <cp:lastPrinted>2013-12-19T10:05:03Z</cp:lastPrinted>
  <dcterms:created xsi:type="dcterms:W3CDTF">2009-11-09T12:52:48Z</dcterms:created>
  <dcterms:modified xsi:type="dcterms:W3CDTF">2013-12-28T09:22:10Z</dcterms:modified>
</cp:coreProperties>
</file>