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8820" tabRatio="903" firstSheet="2" activeTab="5"/>
  </bookViews>
  <sheets>
    <sheet name="Címrend" sheetId="1" r:id="rId1"/>
    <sheet name="1. melléklet" sheetId="2" r:id="rId2"/>
    <sheet name="2. melléklet" sheetId="3" r:id="rId3"/>
    <sheet name="3. melléklet  " sheetId="4" r:id="rId4"/>
    <sheet name="4. melléklet" sheetId="5" r:id="rId5"/>
    <sheet name="5. melléklet " sheetId="6" r:id="rId6"/>
  </sheet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'!$A$1:$BW$54</definedName>
  </definedNames>
  <calcPr fullCalcOnLoad="1"/>
</workbook>
</file>

<file path=xl/sharedStrings.xml><?xml version="1.0" encoding="utf-8"?>
<sst xmlns="http://schemas.openxmlformats.org/spreadsheetml/2006/main" count="595" uniqueCount="327">
  <si>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</si>
  <si>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</si>
  <si>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</si>
  <si>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</si>
  <si>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</si>
  <si>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</si>
  <si>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</si>
  <si>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</si>
  <si>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</si>
  <si>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</si>
  <si>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</si>
  <si>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</si>
  <si>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</si>
  <si>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</si>
  <si>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</si>
  <si>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</si>
  <si>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</si>
  <si>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</si>
  <si>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</si>
  <si>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</si>
  <si>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</si>
  <si>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</si>
  <si>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</si>
  <si>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</si>
  <si>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</si>
  <si>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</si>
  <si>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</si>
  <si>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</si>
  <si>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</si>
  <si>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</si>
  <si>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</si>
  <si>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</si>
  <si>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</si>
  <si>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</si>
  <si>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</si>
  <si>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</si>
  <si>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</si>
  <si>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</si>
  <si>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</si>
  <si>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</si>
  <si>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</si>
  <si>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</si>
  <si>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</si>
  <si>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</si>
  <si>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</si>
  <si>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</si>
  <si>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</si>
  <si>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</si>
  <si>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</si>
  <si>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</si>
  <si>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</si>
  <si>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</si>
  <si>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</si>
  <si>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</si>
  <si>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</si>
  <si>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</si>
  <si>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</si>
  <si>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</si>
  <si>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</si>
  <si>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</si>
  <si>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</si>
  <si>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</si>
  <si>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</si>
  <si>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</si>
  <si>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</si>
  <si>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</si>
  <si>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</si>
  <si>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</si>
  <si>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</si>
  <si>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</si>
  <si>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</si>
  <si>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</si>
  <si>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</si>
  <si>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</si>
  <si>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</si>
  <si>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</si>
  <si>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</si>
  <si>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</si>
  <si>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</si>
  <si>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</si>
  <si>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</si>
  <si>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</si>
  <si>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</si>
  <si>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</si>
  <si>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</si>
  <si>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</si>
  <si>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</si>
  <si>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</si>
  <si>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</si>
  <si>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</si>
  <si>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</si>
  <si>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</si>
  <si>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</si>
  <si>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</si>
  <si>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</si>
  <si>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</si>
  <si>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</si>
  <si>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</si>
  <si>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</si>
  <si>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</si>
  <si>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</si>
  <si>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</si>
  <si>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</si>
  <si>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</si>
  <si>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</si>
  <si>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</si>
  <si>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</si>
  <si>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</si>
  <si>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</si>
  <si>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</si>
  <si>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</si>
  <si>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</si>
  <si>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</si>
  <si>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</si>
  <si>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</si>
  <si>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</si>
  <si>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</si>
  <si>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</si>
  <si>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</si>
  <si>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</si>
  <si>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</si>
  <si>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</si>
  <si>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</si>
  <si>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</si>
  <si>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</si>
  <si>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</si>
  <si>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</si>
  <si>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</si>
  <si>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</si>
  <si>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</si>
  <si>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</si>
  <si>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</si>
  <si>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</si>
  <si>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</si>
  <si>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</si>
  <si>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</si>
  <si>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</si>
  <si>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</si>
  <si>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</si>
  <si>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</si>
  <si>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</si>
  <si>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</si>
  <si>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</si>
  <si>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</si>
  <si>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</si>
  <si>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</si>
  <si>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</si>
  <si>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</si>
  <si>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</si>
  <si>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</si>
  <si>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</si>
  <si>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</si>
  <si>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</si>
  <si>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</si>
  <si>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</si>
  <si>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</si>
  <si>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</si>
  <si>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</si>
  <si>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</si>
  <si>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</si>
  <si>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</si>
  <si>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</si>
  <si>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</si>
  <si>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</si>
  <si>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</si>
  <si>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</si>
  <si>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</si>
  <si>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</si>
  <si>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2018. évben</t>
  </si>
  <si>
    <t>2018. évi eredeti előirányzat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</si>
  <si>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</si>
  <si>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</si>
  <si>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</si>
  <si>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</si>
  <si>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</si>
  <si>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</si>
  <si>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>Kőszeg Város Önkormányzata és intézményei bevételei és kiadásai 2018. évben</t>
  </si>
  <si>
    <t xml:space="preserve">          2018. évi felhalmozási célú bevételek </t>
  </si>
  <si>
    <t xml:space="preserve">          ( Ft)</t>
  </si>
  <si>
    <t>2018. évi felhalmozási  kiadások ( Ft)</t>
  </si>
  <si>
    <t>ÖBB vasútpálya megvásárlásával együtt (26000EUR)</t>
  </si>
  <si>
    <t>Kőszegfalvi Sportegyesület fejlesztéseihez hozzájárulás</t>
  </si>
  <si>
    <t>Várkör 53. pincebeázás megoldása</t>
  </si>
  <si>
    <t>Mély utca folyóka építés</t>
  </si>
  <si>
    <t>Balog Iskola parkoló építése, csapadékvíz evezetése</t>
  </si>
  <si>
    <t>Buszpályaudvar nyilvános WC felújítása</t>
  </si>
  <si>
    <t>Zártkerti mintaprogram pályázat sajá erő</t>
  </si>
  <si>
    <t>Egészségház klímaberendezés várótermekben</t>
  </si>
  <si>
    <t>Várkör-Rajnis-Pék utca gyalogos átkelő kiépítése közvilágítással</t>
  </si>
  <si>
    <t>Vagyonhasznosító bevétele (Napelempark )</t>
  </si>
  <si>
    <t>Vagyonhasznosító bevétele (Rákóczi utca 1. üzlethelyiség eladása )</t>
  </si>
  <si>
    <t xml:space="preserve">9 fős Mikrobusz végszámla </t>
  </si>
  <si>
    <t>Posztó utcai parkoló kialakítása (pályázati pénzből)</t>
  </si>
  <si>
    <t>Károlyi M. utca Bercsényi utcáig tartó szakaszán járda és csapadékvíz + műszaki ellenőr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</si>
  <si>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</si>
  <si>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</si>
  <si>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</si>
  <si>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</si>
  <si>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</si>
  <si>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</si>
  <si>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</si>
  <si>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</si>
  <si>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Alpannónia pályázat keretén belül-  Tanulmányút az alpannónia túraúton</t>
  </si>
  <si>
    <t>Alpannónia pályázat keretén belül-   Térségi nagyrendezvényeken történá részvétel</t>
  </si>
  <si>
    <t>Csapadékvíz elvezető rendszer Kraft forrás megelőlegezés (Tamás árok hordalékfogó)</t>
  </si>
  <si>
    <t>Kőszegi Szociális Gondozási Központ Hajléktalan szálló vizesblokk műszaki felmérés alapján adott árajánlat</t>
  </si>
  <si>
    <t xml:space="preserve">"Sgraffitós ház felújítása" </t>
  </si>
  <si>
    <t>Károlyi garázssor útfelújítás + műszaki ellenőr</t>
  </si>
  <si>
    <t>Szippantó felépítmény</t>
  </si>
  <si>
    <t>Bionemezgyárnál zsilip megközelítésére szolgáló terület kitisztítása</t>
  </si>
  <si>
    <t>1818/2016. (XII.22.) Korm. hat. kapott támogatás (Tűzoltóság)</t>
  </si>
  <si>
    <t>1717/2017. (X.3.) Korm. hat. kapott támogatás (Posztó utcai parkoló)</t>
  </si>
  <si>
    <t>1115/2017. (III. 7.) Korm. hat. kapott támogatás maradványa (Sgraffitós ház)</t>
  </si>
  <si>
    <t>Jurisics-vár Művelődési Központ és Várszínház fényképező gép Kőszeg és Vidéke Újsághoz</t>
  </si>
  <si>
    <t>Lakástámogatás visszatérítés</t>
  </si>
  <si>
    <t xml:space="preserve">Vagyonhasznosító bevétele </t>
  </si>
  <si>
    <t>Liszt Ferenc utca felújítás (Kőszegi tűzoltóság megközelíthetősége önerőből)</t>
  </si>
  <si>
    <t>Szent György utca és Postásrét  utca szennyvízcsatorna kiépítése</t>
  </si>
  <si>
    <t>Hulladékgazdálkodási társulási beruházásokhoz átadás (2017.évi hátralék)</t>
  </si>
  <si>
    <t>VASIVÍZ Zrt. Kompenzációs számlák</t>
  </si>
  <si>
    <t>TOP előkészítő keret 2017. évi maradványa</t>
  </si>
  <si>
    <t>TOP előkészítő keret terhére2017-ben szerződőtt</t>
  </si>
  <si>
    <t xml:space="preserve">VELOREGIO projekt forrás megelőlegezés </t>
  </si>
  <si>
    <t xml:space="preserve">TOP projektek 2018.évi előkészítési költségei 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</si>
  <si>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</si>
  <si>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</si>
  <si>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</si>
  <si>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</si>
  <si>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</si>
  <si>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</si>
  <si>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</si>
  <si>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</si>
  <si>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projekthez</t>
  </si>
  <si>
    <t>Jurisics Vár TOP projekt keretében beszerzendő eszközök</t>
  </si>
  <si>
    <t>Egészségház melleti fejlesztési terület közművesítés és útépítés</t>
  </si>
  <si>
    <t>Szent Imre herceg utcában a temető falának megerősítése</t>
  </si>
  <si>
    <t>Kiskakas vendéglőnél parkoló bővítése</t>
  </si>
  <si>
    <t>I.) Települési önkrományzatok működésének támogatása</t>
  </si>
  <si>
    <t xml:space="preserve">Kőszegi futball Club telephely korszerűsítése pályázat önerő hozzájárulása 168/2017.(IX.28.) Képviselő-testületi határozat alapján </t>
  </si>
  <si>
    <t>Központi Orvosi Ügyelet ügyeleti autó cseréje</t>
  </si>
  <si>
    <t xml:space="preserve">Jurisics Vár- Kőszegfalvi klub asztallapok cseréje </t>
  </si>
  <si>
    <t>Újvárosi Óvoda Kőszegfalvi tagóvodája - konyhai ablak cseréje</t>
  </si>
  <si>
    <t>felhalmozási pénzmaradvány</t>
  </si>
  <si>
    <t>Vagyonhasznosító bevétele (Ciao Amigo eladása)</t>
  </si>
  <si>
    <t>Központi Óvoda és Újvárosi Óvoda Kraft forrás megelőlegezés</t>
  </si>
  <si>
    <t>Kőszegi Városi Múzeum - radiátor csere a Rákóczi utca 3-ban</t>
  </si>
  <si>
    <t>Eredeti előirányzat</t>
  </si>
  <si>
    <t>1135/2018. (III.22.) Korm. hat. kapott támogatás (Tűzoltóság)</t>
  </si>
  <si>
    <t>Chernel 12. tetőjavítás, homlokzat; Rákóczi 3. tetőjavítás; Cáki út javítás</t>
  </si>
  <si>
    <t>rendezvény áramellátás</t>
  </si>
  <si>
    <t>Kiss János lakótelep belső tömb parkoló építés I. ütem /19 db/</t>
  </si>
  <si>
    <t>Chernel 12. csapadékvíz elvezetés</t>
  </si>
  <si>
    <t>Missziós ház kerítés áthelyezés</t>
  </si>
  <si>
    <t>Vízmű utcai ivóvízhálózat kiépítése + műszaki ellenőr</t>
  </si>
  <si>
    <t>Hirdetőtáblák cseréje</t>
  </si>
  <si>
    <t>vágóhíd bontása</t>
  </si>
  <si>
    <t>utcanévtáblák kihelyezése</t>
  </si>
  <si>
    <t>Malom utca útfelújítás</t>
  </si>
  <si>
    <t>falépcső felújítás: Szulejmán, Csónakázó tó</t>
  </si>
  <si>
    <t>Kárpáti Sándor utca 54 m hosszú szakaszának járhatóvá tétele</t>
  </si>
  <si>
    <t>Űrhajósok útja Bercsényi - Rómer Flóris közti szakaszának felújítása</t>
  </si>
  <si>
    <t>Szent Imre herceg utca, Gesztenyefa utca új aszfaltburkolat</t>
  </si>
  <si>
    <t>Változás összege</t>
  </si>
  <si>
    <t xml:space="preserve"> 1. melléklet a .../2018. (VIII.        .) önkormányzati rendelethez</t>
  </si>
  <si>
    <t xml:space="preserve"> "1. melléklet a 2/2018. (II.16.) önkormányzati rendelethez</t>
  </si>
  <si>
    <t>2018. I. félévi módosított előirányzat</t>
  </si>
  <si>
    <t>Változás</t>
  </si>
  <si>
    <t xml:space="preserve">Változás összege </t>
  </si>
  <si>
    <t xml:space="preserve"> "2. melléklet a 2/2018. (II.16.) önkormányzati rendelethez</t>
  </si>
  <si>
    <t>"</t>
  </si>
  <si>
    <t>Támogatás összege 2018. 06. 30.             ( Ft)</t>
  </si>
  <si>
    <t>Változás  összege ( Ft)</t>
  </si>
  <si>
    <t>"5. melléklet a  2/2018. (II.16.) önkormányzati rendelethez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</si>
  <si>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</si>
  <si>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</si>
  <si>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</si>
  <si>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</si>
  <si>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</si>
  <si>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Óvoda-Bozsoki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</si>
  <si>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</si>
  <si>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</si>
  <si>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</si>
  <si>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</si>
  <si>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</si>
  <si>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</si>
  <si>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5.  Nemzetiségi óvodapedagógusok kiegészítő támogatása</t>
  </si>
  <si>
    <t>1. Szociális ágazati pótlék</t>
  </si>
  <si>
    <t>Kulturális pótlék</t>
  </si>
  <si>
    <t xml:space="preserve"> "3. melléklet az 2/2018. (II.16) önkormányzati rendelethez</t>
  </si>
  <si>
    <t>módosított ei. 2018.06.30.</t>
  </si>
  <si>
    <t>5. 2017.évi bérkompenzáció támogatása</t>
  </si>
  <si>
    <t>I.) Működési célú  támogatások</t>
  </si>
  <si>
    <t xml:space="preserve">I.) Felhalmozási célú támogatások </t>
  </si>
  <si>
    <t xml:space="preserve">A helyi önkormányzatok kiegészítő támogatásai  (2017. évi C. törvény 3. melléklete szerint)  </t>
  </si>
  <si>
    <t>Működési célú  önkormányzati támogatások összesen (2017. évi C. törvény 2. és 3. melléklete szerint):</t>
  </si>
  <si>
    <t>2018. évi bérkompenzáció</t>
  </si>
  <si>
    <t xml:space="preserve">           ASP működési támogatása</t>
  </si>
  <si>
    <t>VIS MAIOR Támogatás</t>
  </si>
  <si>
    <t>Felhalmozási célú  önkormányzati támogatások összesen (2017. évi C. törvény 2. és 3. melléklete szerint):</t>
  </si>
  <si>
    <t>1135/2018. (III.26.) Korm. hat. kapott támogatása (tűzoltóság áthelyezésére II.ütem)</t>
  </si>
  <si>
    <t xml:space="preserve">                - ebből felhalmozási célú EU támogatás </t>
  </si>
  <si>
    <t>VIS MAIOR támogatás</t>
  </si>
  <si>
    <t>Kőszeg városkörnyéki közösségi közlekedés fejlesztése támogatás</t>
  </si>
  <si>
    <t>"4. melléklet a 2/2018. (II.16.) önkormányzati rendelethez</t>
  </si>
  <si>
    <t>Módosított előirányzat 2018.06.30.</t>
  </si>
  <si>
    <t xml:space="preserve">Kőszegi tűzoltóság áthelyezése II.ütem </t>
  </si>
  <si>
    <t>Meskó utca Bakcsy-Zs. E. utcáig tartó szakaszának felújítása</t>
  </si>
  <si>
    <t>Könyvtár érdekeltségnövelő támogtásra elszámolható eszközbeszerzése</t>
  </si>
  <si>
    <t>VÁR 2017.évi pénzmaradványból</t>
  </si>
  <si>
    <t xml:space="preserve">Múzeum 2017.évi pénzmaradványból </t>
  </si>
  <si>
    <t>Múzeum 2017.évi pénzmaradványból</t>
  </si>
  <si>
    <t xml:space="preserve">Központi Óvoda 2017.évi pénzmaradványból </t>
  </si>
  <si>
    <t xml:space="preserve">Horvátzsidányi tagóvoda 2017.évi pénzmaradványból </t>
  </si>
  <si>
    <t xml:space="preserve">Fejlesztési tartalék alapannónia </t>
  </si>
  <si>
    <t>Kőszeg Városkörnényi közlekedés támogatásából</t>
  </si>
  <si>
    <t>Közvilágítás felújítás</t>
  </si>
  <si>
    <t>VIS MAIOR helyreállítás (2017-ről önerő bíztosításával)</t>
  </si>
  <si>
    <t xml:space="preserve">Hősök tornya </t>
  </si>
  <si>
    <t>,</t>
  </si>
  <si>
    <t>1. i) Települési önkormányzatok könyvtári érdekeltségnövelő támogatása</t>
  </si>
  <si>
    <t>VÁR EFOP támogatás terhére</t>
  </si>
  <si>
    <t>Hivatal karbantartásról átcsoportosítás</t>
  </si>
  <si>
    <t>"Sgraffitós ház felújítása" fordíttt ÁFA átvezetése dologi kiadásokra</t>
  </si>
  <si>
    <t>5. melléklet a 13/2018. (VIII.  31.) önkormányzati rendelethez</t>
  </si>
  <si>
    <t xml:space="preserve"> 2. melléklet a 13/2018. (VIII. 31.) önkormányzati rendelethez</t>
  </si>
  <si>
    <t>3. melléklet a 13/2018. (VIII. 31.) önkormányzati rendelethez</t>
  </si>
  <si>
    <t>4. melléklet a 13/2018. (VIII. 31.)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</si>
</sst>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14" fillId="0" borderId="0" xfId="0" applyNumberFormat="1" applyFont="1" applyFill="1" applyAlignment="1">
      <alignment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101" applyFont="1" applyFill="1" applyAlignment="1">
      <alignment horizontal="left" vertical="top"/>
      <protection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6" fillId="0" borderId="0" xfId="99" applyNumberFormat="1" applyFont="1" applyFill="1" applyAlignment="1">
      <alignment horizontal="center" wrapText="1"/>
      <protection/>
    </xf>
    <xf numFmtId="0" fontId="11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2" fillId="0" borderId="0" xfId="99" applyFont="1" applyFill="1" applyBorder="1" applyAlignment="1">
      <alignment wrapText="1"/>
      <protection/>
    </xf>
    <xf numFmtId="0" fontId="12" fillId="0" borderId="0" xfId="99" applyFont="1" applyFill="1">
      <alignment/>
      <protection/>
    </xf>
    <xf numFmtId="0" fontId="34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2" fillId="23" borderId="0" xfId="99" applyFont="1" applyFill="1" applyBorder="1">
      <alignment/>
      <protection/>
    </xf>
    <xf numFmtId="3" fontId="12" fillId="23" borderId="0" xfId="99" applyNumberFormat="1" applyFont="1" applyFill="1">
      <alignment/>
      <protection/>
    </xf>
    <xf numFmtId="0" fontId="11" fillId="4" borderId="0" xfId="99" applyFont="1" applyFill="1">
      <alignment/>
      <protection/>
    </xf>
    <xf numFmtId="3" fontId="11" fillId="4" borderId="0" xfId="99" applyNumberFormat="1" applyFont="1" applyFill="1">
      <alignment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horizontal="right" vertical="top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3" fontId="35" fillId="0" borderId="35" xfId="0" applyNumberFormat="1" applyFont="1" applyFill="1" applyBorder="1" applyAlignment="1">
      <alignment/>
    </xf>
    <xf numFmtId="3" fontId="35" fillId="0" borderId="33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35" fillId="0" borderId="36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3" fontId="14" fillId="0" borderId="38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4" fillId="9" borderId="0" xfId="101" applyFont="1" applyFill="1" applyAlignment="1">
      <alignment horizontal="left" vertical="top"/>
      <protection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0" fontId="4" fillId="9" borderId="0" xfId="101" applyFont="1" applyFill="1" applyBorder="1" applyAlignment="1">
      <alignment vertical="top"/>
      <protection/>
    </xf>
    <xf numFmtId="3" fontId="4" fillId="9" borderId="0" xfId="101" applyNumberFormat="1" applyFont="1" applyFill="1" applyBorder="1" applyAlignment="1">
      <alignment horizontal="right" vertical="top"/>
      <protection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15" fillId="0" borderId="0" xfId="0" applyFont="1" applyAlignment="1">
      <alignment/>
    </xf>
    <xf numFmtId="0" fontId="38" fillId="0" borderId="23" xfId="0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23" xfId="0" applyFont="1" applyFill="1" applyBorder="1" applyAlignment="1">
      <alignment horizontal="left" wrapText="1" indent="2"/>
    </xf>
    <xf numFmtId="0" fontId="38" fillId="0" borderId="23" xfId="0" applyFont="1" applyFill="1" applyBorder="1" applyAlignment="1">
      <alignment horizontal="left" indent="2"/>
    </xf>
    <xf numFmtId="4" fontId="15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0" fontId="4" fillId="24" borderId="0" xfId="101" applyFont="1" applyFill="1" applyAlignment="1">
      <alignment horizontal="left" vertical="top"/>
      <protection/>
    </xf>
    <xf numFmtId="0" fontId="4" fillId="24" borderId="0" xfId="101" applyFont="1" applyFill="1" applyBorder="1" applyAlignment="1">
      <alignment vertical="top" wrapText="1"/>
      <protection/>
    </xf>
    <xf numFmtId="3" fontId="4" fillId="24" borderId="0" xfId="101" applyNumberFormat="1" applyFont="1" applyFill="1" applyBorder="1" applyAlignment="1">
      <alignment horizontal="right" vertical="top"/>
      <protection/>
    </xf>
    <xf numFmtId="0" fontId="4" fillId="9" borderId="0" xfId="0" applyFont="1" applyFill="1" applyAlignment="1">
      <alignment horizontal="left" vertical="top"/>
    </xf>
    <xf numFmtId="0" fontId="42" fillId="25" borderId="0" xfId="0" applyFont="1" applyFill="1" applyAlignment="1">
      <alignment vertical="top"/>
    </xf>
    <xf numFmtId="3" fontId="4" fillId="25" borderId="0" xfId="0" applyNumberFormat="1" applyFont="1" applyFill="1" applyAlignment="1">
      <alignment vertical="top"/>
    </xf>
    <xf numFmtId="0" fontId="4" fillId="24" borderId="0" xfId="0" applyFont="1" applyFill="1" applyAlignment="1">
      <alignment vertical="top"/>
    </xf>
    <xf numFmtId="3" fontId="4" fillId="24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9" borderId="0" xfId="0" applyFont="1" applyFill="1" applyBorder="1" applyAlignment="1">
      <alignment vertical="top" wrapText="1"/>
    </xf>
    <xf numFmtId="0" fontId="4" fillId="24" borderId="0" xfId="101" applyFont="1" applyFill="1" applyBorder="1" applyAlignment="1">
      <alignment horizontal="center" vertical="top"/>
      <protection/>
    </xf>
    <xf numFmtId="0" fontId="4" fillId="26" borderId="0" xfId="101" applyFont="1" applyFill="1" applyAlignment="1">
      <alignment horizontal="left" vertical="top"/>
      <protection/>
    </xf>
    <xf numFmtId="0" fontId="34" fillId="26" borderId="0" xfId="0" applyFont="1" applyFill="1" applyAlignment="1">
      <alignment/>
    </xf>
    <xf numFmtId="3" fontId="4" fillId="26" borderId="0" xfId="0" applyNumberFormat="1" applyFont="1" applyFill="1" applyAlignment="1">
      <alignment vertical="top"/>
    </xf>
    <xf numFmtId="3" fontId="4" fillId="26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0" fontId="15" fillId="0" borderId="27" xfId="0" applyFont="1" applyFill="1" applyBorder="1" applyAlignment="1">
      <alignment horizontal="center" wrapText="1"/>
    </xf>
    <xf numFmtId="0" fontId="5" fillId="0" borderId="0" xfId="99" applyFont="1" applyFill="1" applyAlignment="1">
      <alignment horizontal="center"/>
      <protection/>
    </xf>
    <xf numFmtId="3" fontId="16" fillId="0" borderId="0" xfId="99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103" applyFont="1" applyFill="1" applyBorder="1" applyAlignment="1">
      <alignment horizontal="left"/>
      <protection/>
    </xf>
    <xf numFmtId="0" fontId="8" fillId="26" borderId="0" xfId="0" applyFont="1" applyFill="1" applyAlignment="1">
      <alignment/>
    </xf>
    <xf numFmtId="0" fontId="14" fillId="26" borderId="0" xfId="0" applyFont="1" applyFill="1" applyBorder="1" applyAlignment="1">
      <alignment horizontal="center" wrapText="1"/>
    </xf>
    <xf numFmtId="0" fontId="14" fillId="26" borderId="0" xfId="0" applyFont="1" applyFill="1" applyAlignment="1">
      <alignment wrapText="1"/>
    </xf>
    <xf numFmtId="0" fontId="14" fillId="0" borderId="36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4" fillId="0" borderId="36" xfId="0" applyFont="1" applyFill="1" applyBorder="1" applyAlignment="1">
      <alignment horizontal="left" wrapText="1"/>
    </xf>
    <xf numFmtId="0" fontId="14" fillId="26" borderId="30" xfId="0" applyFont="1" applyFill="1" applyBorder="1" applyAlignment="1">
      <alignment horizontal="center" wrapText="1"/>
    </xf>
    <xf numFmtId="0" fontId="14" fillId="26" borderId="12" xfId="0" applyFont="1" applyFill="1" applyBorder="1" applyAlignment="1">
      <alignment horizontal="center" wrapText="1"/>
    </xf>
    <xf numFmtId="0" fontId="14" fillId="27" borderId="36" xfId="0" applyFont="1" applyFill="1" applyBorder="1" applyAlignment="1">
      <alignment horizontal="left" wrapText="1"/>
    </xf>
    <xf numFmtId="0" fontId="14" fillId="27" borderId="30" xfId="0" applyFont="1" applyFill="1" applyBorder="1" applyAlignment="1">
      <alignment horizontal="center" wrapText="1"/>
    </xf>
    <xf numFmtId="0" fontId="14" fillId="27" borderId="12" xfId="0" applyFont="1" applyFill="1" applyBorder="1" applyAlignment="1">
      <alignment horizontal="center" wrapText="1"/>
    </xf>
    <xf numFmtId="0" fontId="14" fillId="28" borderId="36" xfId="0" applyFont="1" applyFill="1" applyBorder="1" applyAlignment="1">
      <alignment horizontal="left" wrapText="1"/>
    </xf>
    <xf numFmtId="0" fontId="14" fillId="28" borderId="30" xfId="0" applyFont="1" applyFill="1" applyBorder="1" applyAlignment="1">
      <alignment horizontal="center" wrapText="1"/>
    </xf>
    <xf numFmtId="0" fontId="14" fillId="28" borderId="12" xfId="0" applyFont="1" applyFill="1" applyBorder="1" applyAlignment="1">
      <alignment horizontal="center" wrapText="1"/>
    </xf>
    <xf numFmtId="0" fontId="14" fillId="6" borderId="36" xfId="0" applyFont="1" applyFill="1" applyBorder="1" applyAlignment="1">
      <alignment wrapText="1"/>
    </xf>
    <xf numFmtId="0" fontId="14" fillId="6" borderId="30" xfId="0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0" fontId="14" fillId="6" borderId="36" xfId="0" applyFont="1" applyFill="1" applyBorder="1" applyAlignment="1">
      <alignment horizontal="left" wrapText="1"/>
    </xf>
    <xf numFmtId="0" fontId="14" fillId="26" borderId="36" xfId="0" applyFont="1" applyFill="1" applyBorder="1" applyAlignment="1">
      <alignment horizontal="center" wrapText="1"/>
    </xf>
    <xf numFmtId="0" fontId="14" fillId="26" borderId="36" xfId="0" applyFont="1" applyFill="1" applyBorder="1" applyAlignment="1">
      <alignment wrapText="1"/>
    </xf>
    <xf numFmtId="0" fontId="14" fillId="26" borderId="0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/>
    </xf>
    <xf numFmtId="3" fontId="14" fillId="27" borderId="34" xfId="0" applyNumberFormat="1" applyFont="1" applyFill="1" applyBorder="1" applyAlignment="1">
      <alignment/>
    </xf>
    <xf numFmtId="3" fontId="14" fillId="27" borderId="35" xfId="0" applyNumberFormat="1" applyFont="1" applyFill="1" applyBorder="1" applyAlignment="1">
      <alignment/>
    </xf>
    <xf numFmtId="3" fontId="14" fillId="27" borderId="10" xfId="0" applyNumberFormat="1" applyFont="1" applyFill="1" applyBorder="1" applyAlignment="1">
      <alignment/>
    </xf>
    <xf numFmtId="3" fontId="14" fillId="28" borderId="34" xfId="0" applyNumberFormat="1" applyFont="1" applyFill="1" applyBorder="1" applyAlignment="1">
      <alignment/>
    </xf>
    <xf numFmtId="3" fontId="14" fillId="28" borderId="35" xfId="0" applyNumberFormat="1" applyFont="1" applyFill="1" applyBorder="1" applyAlignment="1">
      <alignment/>
    </xf>
    <xf numFmtId="3" fontId="14" fillId="28" borderId="10" xfId="0" applyNumberFormat="1" applyFont="1" applyFill="1" applyBorder="1" applyAlignment="1">
      <alignment/>
    </xf>
    <xf numFmtId="3" fontId="13" fillId="6" borderId="34" xfId="0" applyNumberFormat="1" applyFont="1" applyFill="1" applyBorder="1" applyAlignment="1">
      <alignment/>
    </xf>
    <xf numFmtId="3" fontId="13" fillId="6" borderId="41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5" fillId="6" borderId="34" xfId="0" applyNumberFormat="1" applyFont="1" applyFill="1" applyBorder="1" applyAlignment="1">
      <alignment/>
    </xf>
    <xf numFmtId="3" fontId="15" fillId="6" borderId="3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26" borderId="34" xfId="0" applyNumberFormat="1" applyFont="1" applyFill="1" applyBorder="1" applyAlignment="1">
      <alignment/>
    </xf>
    <xf numFmtId="3" fontId="14" fillId="26" borderId="35" xfId="0" applyNumberFormat="1" applyFont="1" applyFill="1" applyBorder="1" applyAlignment="1">
      <alignment/>
    </xf>
    <xf numFmtId="3" fontId="14" fillId="26" borderId="10" xfId="0" applyNumberFormat="1" applyFont="1" applyFill="1" applyBorder="1" applyAlignment="1">
      <alignment/>
    </xf>
    <xf numFmtId="3" fontId="14" fillId="26" borderId="4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3" fontId="14" fillId="26" borderId="0" xfId="0" applyNumberFormat="1" applyFont="1" applyFill="1" applyAlignment="1">
      <alignment/>
    </xf>
    <xf numFmtId="0" fontId="35" fillId="0" borderId="38" xfId="0" applyFont="1" applyFill="1" applyBorder="1" applyAlignment="1">
      <alignment horizontal="left" indent="2"/>
    </xf>
    <xf numFmtId="3" fontId="35" fillId="0" borderId="43" xfId="0" applyNumberFormat="1" applyFont="1" applyFill="1" applyBorder="1" applyAlignment="1">
      <alignment/>
    </xf>
    <xf numFmtId="3" fontId="35" fillId="27" borderId="32" xfId="0" applyNumberFormat="1" applyFont="1" applyFill="1" applyBorder="1" applyAlignment="1">
      <alignment/>
    </xf>
    <xf numFmtId="3" fontId="35" fillId="27" borderId="43" xfId="0" applyNumberFormat="1" applyFont="1" applyFill="1" applyBorder="1" applyAlignment="1">
      <alignment/>
    </xf>
    <xf numFmtId="3" fontId="35" fillId="27" borderId="11" xfId="0" applyNumberFormat="1" applyFont="1" applyFill="1" applyBorder="1" applyAlignment="1">
      <alignment/>
    </xf>
    <xf numFmtId="3" fontId="35" fillId="28" borderId="32" xfId="0" applyNumberFormat="1" applyFont="1" applyFill="1" applyBorder="1" applyAlignment="1">
      <alignment/>
    </xf>
    <xf numFmtId="3" fontId="35" fillId="28" borderId="43" xfId="0" applyNumberFormat="1" applyFont="1" applyFill="1" applyBorder="1" applyAlignment="1">
      <alignment/>
    </xf>
    <xf numFmtId="3" fontId="35" fillId="28" borderId="11" xfId="0" applyNumberFormat="1" applyFont="1" applyFill="1" applyBorder="1" applyAlignment="1">
      <alignment/>
    </xf>
    <xf numFmtId="3" fontId="13" fillId="6" borderId="32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5" fillId="6" borderId="32" xfId="0" applyNumberFormat="1" applyFont="1" applyFill="1" applyBorder="1" applyAlignment="1">
      <alignment/>
    </xf>
    <xf numFmtId="3" fontId="15" fillId="6" borderId="19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26" borderId="32" xfId="0" applyNumberFormat="1" applyFont="1" applyFill="1" applyBorder="1" applyAlignment="1">
      <alignment/>
    </xf>
    <xf numFmtId="3" fontId="35" fillId="26" borderId="43" xfId="0" applyNumberFormat="1" applyFont="1" applyFill="1" applyBorder="1" applyAlignment="1">
      <alignment/>
    </xf>
    <xf numFmtId="3" fontId="35" fillId="26" borderId="11" xfId="0" applyNumberFormat="1" applyFont="1" applyFill="1" applyBorder="1" applyAlignment="1">
      <alignment/>
    </xf>
    <xf numFmtId="3" fontId="35" fillId="26" borderId="19" xfId="0" applyNumberFormat="1" applyFont="1" applyFill="1" applyBorder="1" applyAlignment="1">
      <alignment/>
    </xf>
    <xf numFmtId="3" fontId="35" fillId="26" borderId="0" xfId="0" applyNumberFormat="1" applyFont="1" applyFill="1" applyBorder="1" applyAlignment="1">
      <alignment/>
    </xf>
    <xf numFmtId="3" fontId="13" fillId="6" borderId="43" xfId="0" applyNumberFormat="1" applyFont="1" applyFill="1" applyBorder="1" applyAlignment="1">
      <alignment/>
    </xf>
    <xf numFmtId="0" fontId="14" fillId="0" borderId="38" xfId="0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27" borderId="32" xfId="0" applyNumberFormat="1" applyFont="1" applyFill="1" applyBorder="1" applyAlignment="1">
      <alignment/>
    </xf>
    <xf numFmtId="3" fontId="14" fillId="27" borderId="43" xfId="0" applyNumberFormat="1" applyFont="1" applyFill="1" applyBorder="1" applyAlignment="1">
      <alignment/>
    </xf>
    <xf numFmtId="3" fontId="14" fillId="27" borderId="11" xfId="0" applyNumberFormat="1" applyFont="1" applyFill="1" applyBorder="1" applyAlignment="1">
      <alignment/>
    </xf>
    <xf numFmtId="3" fontId="14" fillId="28" borderId="32" xfId="0" applyNumberFormat="1" applyFont="1" applyFill="1" applyBorder="1" applyAlignment="1">
      <alignment/>
    </xf>
    <xf numFmtId="3" fontId="14" fillId="28" borderId="43" xfId="0" applyNumberFormat="1" applyFont="1" applyFill="1" applyBorder="1" applyAlignment="1">
      <alignment/>
    </xf>
    <xf numFmtId="3" fontId="14" fillId="28" borderId="11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26" borderId="32" xfId="0" applyNumberFormat="1" applyFont="1" applyFill="1" applyBorder="1" applyAlignment="1">
      <alignment/>
    </xf>
    <xf numFmtId="3" fontId="14" fillId="26" borderId="43" xfId="0" applyNumberFormat="1" applyFont="1" applyFill="1" applyBorder="1" applyAlignment="1">
      <alignment/>
    </xf>
    <xf numFmtId="3" fontId="14" fillId="26" borderId="11" xfId="0" applyNumberFormat="1" applyFont="1" applyFill="1" applyBorder="1" applyAlignment="1">
      <alignment/>
    </xf>
    <xf numFmtId="3" fontId="14" fillId="26" borderId="19" xfId="0" applyNumberFormat="1" applyFont="1" applyFill="1" applyBorder="1" applyAlignment="1">
      <alignment/>
    </xf>
    <xf numFmtId="0" fontId="14" fillId="0" borderId="45" xfId="0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3" fontId="14" fillId="27" borderId="33" xfId="0" applyNumberFormat="1" applyFont="1" applyFill="1" applyBorder="1" applyAlignment="1">
      <alignment/>
    </xf>
    <xf numFmtId="3" fontId="14" fillId="27" borderId="46" xfId="0" applyNumberFormat="1" applyFont="1" applyFill="1" applyBorder="1" applyAlignment="1">
      <alignment/>
    </xf>
    <xf numFmtId="3" fontId="14" fillId="27" borderId="24" xfId="0" applyNumberFormat="1" applyFont="1" applyFill="1" applyBorder="1" applyAlignment="1">
      <alignment/>
    </xf>
    <xf numFmtId="3" fontId="14" fillId="28" borderId="33" xfId="0" applyNumberFormat="1" applyFont="1" applyFill="1" applyBorder="1" applyAlignment="1">
      <alignment/>
    </xf>
    <xf numFmtId="3" fontId="14" fillId="28" borderId="46" xfId="0" applyNumberFormat="1" applyFont="1" applyFill="1" applyBorder="1" applyAlignment="1">
      <alignment/>
    </xf>
    <xf numFmtId="3" fontId="14" fillId="28" borderId="24" xfId="0" applyNumberFormat="1" applyFont="1" applyFill="1" applyBorder="1" applyAlignment="1">
      <alignment/>
    </xf>
    <xf numFmtId="3" fontId="13" fillId="6" borderId="46" xfId="0" applyNumberFormat="1" applyFont="1" applyFill="1" applyBorder="1" applyAlignment="1">
      <alignment/>
    </xf>
    <xf numFmtId="3" fontId="13" fillId="6" borderId="24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5" fillId="6" borderId="33" xfId="0" applyNumberFormat="1" applyFont="1" applyFill="1" applyBorder="1" applyAlignment="1">
      <alignment/>
    </xf>
    <xf numFmtId="3" fontId="15" fillId="6" borderId="2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26" borderId="33" xfId="0" applyNumberFormat="1" applyFont="1" applyFill="1" applyBorder="1" applyAlignment="1">
      <alignment/>
    </xf>
    <xf numFmtId="3" fontId="14" fillId="26" borderId="46" xfId="0" applyNumberFormat="1" applyFont="1" applyFill="1" applyBorder="1" applyAlignment="1">
      <alignment/>
    </xf>
    <xf numFmtId="3" fontId="14" fillId="26" borderId="24" xfId="0" applyNumberFormat="1" applyFont="1" applyFill="1" applyBorder="1" applyAlignment="1">
      <alignment/>
    </xf>
    <xf numFmtId="3" fontId="14" fillId="26" borderId="26" xfId="0" applyNumberFormat="1" applyFont="1" applyFill="1" applyBorder="1" applyAlignment="1">
      <alignment/>
    </xf>
    <xf numFmtId="0" fontId="15" fillId="6" borderId="48" xfId="0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3" fillId="6" borderId="49" xfId="0" applyNumberFormat="1" applyFont="1" applyFill="1" applyBorder="1" applyAlignment="1">
      <alignment/>
    </xf>
    <xf numFmtId="3" fontId="13" fillId="6" borderId="5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52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27" borderId="41" xfId="0" applyNumberFormat="1" applyFont="1" applyFill="1" applyBorder="1" applyAlignment="1">
      <alignment/>
    </xf>
    <xf numFmtId="3" fontId="14" fillId="28" borderId="41" xfId="0" applyNumberFormat="1" applyFont="1" applyFill="1" applyBorder="1" applyAlignment="1">
      <alignment/>
    </xf>
    <xf numFmtId="0" fontId="35" fillId="0" borderId="38" xfId="0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27" borderId="34" xfId="0" applyNumberFormat="1" applyFont="1" applyFill="1" applyBorder="1" applyAlignment="1">
      <alignment/>
    </xf>
    <xf numFmtId="3" fontId="35" fillId="28" borderId="34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3" fontId="35" fillId="26" borderId="34" xfId="0" applyNumberFormat="1" applyFont="1" applyFill="1" applyBorder="1" applyAlignment="1">
      <alignment/>
    </xf>
    <xf numFmtId="3" fontId="35" fillId="26" borderId="35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35" fillId="0" borderId="38" xfId="0" applyFont="1" applyFill="1" applyBorder="1" applyAlignment="1">
      <alignment horizontal="left" wrapText="1" indent="2"/>
    </xf>
    <xf numFmtId="3" fontId="35" fillId="0" borderId="46" xfId="0" applyNumberFormat="1" applyFont="1" applyFill="1" applyBorder="1" applyAlignment="1">
      <alignment/>
    </xf>
    <xf numFmtId="3" fontId="35" fillId="27" borderId="33" xfId="0" applyNumberFormat="1" applyFont="1" applyFill="1" applyBorder="1" applyAlignment="1">
      <alignment/>
    </xf>
    <xf numFmtId="3" fontId="35" fillId="27" borderId="46" xfId="0" applyNumberFormat="1" applyFont="1" applyFill="1" applyBorder="1" applyAlignment="1">
      <alignment/>
    </xf>
    <xf numFmtId="3" fontId="35" fillId="27" borderId="24" xfId="0" applyNumberFormat="1" applyFont="1" applyFill="1" applyBorder="1" applyAlignment="1">
      <alignment/>
    </xf>
    <xf numFmtId="3" fontId="35" fillId="28" borderId="33" xfId="0" applyNumberFormat="1" applyFont="1" applyFill="1" applyBorder="1" applyAlignment="1">
      <alignment/>
    </xf>
    <xf numFmtId="3" fontId="35" fillId="28" borderId="46" xfId="0" applyNumberFormat="1" applyFont="1" applyFill="1" applyBorder="1" applyAlignment="1">
      <alignment/>
    </xf>
    <xf numFmtId="3" fontId="35" fillId="28" borderId="24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3" fontId="35" fillId="26" borderId="33" xfId="0" applyNumberFormat="1" applyFont="1" applyFill="1" applyBorder="1" applyAlignment="1">
      <alignment/>
    </xf>
    <xf numFmtId="3" fontId="35" fillId="26" borderId="46" xfId="0" applyNumberFormat="1" applyFont="1" applyFill="1" applyBorder="1" applyAlignment="1">
      <alignment/>
    </xf>
    <xf numFmtId="3" fontId="35" fillId="26" borderId="24" xfId="0" applyNumberFormat="1" applyFont="1" applyFill="1" applyBorder="1" applyAlignment="1">
      <alignment/>
    </xf>
    <xf numFmtId="3" fontId="35" fillId="26" borderId="26" xfId="0" applyNumberFormat="1" applyFont="1" applyFill="1" applyBorder="1" applyAlignment="1">
      <alignment/>
    </xf>
    <xf numFmtId="0" fontId="15" fillId="6" borderId="53" xfId="0" applyFont="1" applyFill="1" applyBorder="1" applyAlignment="1">
      <alignment/>
    </xf>
    <xf numFmtId="3" fontId="15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27" borderId="56" xfId="0" applyNumberFormat="1" applyFont="1" applyFill="1" applyBorder="1" applyAlignment="1">
      <alignment/>
    </xf>
    <xf numFmtId="3" fontId="15" fillId="28" borderId="56" xfId="0" applyNumberFormat="1" applyFont="1" applyFill="1" applyBorder="1" applyAlignment="1">
      <alignment/>
    </xf>
    <xf numFmtId="3" fontId="13" fillId="6" borderId="56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6" borderId="57" xfId="0" applyNumberFormat="1" applyFont="1" applyFill="1" applyBorder="1" applyAlignment="1">
      <alignment/>
    </xf>
    <xf numFmtId="3" fontId="15" fillId="26" borderId="56" xfId="0" applyNumberFormat="1" applyFont="1" applyFill="1" applyBorder="1" applyAlignment="1">
      <alignment/>
    </xf>
    <xf numFmtId="3" fontId="15" fillId="26" borderId="55" xfId="0" applyNumberFormat="1" applyFont="1" applyFill="1" applyBorder="1" applyAlignment="1">
      <alignment/>
    </xf>
    <xf numFmtId="0" fontId="14" fillId="0" borderId="37" xfId="0" applyFont="1" applyFill="1" applyBorder="1" applyAlignment="1">
      <alignment wrapText="1"/>
    </xf>
    <xf numFmtId="3" fontId="14" fillId="0" borderId="58" xfId="0" applyNumberFormat="1" applyFont="1" applyFill="1" applyBorder="1" applyAlignment="1">
      <alignment/>
    </xf>
    <xf numFmtId="3" fontId="14" fillId="27" borderId="31" xfId="0" applyNumberFormat="1" applyFont="1" applyFill="1" applyBorder="1" applyAlignment="1">
      <alignment/>
    </xf>
    <xf numFmtId="3" fontId="14" fillId="27" borderId="58" xfId="0" applyNumberFormat="1" applyFont="1" applyFill="1" applyBorder="1" applyAlignment="1">
      <alignment/>
    </xf>
    <xf numFmtId="3" fontId="14" fillId="27" borderId="21" xfId="0" applyNumberFormat="1" applyFont="1" applyFill="1" applyBorder="1" applyAlignment="1">
      <alignment/>
    </xf>
    <xf numFmtId="3" fontId="14" fillId="28" borderId="31" xfId="0" applyNumberFormat="1" applyFont="1" applyFill="1" applyBorder="1" applyAlignment="1">
      <alignment/>
    </xf>
    <xf numFmtId="3" fontId="14" fillId="28" borderId="58" xfId="0" applyNumberFormat="1" applyFont="1" applyFill="1" applyBorder="1" applyAlignment="1">
      <alignment/>
    </xf>
    <xf numFmtId="3" fontId="14" fillId="28" borderId="21" xfId="0" applyNumberFormat="1" applyFont="1" applyFill="1" applyBorder="1" applyAlignment="1">
      <alignment/>
    </xf>
    <xf numFmtId="3" fontId="13" fillId="6" borderId="31" xfId="0" applyNumberFormat="1" applyFont="1" applyFill="1" applyBorder="1" applyAlignment="1">
      <alignment/>
    </xf>
    <xf numFmtId="3" fontId="13" fillId="6" borderId="58" xfId="0" applyNumberFormat="1" applyFont="1" applyFill="1" applyBorder="1" applyAlignment="1">
      <alignment/>
    </xf>
    <xf numFmtId="3" fontId="13" fillId="6" borderId="21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5" fillId="6" borderId="31" xfId="0" applyNumberFormat="1" applyFont="1" applyFill="1" applyBorder="1" applyAlignment="1">
      <alignment/>
    </xf>
    <xf numFmtId="3" fontId="15" fillId="6" borderId="20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26" borderId="31" xfId="0" applyNumberFormat="1" applyFont="1" applyFill="1" applyBorder="1" applyAlignment="1">
      <alignment/>
    </xf>
    <xf numFmtId="3" fontId="14" fillId="26" borderId="58" xfId="0" applyNumberFormat="1" applyFont="1" applyFill="1" applyBorder="1" applyAlignment="1">
      <alignment/>
    </xf>
    <xf numFmtId="3" fontId="14" fillId="26" borderId="21" xfId="0" applyNumberFormat="1" applyFont="1" applyFill="1" applyBorder="1" applyAlignment="1">
      <alignment/>
    </xf>
    <xf numFmtId="3" fontId="14" fillId="26" borderId="20" xfId="0" applyNumberFormat="1" applyFont="1" applyFill="1" applyBorder="1" applyAlignment="1">
      <alignment/>
    </xf>
    <xf numFmtId="0" fontId="35" fillId="0" borderId="45" xfId="0" applyFont="1" applyFill="1" applyBorder="1" applyAlignment="1">
      <alignment/>
    </xf>
    <xf numFmtId="3" fontId="13" fillId="6" borderId="33" xfId="0" applyNumberFormat="1" applyFont="1" applyFill="1" applyBorder="1" applyAlignment="1">
      <alignment/>
    </xf>
    <xf numFmtId="0" fontId="14" fillId="0" borderId="39" xfId="0" applyFont="1" applyFill="1" applyBorder="1" applyAlignment="1">
      <alignment/>
    </xf>
    <xf numFmtId="3" fontId="14" fillId="0" borderId="60" xfId="0" applyNumberFormat="1" applyFont="1" applyFill="1" applyBorder="1" applyAlignment="1">
      <alignment/>
    </xf>
    <xf numFmtId="3" fontId="14" fillId="27" borderId="36" xfId="0" applyNumberFormat="1" applyFont="1" applyFill="1" applyBorder="1" applyAlignment="1">
      <alignment/>
    </xf>
    <xf numFmtId="3" fontId="14" fillId="27" borderId="60" xfId="0" applyNumberFormat="1" applyFont="1" applyFill="1" applyBorder="1" applyAlignment="1">
      <alignment/>
    </xf>
    <xf numFmtId="3" fontId="14" fillId="27" borderId="12" xfId="0" applyNumberFormat="1" applyFont="1" applyFill="1" applyBorder="1" applyAlignment="1">
      <alignment/>
    </xf>
    <xf numFmtId="3" fontId="14" fillId="28" borderId="36" xfId="0" applyNumberFormat="1" applyFont="1" applyFill="1" applyBorder="1" applyAlignment="1">
      <alignment/>
    </xf>
    <xf numFmtId="3" fontId="14" fillId="28" borderId="60" xfId="0" applyNumberFormat="1" applyFont="1" applyFill="1" applyBorder="1" applyAlignment="1">
      <alignment/>
    </xf>
    <xf numFmtId="3" fontId="14" fillId="28" borderId="12" xfId="0" applyNumberFormat="1" applyFont="1" applyFill="1" applyBorder="1" applyAlignment="1">
      <alignment/>
    </xf>
    <xf numFmtId="3" fontId="13" fillId="6" borderId="36" xfId="0" applyNumberFormat="1" applyFont="1" applyFill="1" applyBorder="1" applyAlignment="1">
      <alignment/>
    </xf>
    <xf numFmtId="3" fontId="13" fillId="6" borderId="60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5" fillId="6" borderId="36" xfId="0" applyNumberFormat="1" applyFont="1" applyFill="1" applyBorder="1" applyAlignment="1">
      <alignment/>
    </xf>
    <xf numFmtId="3" fontId="15" fillId="6" borderId="30" xfId="0" applyNumberFormat="1" applyFont="1" applyFill="1" applyBorder="1" applyAlignment="1">
      <alignment/>
    </xf>
    <xf numFmtId="3" fontId="14" fillId="0" borderId="61" xfId="0" applyNumberFormat="1" applyFont="1" applyFill="1" applyBorder="1" applyAlignment="1">
      <alignment/>
    </xf>
    <xf numFmtId="3" fontId="14" fillId="26" borderId="36" xfId="0" applyNumberFormat="1" applyFont="1" applyFill="1" applyBorder="1" applyAlignment="1">
      <alignment/>
    </xf>
    <xf numFmtId="3" fontId="14" fillId="26" borderId="60" xfId="0" applyNumberFormat="1" applyFont="1" applyFill="1" applyBorder="1" applyAlignment="1">
      <alignment/>
    </xf>
    <xf numFmtId="3" fontId="14" fillId="26" borderId="12" xfId="0" applyNumberFormat="1" applyFont="1" applyFill="1" applyBorder="1" applyAlignment="1">
      <alignment/>
    </xf>
    <xf numFmtId="3" fontId="14" fillId="26" borderId="30" xfId="0" applyNumberFormat="1" applyFont="1" applyFill="1" applyBorder="1" applyAlignment="1">
      <alignment/>
    </xf>
    <xf numFmtId="0" fontId="15" fillId="6" borderId="62" xfId="0" applyFont="1" applyFill="1" applyBorder="1" applyAlignment="1">
      <alignment/>
    </xf>
    <xf numFmtId="3" fontId="15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27" borderId="65" xfId="0" applyNumberFormat="1" applyFont="1" applyFill="1" applyBorder="1" applyAlignment="1">
      <alignment/>
    </xf>
    <xf numFmtId="3" fontId="15" fillId="28" borderId="65" xfId="0" applyNumberFormat="1" applyFont="1" applyFill="1" applyBorder="1" applyAlignment="1">
      <alignment/>
    </xf>
    <xf numFmtId="3" fontId="13" fillId="6" borderId="65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6" borderId="66" xfId="0" applyNumberFormat="1" applyFont="1" applyFill="1" applyBorder="1" applyAlignment="1">
      <alignment/>
    </xf>
    <xf numFmtId="3" fontId="15" fillId="26" borderId="65" xfId="0" applyNumberFormat="1" applyFont="1" applyFill="1" applyBorder="1" applyAlignment="1">
      <alignment/>
    </xf>
    <xf numFmtId="3" fontId="15" fillId="26" borderId="64" xfId="0" applyNumberFormat="1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14" fillId="26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4" fillId="6" borderId="10" xfId="0" applyNumberFormat="1" applyFont="1" applyFill="1" applyBorder="1" applyAlignment="1">
      <alignment/>
    </xf>
    <xf numFmtId="3" fontId="14" fillId="6" borderId="11" xfId="0" applyNumberFormat="1" applyFont="1" applyFill="1" applyBorder="1" applyAlignment="1">
      <alignment/>
    </xf>
    <xf numFmtId="3" fontId="35" fillId="6" borderId="11" xfId="0" applyNumberFormat="1" applyFont="1" applyFill="1" applyBorder="1" applyAlignment="1">
      <alignment/>
    </xf>
    <xf numFmtId="3" fontId="15" fillId="6" borderId="38" xfId="0" applyNumberFormat="1" applyFont="1" applyFill="1" applyBorder="1" applyAlignment="1">
      <alignment/>
    </xf>
    <xf numFmtId="3" fontId="35" fillId="6" borderId="44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0" fontId="15" fillId="6" borderId="27" xfId="0" applyFont="1" applyFill="1" applyBorder="1" applyAlignment="1">
      <alignment/>
    </xf>
    <xf numFmtId="3" fontId="35" fillId="0" borderId="61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3" fontId="35" fillId="27" borderId="36" xfId="0" applyNumberFormat="1" applyFont="1" applyFill="1" applyBorder="1" applyAlignment="1">
      <alignment/>
    </xf>
    <xf numFmtId="3" fontId="35" fillId="27" borderId="60" xfId="0" applyNumberFormat="1" applyFont="1" applyFill="1" applyBorder="1" applyAlignment="1">
      <alignment/>
    </xf>
    <xf numFmtId="3" fontId="35" fillId="27" borderId="12" xfId="0" applyNumberFormat="1" applyFont="1" applyFill="1" applyBorder="1" applyAlignment="1">
      <alignment/>
    </xf>
    <xf numFmtId="3" fontId="35" fillId="28" borderId="36" xfId="0" applyNumberFormat="1" applyFont="1" applyFill="1" applyBorder="1" applyAlignment="1">
      <alignment/>
    </xf>
    <xf numFmtId="3" fontId="35" fillId="28" borderId="60" xfId="0" applyNumberFormat="1" applyFont="1" applyFill="1" applyBorder="1" applyAlignment="1">
      <alignment/>
    </xf>
    <xf numFmtId="3" fontId="35" fillId="28" borderId="12" xfId="0" applyNumberFormat="1" applyFont="1" applyFill="1" applyBorder="1" applyAlignment="1">
      <alignment/>
    </xf>
    <xf numFmtId="3" fontId="35" fillId="6" borderId="12" xfId="0" applyNumberFormat="1" applyFont="1" applyFill="1" applyBorder="1" applyAlignment="1">
      <alignment/>
    </xf>
    <xf numFmtId="3" fontId="35" fillId="26" borderId="36" xfId="0" applyNumberFormat="1" applyFont="1" applyFill="1" applyBorder="1" applyAlignment="1">
      <alignment/>
    </xf>
    <xf numFmtId="3" fontId="35" fillId="26" borderId="60" xfId="0" applyNumberFormat="1" applyFont="1" applyFill="1" applyBorder="1" applyAlignment="1">
      <alignment/>
    </xf>
    <xf numFmtId="3" fontId="35" fillId="26" borderId="12" xfId="0" applyNumberFormat="1" applyFont="1" applyFill="1" applyBorder="1" applyAlignment="1">
      <alignment/>
    </xf>
    <xf numFmtId="3" fontId="35" fillId="26" borderId="30" xfId="0" applyNumberFormat="1" applyFont="1" applyFill="1" applyBorder="1" applyAlignment="1">
      <alignment/>
    </xf>
    <xf numFmtId="0" fontId="15" fillId="6" borderId="22" xfId="0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7" borderId="54" xfId="0" applyNumberFormat="1" applyFont="1" applyFill="1" applyBorder="1" applyAlignment="1">
      <alignment/>
    </xf>
    <xf numFmtId="3" fontId="15" fillId="27" borderId="28" xfId="0" applyNumberFormat="1" applyFont="1" applyFill="1" applyBorder="1" applyAlignment="1">
      <alignment/>
    </xf>
    <xf numFmtId="3" fontId="15" fillId="28" borderId="54" xfId="0" applyNumberFormat="1" applyFont="1" applyFill="1" applyBorder="1" applyAlignment="1">
      <alignment/>
    </xf>
    <xf numFmtId="3" fontId="15" fillId="28" borderId="28" xfId="0" applyNumberFormat="1" applyFont="1" applyFill="1" applyBorder="1" applyAlignment="1">
      <alignment/>
    </xf>
    <xf numFmtId="3" fontId="13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6" borderId="54" xfId="0" applyNumberFormat="1" applyFont="1" applyFill="1" applyBorder="1" applyAlignment="1">
      <alignment/>
    </xf>
    <xf numFmtId="3" fontId="15" fillId="26" borderId="28" xfId="0" applyNumberFormat="1" applyFont="1" applyFill="1" applyBorder="1" applyAlignment="1">
      <alignment/>
    </xf>
    <xf numFmtId="0" fontId="15" fillId="6" borderId="27" xfId="0" applyFont="1" applyFill="1" applyBorder="1" applyAlignment="1">
      <alignment wrapText="1"/>
    </xf>
    <xf numFmtId="3" fontId="15" fillId="6" borderId="52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0" fontId="15" fillId="6" borderId="15" xfId="0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3" fontId="15" fillId="27" borderId="63" xfId="0" applyNumberFormat="1" applyFont="1" applyFill="1" applyBorder="1" applyAlignment="1">
      <alignment/>
    </xf>
    <xf numFmtId="3" fontId="15" fillId="27" borderId="14" xfId="0" applyNumberFormat="1" applyFont="1" applyFill="1" applyBorder="1" applyAlignment="1">
      <alignment/>
    </xf>
    <xf numFmtId="3" fontId="15" fillId="28" borderId="63" xfId="0" applyNumberFormat="1" applyFont="1" applyFill="1" applyBorder="1" applyAlignment="1">
      <alignment/>
    </xf>
    <xf numFmtId="3" fontId="15" fillId="28" borderId="14" xfId="0" applyNumberFormat="1" applyFont="1" applyFill="1" applyBorder="1" applyAlignment="1">
      <alignment/>
    </xf>
    <xf numFmtId="3" fontId="13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0" fontId="8" fillId="26" borderId="0" xfId="0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27" borderId="31" xfId="0" applyNumberFormat="1" applyFont="1" applyFill="1" applyBorder="1" applyAlignment="1">
      <alignment/>
    </xf>
    <xf numFmtId="4" fontId="15" fillId="27" borderId="20" xfId="0" applyNumberFormat="1" applyFont="1" applyFill="1" applyBorder="1" applyAlignment="1">
      <alignment/>
    </xf>
    <xf numFmtId="4" fontId="15" fillId="28" borderId="31" xfId="0" applyNumberFormat="1" applyFont="1" applyFill="1" applyBorder="1" applyAlignment="1">
      <alignment/>
    </xf>
    <xf numFmtId="4" fontId="15" fillId="28" borderId="20" xfId="0" applyNumberFormat="1" applyFont="1" applyFill="1" applyBorder="1" applyAlignment="1">
      <alignment/>
    </xf>
    <xf numFmtId="4" fontId="15" fillId="0" borderId="58" xfId="0" applyNumberFormat="1" applyFont="1" applyFill="1" applyBorder="1" applyAlignment="1">
      <alignment/>
    </xf>
    <xf numFmtId="4" fontId="15" fillId="20" borderId="21" xfId="0" applyNumberFormat="1" applyFont="1" applyFill="1" applyBorder="1" applyAlignment="1">
      <alignment/>
    </xf>
    <xf numFmtId="4" fontId="15" fillId="26" borderId="0" xfId="0" applyNumberFormat="1" applyFont="1" applyFill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70" xfId="0" applyNumberFormat="1" applyFont="1" applyFill="1" applyBorder="1" applyAlignment="1">
      <alignment/>
    </xf>
    <xf numFmtId="4" fontId="14" fillId="27" borderId="70" xfId="0" applyNumberFormat="1" applyFont="1" applyFill="1" applyBorder="1" applyAlignment="1">
      <alignment/>
    </xf>
    <xf numFmtId="4" fontId="14" fillId="27" borderId="19" xfId="0" applyNumberFormat="1" applyFont="1" applyFill="1" applyBorder="1" applyAlignment="1">
      <alignment/>
    </xf>
    <xf numFmtId="4" fontId="14" fillId="28" borderId="70" xfId="0" applyNumberFormat="1" applyFont="1" applyFill="1" applyBorder="1" applyAlignment="1">
      <alignment/>
    </xf>
    <xf numFmtId="4" fontId="14" fillId="28" borderId="19" xfId="0" applyNumberFormat="1" applyFont="1" applyFill="1" applyBorder="1" applyAlignment="1">
      <alignment/>
    </xf>
    <xf numFmtId="4" fontId="14" fillId="0" borderId="43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4" fontId="14" fillId="26" borderId="0" xfId="0" applyNumberFormat="1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14" fillId="26" borderId="0" xfId="0" applyFont="1" applyFill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71" xfId="0" applyNumberFormat="1" applyFont="1" applyFill="1" applyBorder="1" applyAlignment="1">
      <alignment/>
    </xf>
    <xf numFmtId="4" fontId="15" fillId="27" borderId="71" xfId="0" applyNumberFormat="1" applyFont="1" applyFill="1" applyBorder="1" applyAlignment="1">
      <alignment/>
    </xf>
    <xf numFmtId="4" fontId="15" fillId="27" borderId="30" xfId="0" applyNumberFormat="1" applyFont="1" applyFill="1" applyBorder="1" applyAlignment="1">
      <alignment/>
    </xf>
    <xf numFmtId="4" fontId="15" fillId="28" borderId="71" xfId="0" applyNumberFormat="1" applyFont="1" applyFill="1" applyBorder="1" applyAlignment="1">
      <alignment/>
    </xf>
    <xf numFmtId="4" fontId="15" fillId="28" borderId="30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4" fontId="15" fillId="20" borderId="12" xfId="0" applyNumberFormat="1" applyFont="1" applyFill="1" applyBorder="1" applyAlignment="1">
      <alignment/>
    </xf>
    <xf numFmtId="3" fontId="12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1" fillId="4" borderId="0" xfId="99" applyFont="1" applyFill="1" applyAlignment="1">
      <alignment wrapText="1"/>
      <protection/>
    </xf>
    <xf numFmtId="0" fontId="43" fillId="0" borderId="0" xfId="0" applyFont="1" applyAlignment="1">
      <alignment/>
    </xf>
    <xf numFmtId="3" fontId="11" fillId="0" borderId="0" xfId="99" applyNumberFormat="1" applyFont="1" applyFill="1">
      <alignment/>
      <protection/>
    </xf>
    <xf numFmtId="3" fontId="11" fillId="0" borderId="0" xfId="99" applyNumberFormat="1" applyFont="1" applyFill="1" applyBorder="1" applyAlignment="1">
      <alignment wrapText="1"/>
      <protection/>
    </xf>
    <xf numFmtId="3" fontId="4" fillId="25" borderId="0" xfId="0" applyNumberFormat="1" applyFont="1" applyFill="1" applyAlignment="1">
      <alignment horizontal="right" vertical="top"/>
    </xf>
    <xf numFmtId="3" fontId="4" fillId="24" borderId="0" xfId="0" applyNumberFormat="1" applyFont="1" applyFill="1" applyAlignment="1">
      <alignment horizontal="right" vertical="top"/>
    </xf>
    <xf numFmtId="0" fontId="4" fillId="25" borderId="0" xfId="101" applyFont="1" applyFill="1" applyAlignment="1">
      <alignment horizontal="left" vertical="top"/>
      <protection/>
    </xf>
    <xf numFmtId="0" fontId="34" fillId="25" borderId="0" xfId="0" applyFont="1" applyFill="1" applyAlignment="1">
      <alignment/>
    </xf>
    <xf numFmtId="1" fontId="4" fillId="25" borderId="0" xfId="101" applyNumberFormat="1" applyFont="1" applyFill="1" applyAlignment="1">
      <alignment horizontal="left" vertical="top"/>
      <protection/>
    </xf>
    <xf numFmtId="0" fontId="4" fillId="25" borderId="0" xfId="101" applyFont="1" applyFill="1" applyBorder="1" applyAlignment="1">
      <alignment vertical="top" wrapText="1"/>
      <protection/>
    </xf>
    <xf numFmtId="3" fontId="4" fillId="25" borderId="0" xfId="101" applyNumberFormat="1" applyFont="1" applyFill="1" applyBorder="1" applyAlignment="1">
      <alignment horizontal="right" vertical="top"/>
      <protection/>
    </xf>
    <xf numFmtId="0" fontId="4" fillId="25" borderId="0" xfId="0" applyFont="1" applyFill="1" applyAlignment="1">
      <alignment vertical="top" wrapText="1"/>
    </xf>
    <xf numFmtId="0" fontId="4" fillId="25" borderId="0" xfId="0" applyFont="1" applyFill="1" applyBorder="1" applyAlignment="1">
      <alignment horizontal="left" vertical="top" wrapText="1"/>
    </xf>
    <xf numFmtId="0" fontId="4" fillId="25" borderId="0" xfId="0" applyFont="1" applyFill="1" applyBorder="1" applyAlignment="1">
      <alignment vertical="top" wrapText="1"/>
    </xf>
    <xf numFmtId="3" fontId="4" fillId="25" borderId="0" xfId="0" applyNumberFormat="1" applyFont="1" applyFill="1" applyBorder="1" applyAlignment="1">
      <alignment horizontal="right" vertical="top"/>
    </xf>
    <xf numFmtId="0" fontId="4" fillId="25" borderId="0" xfId="0" applyFont="1" applyFill="1" applyAlignment="1">
      <alignment vertical="top"/>
    </xf>
    <xf numFmtId="0" fontId="4" fillId="25" borderId="0" xfId="0" applyFont="1" applyFill="1" applyBorder="1" applyAlignment="1">
      <alignment vertical="top"/>
    </xf>
    <xf numFmtId="3" fontId="4" fillId="25" borderId="0" xfId="0" applyNumberFormat="1" applyFont="1" applyFill="1" applyBorder="1" applyAlignment="1">
      <alignment vertical="top"/>
    </xf>
    <xf numFmtId="0" fontId="4" fillId="25" borderId="0" xfId="0" applyFont="1" applyFill="1" applyAlignment="1">
      <alignment horizontal="left" vertical="top"/>
    </xf>
    <xf numFmtId="0" fontId="5" fillId="25" borderId="0" xfId="0" applyFont="1" applyFill="1" applyAlignment="1">
      <alignment vertical="top"/>
    </xf>
    <xf numFmtId="3" fontId="5" fillId="25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10" fillId="25" borderId="0" xfId="0" applyNumberFormat="1" applyFont="1" applyFill="1" applyAlignment="1">
      <alignment vertical="top"/>
    </xf>
    <xf numFmtId="0" fontId="5" fillId="24" borderId="0" xfId="0" applyNumberFormat="1" applyFont="1" applyFill="1" applyAlignment="1">
      <alignment vertical="top"/>
    </xf>
    <xf numFmtId="3" fontId="4" fillId="24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5" fillId="27" borderId="31" xfId="0" applyFont="1" applyFill="1" applyBorder="1" applyAlignment="1">
      <alignment horizontal="center" wrapText="1"/>
    </xf>
    <xf numFmtId="0" fontId="15" fillId="27" borderId="20" xfId="0" applyFont="1" applyFill="1" applyBorder="1" applyAlignment="1">
      <alignment horizontal="center" wrapText="1"/>
    </xf>
    <xf numFmtId="0" fontId="15" fillId="27" borderId="21" xfId="0" applyFont="1" applyFill="1" applyBorder="1" applyAlignment="1">
      <alignment horizontal="center" wrapText="1"/>
    </xf>
    <xf numFmtId="0" fontId="15" fillId="27" borderId="37" xfId="0" applyFont="1" applyFill="1" applyBorder="1" applyAlignment="1">
      <alignment horizontal="center" wrapText="1"/>
    </xf>
    <xf numFmtId="0" fontId="15" fillId="27" borderId="73" xfId="0" applyFont="1" applyFill="1" applyBorder="1" applyAlignment="1">
      <alignment horizontal="center" wrapText="1"/>
    </xf>
    <xf numFmtId="0" fontId="15" fillId="27" borderId="59" xfId="0" applyFont="1" applyFill="1" applyBorder="1" applyAlignment="1">
      <alignment horizontal="center" wrapText="1"/>
    </xf>
    <xf numFmtId="0" fontId="15" fillId="28" borderId="31" xfId="0" applyFont="1" applyFill="1" applyBorder="1" applyAlignment="1">
      <alignment horizontal="center" wrapText="1"/>
    </xf>
    <xf numFmtId="0" fontId="15" fillId="28" borderId="20" xfId="0" applyFont="1" applyFill="1" applyBorder="1" applyAlignment="1">
      <alignment horizontal="center" wrapText="1"/>
    </xf>
    <xf numFmtId="0" fontId="15" fillId="28" borderId="21" xfId="0" applyFont="1" applyFill="1" applyBorder="1" applyAlignment="1">
      <alignment horizontal="center" wrapText="1"/>
    </xf>
    <xf numFmtId="0" fontId="13" fillId="6" borderId="31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0" fontId="15" fillId="6" borderId="20" xfId="0" applyFont="1" applyFill="1" applyBorder="1" applyAlignment="1">
      <alignment horizontal="center" wrapText="1"/>
    </xf>
    <xf numFmtId="0" fontId="15" fillId="6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74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8" customWidth="1"/>
    <col min="2" max="2" width="12.25390625" style="8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515" t="s">
        <v>30</v>
      </c>
      <c r="B2" s="515"/>
      <c r="C2" s="515"/>
      <c r="D2" s="515"/>
      <c r="E2" s="515"/>
      <c r="F2" s="515"/>
      <c r="G2" s="13"/>
      <c r="H2" s="13"/>
    </row>
    <row r="3" spans="1:6" ht="12.75">
      <c r="A3" s="12"/>
      <c r="B3" s="12"/>
      <c r="C3" s="10"/>
      <c r="D3" s="10"/>
      <c r="E3" s="10"/>
      <c r="F3" s="10"/>
    </row>
    <row r="4" spans="1:6" ht="27.75" customHeight="1">
      <c r="A4" s="12"/>
      <c r="B4" s="12"/>
      <c r="C4" s="10"/>
      <c r="D4" s="10"/>
      <c r="E4" s="10"/>
      <c r="F4" s="10"/>
    </row>
    <row r="5" spans="1:6" ht="12.75">
      <c r="A5" s="14" t="s">
        <v>31</v>
      </c>
      <c r="B5" s="14"/>
      <c r="C5" s="10"/>
      <c r="D5" s="10"/>
      <c r="E5" s="10"/>
      <c r="F5" s="10"/>
    </row>
    <row r="6" spans="1:6" ht="12.75">
      <c r="A6" s="14"/>
      <c r="B6" s="14" t="s">
        <v>32</v>
      </c>
      <c r="C6" s="10"/>
      <c r="D6" s="10"/>
      <c r="E6" s="10"/>
      <c r="F6" s="10"/>
    </row>
    <row r="7" spans="1:6" ht="25.5" customHeight="1">
      <c r="A7" s="14"/>
      <c r="B7" s="14" t="s">
        <v>4</v>
      </c>
      <c r="C7" s="15"/>
      <c r="D7" s="16" t="s">
        <v>53</v>
      </c>
      <c r="E7" s="10"/>
      <c r="F7" s="10"/>
    </row>
    <row r="8" spans="1:6" ht="25.5" customHeight="1">
      <c r="A8" s="14"/>
      <c r="B8" s="14" t="s">
        <v>5</v>
      </c>
      <c r="C8" s="15"/>
      <c r="D8" s="23" t="s">
        <v>33</v>
      </c>
      <c r="E8" s="10"/>
      <c r="F8" s="10"/>
    </row>
    <row r="9" spans="1:6" ht="25.5" customHeight="1">
      <c r="A9" s="14"/>
      <c r="B9" s="14" t="s">
        <v>6</v>
      </c>
      <c r="C9" s="15"/>
      <c r="D9" s="8" t="s">
        <v>64</v>
      </c>
      <c r="E9" s="10"/>
      <c r="F9" s="10"/>
    </row>
    <row r="10" spans="1:6" ht="25.5" customHeight="1">
      <c r="A10" s="14"/>
      <c r="B10" s="14" t="s">
        <v>7</v>
      </c>
      <c r="C10" s="15"/>
      <c r="D10" s="23" t="s">
        <v>140</v>
      </c>
      <c r="E10" s="10"/>
      <c r="F10" s="10"/>
    </row>
    <row r="11" spans="1:6" ht="25.5" customHeight="1">
      <c r="A11" s="14"/>
      <c r="B11" s="14" t="s">
        <v>8</v>
      </c>
      <c r="C11" s="15"/>
      <c r="D11" s="153" t="s">
        <v>165</v>
      </c>
      <c r="E11" s="10"/>
      <c r="F11" s="10"/>
    </row>
    <row r="12" spans="1:6" ht="25.5" customHeight="1">
      <c r="A12" s="14"/>
      <c r="B12" s="14" t="s">
        <v>18</v>
      </c>
      <c r="C12" s="15"/>
      <c r="D12" s="23" t="s">
        <v>166</v>
      </c>
      <c r="E12" s="153"/>
      <c r="F12" s="153"/>
    </row>
    <row r="13" spans="1:6" ht="25.5" customHeight="1">
      <c r="A13" s="14"/>
      <c r="B13" s="14" t="s">
        <v>19</v>
      </c>
      <c r="C13" s="15"/>
      <c r="D13" s="23" t="s">
        <v>167</v>
      </c>
      <c r="E13" s="10"/>
      <c r="F13" s="10"/>
    </row>
    <row r="14" spans="1:6" ht="25.5" customHeight="1">
      <c r="A14" s="14"/>
      <c r="B14" s="14" t="s">
        <v>21</v>
      </c>
      <c r="C14" s="15"/>
      <c r="D14" s="23" t="s">
        <v>34</v>
      </c>
      <c r="E14" s="10"/>
      <c r="F14" s="10"/>
    </row>
    <row r="15" spans="1:6" ht="25.5" customHeight="1">
      <c r="A15" s="14" t="s">
        <v>1</v>
      </c>
      <c r="B15" s="12"/>
      <c r="C15" s="10"/>
      <c r="D15" s="16" t="s">
        <v>35</v>
      </c>
      <c r="E15" s="10"/>
      <c r="F15" s="10"/>
    </row>
    <row r="16" spans="1:6" ht="12.75">
      <c r="A16" s="12"/>
      <c r="B16" s="12"/>
      <c r="C16" s="10"/>
      <c r="D16" s="10"/>
      <c r="E16" s="10"/>
      <c r="F16" s="10"/>
    </row>
    <row r="17" spans="1:6" ht="12.75">
      <c r="A17" s="12"/>
      <c r="B17" s="12"/>
      <c r="C17" s="10"/>
      <c r="D17" s="10"/>
      <c r="E17" s="10"/>
      <c r="F17" s="10"/>
    </row>
    <row r="18" spans="1:6" ht="12.75">
      <c r="A18" s="12"/>
      <c r="B18" s="12"/>
      <c r="C18" s="10"/>
      <c r="D18" s="10"/>
      <c r="E18" s="10"/>
      <c r="F18" s="10"/>
    </row>
    <row r="19" spans="1:6" ht="12.75">
      <c r="A19" s="12"/>
      <c r="B19" s="12"/>
      <c r="C19" s="10"/>
      <c r="D19" s="10"/>
      <c r="E19" s="10"/>
      <c r="F19" s="10"/>
    </row>
    <row r="20" spans="1:6" ht="12.75">
      <c r="A20" s="12"/>
      <c r="B20" s="12"/>
      <c r="C20" s="10"/>
      <c r="D20" s="10"/>
      <c r="E20" s="10"/>
      <c r="F20" s="10"/>
    </row>
    <row r="21" spans="1:6" ht="12.75">
      <c r="A21" s="12"/>
      <c r="B21" s="12"/>
      <c r="C21" s="10"/>
      <c r="D21" s="10"/>
      <c r="E21" s="10"/>
      <c r="F21" s="10"/>
    </row>
    <row r="22" spans="1:6" ht="12.75">
      <c r="A22" s="12"/>
      <c r="B22" s="12"/>
      <c r="C22" s="10"/>
      <c r="D22" s="10"/>
      <c r="E22" s="10"/>
      <c r="F22" s="10"/>
    </row>
    <row r="23" spans="1:6" ht="12.75">
      <c r="A23" s="12"/>
      <c r="B23" s="12"/>
      <c r="C23" s="10"/>
      <c r="D23" s="10"/>
      <c r="E23" s="10"/>
      <c r="F23" s="10"/>
    </row>
    <row r="24" spans="1:6" ht="12.75">
      <c r="A24" s="12"/>
      <c r="B24" s="12"/>
      <c r="C24" s="10"/>
      <c r="D24" s="10"/>
      <c r="E24" s="10"/>
      <c r="F24" s="10"/>
    </row>
    <row r="25" spans="1:6" ht="12.75">
      <c r="A25" s="12"/>
      <c r="B25" s="12"/>
      <c r="C25" s="10"/>
      <c r="D25" s="10"/>
      <c r="E25" s="10"/>
      <c r="F25" s="10"/>
    </row>
    <row r="26" spans="1:6" ht="12.75">
      <c r="A26" s="12"/>
      <c r="B26" s="12"/>
      <c r="C26" s="10"/>
      <c r="D26" s="10"/>
      <c r="E26" s="10"/>
      <c r="F26" s="10"/>
    </row>
    <row r="27" spans="1:6" ht="12.75">
      <c r="A27" s="12"/>
      <c r="B27" s="12"/>
      <c r="C27" s="10"/>
      <c r="D27" s="10"/>
      <c r="E27" s="10"/>
      <c r="F27" s="10"/>
    </row>
    <row r="28" spans="1:6" ht="12.75">
      <c r="A28" s="12"/>
      <c r="B28" s="12"/>
      <c r="C28" s="10"/>
      <c r="D28" s="10"/>
      <c r="E28" s="10"/>
      <c r="F28" s="10"/>
    </row>
    <row r="29" spans="1:6" ht="12.75">
      <c r="A29" s="12"/>
      <c r="B29" s="12"/>
      <c r="C29" s="10"/>
      <c r="D29" s="10"/>
      <c r="E29" s="10"/>
      <c r="F29" s="10"/>
    </row>
    <row r="30" spans="1:6" ht="12.75">
      <c r="A30" s="12"/>
      <c r="B30" s="12"/>
      <c r="C30" s="10"/>
      <c r="D30" s="10"/>
      <c r="E30" s="10"/>
      <c r="F30" s="10"/>
    </row>
    <row r="31" spans="1:6" ht="12.75">
      <c r="A31" s="12"/>
      <c r="B31" s="12"/>
      <c r="C31" s="10"/>
      <c r="D31" s="10"/>
      <c r="E31" s="10"/>
      <c r="F31" s="10"/>
    </row>
    <row r="32" spans="1:6" ht="12.75">
      <c r="A32" s="12"/>
      <c r="B32" s="12"/>
      <c r="C32" s="10"/>
      <c r="D32" s="10"/>
      <c r="E32" s="10"/>
      <c r="F32" s="10"/>
    </row>
    <row r="33" spans="1:6" ht="12.75">
      <c r="A33" s="12"/>
      <c r="B33" s="12"/>
      <c r="C33" s="10"/>
      <c r="D33" s="10"/>
      <c r="E33" s="10"/>
      <c r="F33" s="10"/>
    </row>
    <row r="34" spans="1:6" ht="12.75">
      <c r="A34" s="12"/>
      <c r="B34" s="12"/>
      <c r="C34" s="10"/>
      <c r="D34" s="10"/>
      <c r="E34" s="10"/>
      <c r="F34" s="10"/>
    </row>
    <row r="35" spans="1:6" ht="12.75">
      <c r="A35" s="12"/>
      <c r="B35" s="12"/>
      <c r="C35" s="10"/>
      <c r="D35" s="10"/>
      <c r="E35" s="10"/>
      <c r="F35" s="10"/>
    </row>
    <row r="36" spans="1:6" ht="12.75">
      <c r="A36" s="12"/>
      <c r="B36" s="12"/>
      <c r="C36" s="10"/>
      <c r="D36" s="10"/>
      <c r="E36" s="10"/>
      <c r="F36" s="10"/>
    </row>
    <row r="37" spans="1:6" ht="12.75">
      <c r="A37" s="12"/>
      <c r="B37" s="12"/>
      <c r="C37" s="10"/>
      <c r="D37" s="10"/>
      <c r="E37" s="10"/>
      <c r="F37" s="10"/>
    </row>
    <row r="38" spans="1:6" ht="12.75">
      <c r="A38" s="12"/>
      <c r="B38" s="12"/>
      <c r="C38" s="10"/>
      <c r="D38" s="10"/>
      <c r="E38" s="10"/>
      <c r="F38" s="10"/>
    </row>
    <row r="39" spans="1:6" ht="12.75">
      <c r="A39" s="12"/>
      <c r="B39" s="12"/>
      <c r="C39" s="10"/>
      <c r="D39" s="10"/>
      <c r="E39" s="10"/>
      <c r="F39" s="10"/>
    </row>
    <row r="40" spans="1:6" ht="12.75">
      <c r="A40" s="12"/>
      <c r="B40" s="12"/>
      <c r="C40" s="10"/>
      <c r="D40" s="10"/>
      <c r="E40" s="10"/>
      <c r="F40" s="10"/>
    </row>
    <row r="41" spans="1:6" ht="12.75">
      <c r="A41" s="12"/>
      <c r="B41" s="12"/>
      <c r="C41" s="10"/>
      <c r="D41" s="10"/>
      <c r="E41" s="10"/>
      <c r="F41" s="10"/>
    </row>
    <row r="42" spans="1:6" ht="12.75">
      <c r="A42" s="12"/>
      <c r="B42" s="12"/>
      <c r="C42" s="10"/>
      <c r="D42" s="10"/>
      <c r="E42" s="10"/>
      <c r="F42" s="10"/>
    </row>
    <row r="43" spans="1:6" ht="12.75">
      <c r="A43" s="12"/>
      <c r="B43" s="12"/>
      <c r="C43" s="10"/>
      <c r="D43" s="10"/>
      <c r="E43" s="10"/>
      <c r="F43" s="10"/>
    </row>
    <row r="44" spans="1:6" ht="12.75">
      <c r="A44" s="12"/>
      <c r="B44" s="12"/>
      <c r="C44" s="10"/>
      <c r="D44" s="10"/>
      <c r="E44" s="10"/>
      <c r="F44" s="10"/>
    </row>
    <row r="45" spans="1:6" ht="12.75">
      <c r="A45" s="12"/>
      <c r="B45" s="12"/>
      <c r="C45" s="10"/>
      <c r="D45" s="10"/>
      <c r="E45" s="10"/>
      <c r="F45" s="10"/>
    </row>
    <row r="46" spans="1:6" ht="12.75">
      <c r="A46" s="12"/>
      <c r="B46" s="12"/>
      <c r="C46" s="10"/>
      <c r="D46" s="10"/>
      <c r="E46" s="10"/>
      <c r="F46" s="10"/>
    </row>
    <row r="47" spans="1:6" ht="12.75">
      <c r="A47" s="12"/>
      <c r="B47" s="12"/>
      <c r="C47" s="10"/>
      <c r="D47" s="10"/>
      <c r="E47" s="10"/>
      <c r="F47" s="10"/>
    </row>
    <row r="48" spans="1:6" ht="12.75">
      <c r="A48" s="12"/>
      <c r="B48" s="12"/>
      <c r="C48" s="10"/>
      <c r="D48" s="10"/>
      <c r="E48" s="10"/>
      <c r="F48" s="10"/>
    </row>
    <row r="49" spans="1:6" ht="12.75">
      <c r="A49" s="12"/>
      <c r="B49" s="12"/>
      <c r="C49" s="10"/>
      <c r="D49" s="10"/>
      <c r="E49" s="10"/>
      <c r="F49" s="10"/>
    </row>
    <row r="50" spans="1:6" ht="12.75">
      <c r="A50" s="12"/>
      <c r="B50" s="12"/>
      <c r="C50" s="10"/>
      <c r="D50" s="10"/>
      <c r="E50" s="10"/>
      <c r="F50" s="10"/>
    </row>
    <row r="51" spans="1:6" ht="12.75">
      <c r="A51" s="12"/>
      <c r="B51" s="12"/>
      <c r="C51" s="10"/>
      <c r="D51" s="10"/>
      <c r="E51" s="10"/>
      <c r="F51" s="10"/>
    </row>
    <row r="52" spans="1:6" ht="12.75">
      <c r="A52" s="12"/>
      <c r="B52" s="12"/>
      <c r="C52" s="10"/>
      <c r="D52" s="10"/>
      <c r="E52" s="10"/>
      <c r="F52" s="10"/>
    </row>
    <row r="53" spans="1:6" ht="12.75">
      <c r="A53" s="12"/>
      <c r="B53" s="12"/>
      <c r="C53" s="10"/>
      <c r="D53" s="10"/>
      <c r="E53" s="10"/>
      <c r="F53" s="10"/>
    </row>
    <row r="54" spans="1:6" ht="12.75">
      <c r="A54" s="12"/>
      <c r="B54" s="12"/>
      <c r="C54" s="10"/>
      <c r="D54" s="10"/>
      <c r="E54" s="10"/>
      <c r="F54" s="10"/>
    </row>
    <row r="55" spans="1:6" ht="12.75">
      <c r="A55" s="12"/>
      <c r="B55" s="12"/>
      <c r="C55" s="10"/>
      <c r="D55" s="10"/>
      <c r="E55" s="10"/>
      <c r="F55" s="10"/>
    </row>
    <row r="56" spans="1:6" ht="12.75">
      <c r="A56" s="12"/>
      <c r="B56" s="12"/>
      <c r="C56" s="10"/>
      <c r="D56" s="10"/>
      <c r="E56" s="10"/>
      <c r="F56" s="10"/>
    </row>
    <row r="57" spans="1:6" ht="12.75">
      <c r="A57" s="12"/>
      <c r="B57" s="12"/>
      <c r="C57" s="10"/>
      <c r="D57" s="10"/>
      <c r="E57" s="10"/>
      <c r="F57" s="10"/>
    </row>
    <row r="58" spans="1:6" ht="12.75">
      <c r="A58" s="12"/>
      <c r="B58" s="12"/>
      <c r="C58" s="10"/>
      <c r="D58" s="10"/>
      <c r="E58" s="10"/>
      <c r="F58" s="10"/>
    </row>
    <row r="59" spans="1:6" ht="12.75">
      <c r="A59" s="12"/>
      <c r="B59" s="12"/>
      <c r="C59" s="10"/>
      <c r="D59" s="10"/>
      <c r="E59" s="10"/>
      <c r="F59" s="10"/>
    </row>
    <row r="60" spans="1:6" ht="12.75">
      <c r="A60" s="12"/>
      <c r="B60" s="12"/>
      <c r="C60" s="10"/>
      <c r="D60" s="10"/>
      <c r="E60" s="10"/>
      <c r="F60" s="10"/>
    </row>
    <row r="61" spans="1:6" ht="12.75">
      <c r="A61" s="12"/>
      <c r="B61" s="12"/>
      <c r="C61" s="10"/>
      <c r="D61" s="10"/>
      <c r="E61" s="10"/>
      <c r="F61" s="10"/>
    </row>
    <row r="62" spans="1:6" ht="12.75">
      <c r="A62" s="12"/>
      <c r="B62" s="12"/>
      <c r="C62" s="10"/>
      <c r="D62" s="10"/>
      <c r="E62" s="10"/>
      <c r="F62" s="10"/>
    </row>
    <row r="63" spans="1:6" ht="12.75">
      <c r="A63" s="12"/>
      <c r="B63" s="12"/>
      <c r="C63" s="10"/>
      <c r="D63" s="10"/>
      <c r="E63" s="10"/>
      <c r="F63" s="10"/>
    </row>
    <row r="64" spans="1:6" ht="12.75">
      <c r="A64" s="12"/>
      <c r="B64" s="12"/>
      <c r="C64" s="10"/>
      <c r="D64" s="10"/>
      <c r="E64" s="10"/>
      <c r="F64" s="10"/>
    </row>
    <row r="65" spans="1:6" ht="12.75">
      <c r="A65" s="12"/>
      <c r="B65" s="12"/>
      <c r="C65" s="10"/>
      <c r="D65" s="10"/>
      <c r="E65" s="10"/>
      <c r="F65" s="10"/>
    </row>
    <row r="66" spans="1:6" ht="12.75">
      <c r="A66" s="12"/>
      <c r="B66" s="12"/>
      <c r="C66" s="10"/>
      <c r="D66" s="10"/>
      <c r="E66" s="10"/>
      <c r="F66" s="10"/>
    </row>
    <row r="67" spans="1:6" ht="12.75">
      <c r="A67" s="12"/>
      <c r="B67" s="12"/>
      <c r="C67" s="10"/>
      <c r="D67" s="10"/>
      <c r="E67" s="10"/>
      <c r="F67" s="10"/>
    </row>
    <row r="68" spans="1:6" ht="12.75">
      <c r="A68" s="12"/>
      <c r="B68" s="12"/>
      <c r="C68" s="10"/>
      <c r="D68" s="10"/>
      <c r="E68" s="10"/>
      <c r="F68" s="10"/>
    </row>
    <row r="69" spans="1:6" ht="12.75">
      <c r="A69" s="12"/>
      <c r="B69" s="12"/>
      <c r="C69" s="10"/>
      <c r="D69" s="10"/>
      <c r="E69" s="10"/>
      <c r="F69" s="10"/>
    </row>
    <row r="70" spans="1:6" ht="12.75">
      <c r="A70" s="12"/>
      <c r="B70" s="12"/>
      <c r="C70" s="10"/>
      <c r="D70" s="10"/>
      <c r="E70" s="10"/>
      <c r="F70" s="10"/>
    </row>
    <row r="71" spans="1:6" ht="12.75">
      <c r="A71" s="12"/>
      <c r="B71" s="12"/>
      <c r="C71" s="10"/>
      <c r="D71" s="10"/>
      <c r="E71" s="10"/>
      <c r="F71" s="10"/>
    </row>
    <row r="72" spans="1:6" ht="12.75">
      <c r="A72" s="12"/>
      <c r="B72" s="12"/>
      <c r="C72" s="10"/>
      <c r="D72" s="10"/>
      <c r="E72" s="10"/>
      <c r="F72" s="10"/>
    </row>
    <row r="73" spans="1:6" ht="12.75">
      <c r="A73" s="12"/>
      <c r="B73" s="12"/>
      <c r="C73" s="10"/>
      <c r="D73" s="10"/>
      <c r="E73" s="10"/>
      <c r="F73" s="10"/>
    </row>
    <row r="74" spans="1:6" ht="12.75">
      <c r="A74" s="12"/>
      <c r="B74" s="12"/>
      <c r="C74" s="10"/>
      <c r="D74" s="10"/>
      <c r="E74" s="10"/>
      <c r="F74" s="10"/>
    </row>
    <row r="75" spans="1:6" ht="12.75">
      <c r="A75" s="12"/>
      <c r="B75" s="12"/>
      <c r="C75" s="10"/>
      <c r="D75" s="10"/>
      <c r="E75" s="10"/>
      <c r="F75" s="10"/>
    </row>
    <row r="76" spans="1:6" ht="12.75">
      <c r="A76" s="12"/>
      <c r="B76" s="12"/>
      <c r="C76" s="10"/>
      <c r="D76" s="10"/>
      <c r="E76" s="10"/>
      <c r="F76" s="10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100" zoomScalePageLayoutView="0" workbookViewId="0" topLeftCell="A25">
      <selection activeCell="G35" sqref="G35"/>
    </sheetView>
  </sheetViews>
  <sheetFormatPr defaultColWidth="9.00390625" defaultRowHeight="12.75"/>
  <cols>
    <col min="1" max="1" width="61.375" style="3" customWidth="1"/>
    <col min="2" max="4" width="15.75390625" style="3" customWidth="1"/>
    <col min="5" max="5" width="3.375" style="3" customWidth="1"/>
    <col min="6" max="16384" width="9.125" style="3" customWidth="1"/>
  </cols>
  <sheetData>
    <row r="1" ht="15.75">
      <c r="A1" s="85" t="s">
        <v>263</v>
      </c>
    </row>
    <row r="2" ht="15.75">
      <c r="A2" s="85" t="s">
        <v>264</v>
      </c>
    </row>
    <row r="3" spans="1:4" ht="15.75">
      <c r="A3" s="517" t="s">
        <v>23</v>
      </c>
      <c r="B3" s="517"/>
      <c r="C3" s="517"/>
      <c r="D3" s="517"/>
    </row>
    <row r="4" spans="1:4" ht="15.75">
      <c r="A4" s="517" t="s">
        <v>168</v>
      </c>
      <c r="B4" s="517"/>
      <c r="C4" s="517"/>
      <c r="D4" s="517"/>
    </row>
    <row r="5" spans="1:4" s="9" customFormat="1" ht="21" customHeight="1" thickBot="1">
      <c r="A5" s="516" t="s">
        <v>170</v>
      </c>
      <c r="B5" s="516"/>
      <c r="C5" s="516"/>
      <c r="D5" s="516"/>
    </row>
    <row r="6" spans="1:4" s="9" customFormat="1" ht="42" customHeight="1" thickBot="1">
      <c r="A6" s="65" t="s">
        <v>24</v>
      </c>
      <c r="B6" s="61" t="s">
        <v>169</v>
      </c>
      <c r="C6" s="178" t="s">
        <v>265</v>
      </c>
      <c r="D6" s="178" t="s">
        <v>266</v>
      </c>
    </row>
    <row r="7" spans="1:4" s="9" customFormat="1" ht="12.75">
      <c r="A7" s="57" t="s">
        <v>117</v>
      </c>
      <c r="B7" s="64">
        <f>B8+B9</f>
        <v>890978777</v>
      </c>
      <c r="C7" s="64">
        <f>C8+C9</f>
        <v>954732041</v>
      </c>
      <c r="D7" s="64">
        <f>D8+D9</f>
        <v>63753264</v>
      </c>
    </row>
    <row r="8" spans="1:4" s="9" customFormat="1" ht="12.75">
      <c r="A8" s="157" t="s">
        <v>114</v>
      </c>
      <c r="B8" s="77">
        <v>828336315</v>
      </c>
      <c r="C8" s="77">
        <v>850114232</v>
      </c>
      <c r="D8" s="77">
        <f>C8-B8</f>
        <v>21777917</v>
      </c>
    </row>
    <row r="9" spans="1:4" s="9" customFormat="1" ht="12.75">
      <c r="A9" s="157" t="s">
        <v>115</v>
      </c>
      <c r="B9" s="77">
        <v>62642462</v>
      </c>
      <c r="C9" s="77">
        <v>104617809</v>
      </c>
      <c r="D9" s="77">
        <f>C9-B9</f>
        <v>41975347</v>
      </c>
    </row>
    <row r="10" spans="1:4" s="9" customFormat="1" ht="12.75">
      <c r="A10" s="66" t="s">
        <v>66</v>
      </c>
      <c r="B10" s="19">
        <v>489859309</v>
      </c>
      <c r="C10" s="19">
        <v>489859309</v>
      </c>
      <c r="D10" s="19">
        <f>C10-B10</f>
        <v>0</v>
      </c>
    </row>
    <row r="11" spans="1:4" s="9" customFormat="1" ht="12.75">
      <c r="A11" s="66" t="s">
        <v>67</v>
      </c>
      <c r="B11" s="19">
        <v>258005190</v>
      </c>
      <c r="C11" s="19">
        <v>258005190</v>
      </c>
      <c r="D11" s="19">
        <f>C11-B11</f>
        <v>0</v>
      </c>
    </row>
    <row r="12" spans="1:4" s="9" customFormat="1" ht="13.5" thickBot="1">
      <c r="A12" s="69" t="s">
        <v>69</v>
      </c>
      <c r="B12" s="68">
        <v>28095435</v>
      </c>
      <c r="C12" s="68">
        <v>23980486</v>
      </c>
      <c r="D12" s="68">
        <f>C12-B12</f>
        <v>-4114949</v>
      </c>
    </row>
    <row r="13" spans="1:4" s="11" customFormat="1" ht="13.5" thickBot="1">
      <c r="A13" s="71" t="s">
        <v>99</v>
      </c>
      <c r="B13" s="21">
        <f>B7+B10+B11+B12</f>
        <v>1666938711</v>
      </c>
      <c r="C13" s="21">
        <f>C7+C10+C11+C12</f>
        <v>1726577026</v>
      </c>
      <c r="D13" s="21">
        <f>D7+D10+D11+D12</f>
        <v>59638315</v>
      </c>
    </row>
    <row r="14" spans="1:4" s="9" customFormat="1" ht="12.75">
      <c r="A14" s="57" t="s">
        <v>81</v>
      </c>
      <c r="B14" s="18">
        <f>B15+B16+B17</f>
        <v>41720075</v>
      </c>
      <c r="C14" s="18">
        <f>C15+C16+C17</f>
        <v>178335518</v>
      </c>
      <c r="D14" s="18">
        <f>D15+D16+D17</f>
        <v>136615443</v>
      </c>
    </row>
    <row r="15" spans="1:4" s="9" customFormat="1" ht="12.75">
      <c r="A15" s="154" t="s">
        <v>96</v>
      </c>
      <c r="B15" s="82">
        <v>0</v>
      </c>
      <c r="C15" s="82">
        <v>96301000</v>
      </c>
      <c r="D15" s="82">
        <f>C15-B15</f>
        <v>96301000</v>
      </c>
    </row>
    <row r="16" spans="1:4" s="9" customFormat="1" ht="12.75">
      <c r="A16" s="154" t="s">
        <v>231</v>
      </c>
      <c r="B16" s="82">
        <v>120075</v>
      </c>
      <c r="C16" s="82">
        <v>120075</v>
      </c>
      <c r="D16" s="82">
        <f>C16-B16</f>
        <v>0</v>
      </c>
    </row>
    <row r="17" spans="1:4" s="9" customFormat="1" ht="12.75">
      <c r="A17" s="154" t="s">
        <v>300</v>
      </c>
      <c r="B17" s="82">
        <v>41600000</v>
      </c>
      <c r="C17" s="82">
        <v>81914443</v>
      </c>
      <c r="D17" s="82">
        <f>C17-B17</f>
        <v>40314443</v>
      </c>
    </row>
    <row r="18" spans="1:4" s="9" customFormat="1" ht="12.75">
      <c r="A18" s="66" t="s">
        <v>68</v>
      </c>
      <c r="B18" s="19">
        <v>205340627</v>
      </c>
      <c r="C18" s="19">
        <v>183353173</v>
      </c>
      <c r="D18" s="19">
        <f>C18-B18</f>
        <v>-21987454</v>
      </c>
    </row>
    <row r="19" spans="1:4" s="9" customFormat="1" ht="12.75">
      <c r="A19" s="66" t="s">
        <v>59</v>
      </c>
      <c r="B19" s="19">
        <f>SUM(B20:B21)</f>
        <v>14294359</v>
      </c>
      <c r="C19" s="19">
        <f>SUM(C20:C21)</f>
        <v>14294359</v>
      </c>
      <c r="D19" s="19">
        <f>SUM(D20:D21)</f>
        <v>0</v>
      </c>
    </row>
    <row r="20" spans="1:4" s="9" customFormat="1" ht="12.75">
      <c r="A20" s="156" t="s">
        <v>97</v>
      </c>
      <c r="B20" s="77">
        <v>12815928</v>
      </c>
      <c r="C20" s="77">
        <v>12815928</v>
      </c>
      <c r="D20" s="77">
        <f>C20-B20</f>
        <v>0</v>
      </c>
    </row>
    <row r="21" spans="1:4" s="9" customFormat="1" ht="13.5" thickBot="1">
      <c r="A21" s="156" t="s">
        <v>116</v>
      </c>
      <c r="B21" s="81">
        <v>1478431</v>
      </c>
      <c r="C21" s="81">
        <v>1478431</v>
      </c>
      <c r="D21" s="81">
        <f>C21-B21</f>
        <v>0</v>
      </c>
    </row>
    <row r="22" spans="1:4" s="11" customFormat="1" ht="14.25" customHeight="1" thickBot="1">
      <c r="A22" s="71" t="s">
        <v>100</v>
      </c>
      <c r="B22" s="21">
        <f>B19+B18+B14</f>
        <v>261355061</v>
      </c>
      <c r="C22" s="21">
        <f>C19+C18+C14</f>
        <v>375983050</v>
      </c>
      <c r="D22" s="21">
        <f>D19+D18+D14</f>
        <v>114627989</v>
      </c>
    </row>
    <row r="23" spans="1:4" s="11" customFormat="1" ht="15.75" customHeight="1" thickBot="1">
      <c r="A23" s="73" t="s">
        <v>98</v>
      </c>
      <c r="B23" s="72">
        <f>B22+B13</f>
        <v>1928293772</v>
      </c>
      <c r="C23" s="72">
        <f>C22+C13</f>
        <v>2102560076</v>
      </c>
      <c r="D23" s="72">
        <f>D22+D13</f>
        <v>174266304</v>
      </c>
    </row>
    <row r="24" spans="1:4" s="9" customFormat="1" ht="12.75">
      <c r="A24" s="74" t="s">
        <v>65</v>
      </c>
      <c r="B24" s="64">
        <f>SUM(B25:B26)</f>
        <v>1369911367</v>
      </c>
      <c r="C24" s="64">
        <f>SUM(C25:C26)</f>
        <v>1467173842</v>
      </c>
      <c r="D24" s="64">
        <f>SUM(D25:D26)</f>
        <v>97262475</v>
      </c>
    </row>
    <row r="25" spans="1:4" s="9" customFormat="1" ht="12.75">
      <c r="A25" s="154" t="s">
        <v>101</v>
      </c>
      <c r="B25" s="77">
        <v>229179577</v>
      </c>
      <c r="C25" s="77">
        <f>326442052+1676400-419581</f>
        <v>327698871</v>
      </c>
      <c r="D25" s="77">
        <f>C25-B25</f>
        <v>98519294</v>
      </c>
    </row>
    <row r="26" spans="1:4" s="9" customFormat="1" ht="13.5" thickBot="1">
      <c r="A26" s="155" t="s">
        <v>102</v>
      </c>
      <c r="B26" s="78">
        <v>1140731790</v>
      </c>
      <c r="C26" s="78">
        <f>1140731790-1676400+419581</f>
        <v>1139474971</v>
      </c>
      <c r="D26" s="78">
        <f>C26-B26</f>
        <v>-1256819</v>
      </c>
    </row>
    <row r="27" spans="1:4" s="11" customFormat="1" ht="15.75" customHeight="1" thickBot="1">
      <c r="A27" s="71" t="s">
        <v>103</v>
      </c>
      <c r="B27" s="21">
        <f>SUM(B24)</f>
        <v>1369911367</v>
      </c>
      <c r="C27" s="21">
        <f>SUM(C24)</f>
        <v>1467173842</v>
      </c>
      <c r="D27" s="21">
        <f>SUM(D24)</f>
        <v>97262475</v>
      </c>
    </row>
    <row r="28" spans="1:4" s="11" customFormat="1" ht="15.75" customHeight="1" thickBot="1">
      <c r="A28" s="67" t="s">
        <v>25</v>
      </c>
      <c r="B28" s="22">
        <f>B13+B22+B24</f>
        <v>3298205139</v>
      </c>
      <c r="C28" s="22">
        <f>C13+C22+C24</f>
        <v>3569733918</v>
      </c>
      <c r="D28" s="22">
        <f>D13+D22+D24</f>
        <v>271528779</v>
      </c>
    </row>
    <row r="29" s="9" customFormat="1" ht="12.75"/>
    <row r="30" spans="1:4" s="9" customFormat="1" ht="13.5" thickBot="1">
      <c r="A30" s="516" t="s">
        <v>171</v>
      </c>
      <c r="B30" s="516"/>
      <c r="C30" s="516"/>
      <c r="D30" s="516"/>
    </row>
    <row r="31" spans="1:4" s="9" customFormat="1" ht="45" customHeight="1" thickBot="1">
      <c r="A31" s="60" t="s">
        <v>24</v>
      </c>
      <c r="B31" s="56" t="s">
        <v>169</v>
      </c>
      <c r="C31" s="178" t="s">
        <v>265</v>
      </c>
      <c r="D31" s="178" t="s">
        <v>266</v>
      </c>
    </row>
    <row r="32" spans="1:4" s="9" customFormat="1" ht="12.75">
      <c r="A32" s="57" t="s">
        <v>26</v>
      </c>
      <c r="B32" s="18">
        <v>735842951</v>
      </c>
      <c r="C32" s="18">
        <v>765651318</v>
      </c>
      <c r="D32" s="18">
        <f>C32-B32</f>
        <v>29808367</v>
      </c>
    </row>
    <row r="33" spans="1:4" s="9" customFormat="1" ht="12.75">
      <c r="A33" s="66" t="s">
        <v>27</v>
      </c>
      <c r="B33" s="19">
        <v>164004809</v>
      </c>
      <c r="C33" s="19">
        <v>171148292</v>
      </c>
      <c r="D33" s="19">
        <f>C33-B33</f>
        <v>7143483</v>
      </c>
    </row>
    <row r="34" spans="1:4" s="9" customFormat="1" ht="12.75">
      <c r="A34" s="66" t="s">
        <v>15</v>
      </c>
      <c r="B34" s="19">
        <v>854234071</v>
      </c>
      <c r="C34" s="19">
        <v>936173806</v>
      </c>
      <c r="D34" s="19">
        <f>C34-B34</f>
        <v>81939735</v>
      </c>
    </row>
    <row r="35" spans="1:4" s="9" customFormat="1" ht="12.75">
      <c r="A35" s="66" t="s">
        <v>28</v>
      </c>
      <c r="B35" s="19">
        <v>24500000</v>
      </c>
      <c r="C35" s="19">
        <v>24500000</v>
      </c>
      <c r="D35" s="19">
        <f>C35-B35</f>
        <v>0</v>
      </c>
    </row>
    <row r="36" spans="1:4" s="9" customFormat="1" ht="12.75">
      <c r="A36" s="66" t="s">
        <v>118</v>
      </c>
      <c r="B36" s="19">
        <f>SUM(B37:B40)</f>
        <v>88986530</v>
      </c>
      <c r="C36" s="19">
        <f>SUM(C37:C40)</f>
        <v>148566997</v>
      </c>
      <c r="D36" s="19">
        <f>SUM(D37:D40)</f>
        <v>59580467</v>
      </c>
    </row>
    <row r="37" spans="1:4" s="9" customFormat="1" ht="12.75">
      <c r="A37" s="154" t="s">
        <v>104</v>
      </c>
      <c r="B37" s="77">
        <v>0</v>
      </c>
      <c r="C37" s="77">
        <v>16017886</v>
      </c>
      <c r="D37" s="77">
        <f>C37-B37</f>
        <v>16017886</v>
      </c>
    </row>
    <row r="38" spans="1:4" s="9" customFormat="1" ht="12.75">
      <c r="A38" s="154" t="s">
        <v>106</v>
      </c>
      <c r="B38" s="77">
        <v>4103300</v>
      </c>
      <c r="C38" s="77">
        <v>4162918</v>
      </c>
      <c r="D38" s="77">
        <f>C38-B38</f>
        <v>59618</v>
      </c>
    </row>
    <row r="39" spans="1:4" s="9" customFormat="1" ht="12.75">
      <c r="A39" s="154" t="s">
        <v>105</v>
      </c>
      <c r="B39" s="77">
        <v>53083516</v>
      </c>
      <c r="C39" s="77">
        <v>55798036</v>
      </c>
      <c r="D39" s="77">
        <f>C39-B39</f>
        <v>2714520</v>
      </c>
    </row>
    <row r="40" spans="1:4" s="9" customFormat="1" ht="13.5" thickBot="1">
      <c r="A40" s="154" t="s">
        <v>119</v>
      </c>
      <c r="B40" s="20">
        <v>31799714</v>
      </c>
      <c r="C40" s="20">
        <v>72588157</v>
      </c>
      <c r="D40" s="20">
        <f>C40-B40</f>
        <v>40788443</v>
      </c>
    </row>
    <row r="41" spans="1:4" s="9" customFormat="1" ht="13.5" thickBot="1">
      <c r="A41" s="71" t="s">
        <v>110</v>
      </c>
      <c r="B41" s="21">
        <f>B32+B33+B34+B35+B36</f>
        <v>1867568361</v>
      </c>
      <c r="C41" s="21">
        <f>C32+C33+C34+C35+C36</f>
        <v>2046040413</v>
      </c>
      <c r="D41" s="21">
        <f>D32+D33+D34+D35+D36</f>
        <v>178472052</v>
      </c>
    </row>
    <row r="42" spans="1:4" s="9" customFormat="1" ht="12.75">
      <c r="A42" s="57" t="s">
        <v>58</v>
      </c>
      <c r="B42" s="19">
        <v>1285231319</v>
      </c>
      <c r="C42" s="19">
        <v>1316623423</v>
      </c>
      <c r="D42" s="19">
        <f>C42-B42</f>
        <v>31392104</v>
      </c>
    </row>
    <row r="43" spans="1:4" s="9" customFormat="1" ht="12.75">
      <c r="A43" s="75" t="s">
        <v>17</v>
      </c>
      <c r="B43" s="18">
        <v>104421475</v>
      </c>
      <c r="C43" s="18">
        <v>166086098</v>
      </c>
      <c r="D43" s="18">
        <f>C43-B43</f>
        <v>61664623</v>
      </c>
    </row>
    <row r="44" spans="1:4" s="9" customFormat="1" ht="12.75">
      <c r="A44" s="66" t="s">
        <v>87</v>
      </c>
      <c r="B44" s="19">
        <f>SUM(B45:B47)</f>
        <v>12434057</v>
      </c>
      <c r="C44" s="19">
        <f>SUM(C45:C47)</f>
        <v>12434057</v>
      </c>
      <c r="D44" s="19">
        <f>SUM(D45:D47)</f>
        <v>0</v>
      </c>
    </row>
    <row r="45" spans="1:4" s="9" customFormat="1" ht="12.75">
      <c r="A45" s="154" t="s">
        <v>107</v>
      </c>
      <c r="B45" s="77">
        <v>1165207</v>
      </c>
      <c r="C45" s="77">
        <v>1165207</v>
      </c>
      <c r="D45" s="77">
        <f>C45-B45</f>
        <v>0</v>
      </c>
    </row>
    <row r="46" spans="1:4" s="9" customFormat="1" ht="12.75">
      <c r="A46" s="154" t="s">
        <v>108</v>
      </c>
      <c r="B46" s="77">
        <v>5802000</v>
      </c>
      <c r="C46" s="77">
        <v>5802000</v>
      </c>
      <c r="D46" s="77">
        <f>C46-B46</f>
        <v>0</v>
      </c>
    </row>
    <row r="47" spans="1:4" s="9" customFormat="1" ht="13.5" thickBot="1">
      <c r="A47" s="154" t="s">
        <v>109</v>
      </c>
      <c r="B47" s="78">
        <v>5466850</v>
      </c>
      <c r="C47" s="78">
        <v>5466850</v>
      </c>
      <c r="D47" s="78">
        <f>C47-B47</f>
        <v>0</v>
      </c>
    </row>
    <row r="48" spans="1:4" s="9" customFormat="1" ht="13.5" thickBot="1">
      <c r="A48" s="71" t="s">
        <v>111</v>
      </c>
      <c r="B48" s="21">
        <f>B42+B43+B44</f>
        <v>1402086851</v>
      </c>
      <c r="C48" s="21">
        <f>C42+C43+C44</f>
        <v>1495143578</v>
      </c>
      <c r="D48" s="21">
        <f>D42+D43+D44</f>
        <v>93056727</v>
      </c>
    </row>
    <row r="49" spans="1:4" s="11" customFormat="1" ht="15.75" customHeight="1" thickBot="1">
      <c r="A49" s="73" t="s">
        <v>112</v>
      </c>
      <c r="B49" s="72">
        <f>B48+B41</f>
        <v>3269655212</v>
      </c>
      <c r="C49" s="72">
        <f>C48+C41</f>
        <v>3541183991</v>
      </c>
      <c r="D49" s="72">
        <f>D48+D41</f>
        <v>271528779</v>
      </c>
    </row>
    <row r="50" spans="1:4" s="9" customFormat="1" ht="15.75" customHeight="1" thickBot="1">
      <c r="A50" s="84" t="s">
        <v>113</v>
      </c>
      <c r="B50" s="83">
        <v>28549927</v>
      </c>
      <c r="C50" s="83">
        <v>28549927</v>
      </c>
      <c r="D50" s="83">
        <f>C50-B50</f>
        <v>0</v>
      </c>
    </row>
    <row r="51" spans="1:5" s="11" customFormat="1" ht="15.75" customHeight="1" thickBot="1">
      <c r="A51" s="67" t="s">
        <v>29</v>
      </c>
      <c r="B51" s="22">
        <f>B50+B49</f>
        <v>3298205139</v>
      </c>
      <c r="C51" s="22">
        <f>C50+C49</f>
        <v>3569733918</v>
      </c>
      <c r="D51" s="22">
        <f>D50+D49</f>
        <v>271528779</v>
      </c>
      <c r="E51" s="11" t="s">
        <v>269</v>
      </c>
    </row>
    <row r="54" spans="1:4" ht="15.75">
      <c r="A54" s="4"/>
      <c r="B54" s="4"/>
      <c r="C54" s="4"/>
      <c r="D54" s="4"/>
    </row>
  </sheetData>
  <sheetProtection/>
  <mergeCells count="4">
    <mergeCell ref="A5:D5"/>
    <mergeCell ref="A30:D30"/>
    <mergeCell ref="A3:D3"/>
    <mergeCell ref="A4:D4"/>
  </mergeCells>
  <printOptions/>
  <pageMargins left="0" right="0" top="0.6692913385826772" bottom="0.7086614173228347" header="0.5118110236220472" footer="0.5118110236220472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32" customWidth="1"/>
    <col min="2" max="2" width="92.875" style="32" customWidth="1"/>
    <col min="3" max="4" width="14.75390625" style="31" customWidth="1"/>
    <col min="5" max="5" width="12.375" style="31" bestFit="1" customWidth="1"/>
    <col min="6" max="16384" width="9.125" style="32" customWidth="1"/>
  </cols>
  <sheetData>
    <row r="1" spans="1:2" ht="13.5">
      <c r="A1" s="85" t="s">
        <v>324</v>
      </c>
      <c r="B1" s="85"/>
    </row>
    <row r="2" spans="1:5" s="29" customFormat="1" ht="15" customHeight="1">
      <c r="A2" s="30"/>
      <c r="B2" s="30" t="s">
        <v>268</v>
      </c>
      <c r="C2" s="28"/>
      <c r="D2" s="28"/>
      <c r="E2" s="28"/>
    </row>
    <row r="3" spans="1:5" s="29" customFormat="1" ht="9" customHeight="1">
      <c r="A3" s="30"/>
      <c r="B3" s="30"/>
      <c r="C3" s="28"/>
      <c r="D3" s="28"/>
      <c r="E3" s="28"/>
    </row>
    <row r="4" spans="1:5" ht="12.75">
      <c r="A4" s="518" t="s">
        <v>158</v>
      </c>
      <c r="B4" s="518"/>
      <c r="C4" s="518"/>
      <c r="D4" s="179"/>
      <c r="E4" s="179"/>
    </row>
    <row r="5" spans="2:5" s="33" customFormat="1" ht="34.5">
      <c r="B5" s="33" t="s">
        <v>0</v>
      </c>
      <c r="C5" s="34" t="s">
        <v>159</v>
      </c>
      <c r="D5" s="34" t="s">
        <v>270</v>
      </c>
      <c r="E5" s="180" t="s">
        <v>271</v>
      </c>
    </row>
    <row r="6" spans="1:5" s="36" customFormat="1" ht="12.75">
      <c r="A6" s="51" t="s">
        <v>160</v>
      </c>
      <c r="B6" s="51"/>
      <c r="C6" s="51"/>
      <c r="D6" s="51"/>
      <c r="E6" s="51"/>
    </row>
    <row r="7" spans="2:5" s="37" customFormat="1" ht="12.75" customHeight="1">
      <c r="B7" s="38" t="s">
        <v>237</v>
      </c>
      <c r="C7" s="39">
        <f>C8+C9+C14+C17+C15+C16+C19+C18</f>
        <v>251927795</v>
      </c>
      <c r="D7" s="39">
        <f>D8+D9+D14+D17+D15+D16+D19+D18</f>
        <v>252452151</v>
      </c>
      <c r="E7" s="39">
        <f aca="true" t="shared" si="0" ref="E7:E46">D7-C7</f>
        <v>524356</v>
      </c>
    </row>
    <row r="8" spans="2:5" ht="12.75" customHeight="1">
      <c r="B8" s="40" t="s">
        <v>36</v>
      </c>
      <c r="C8" s="31">
        <v>160666400</v>
      </c>
      <c r="D8" s="31">
        <v>160666400</v>
      </c>
      <c r="E8" s="31">
        <f t="shared" si="0"/>
        <v>0</v>
      </c>
    </row>
    <row r="9" spans="2:5" ht="12.75" customHeight="1">
      <c r="B9" s="41" t="s">
        <v>37</v>
      </c>
      <c r="C9" s="31">
        <f>C10+C11+C12+C13</f>
        <v>73192055</v>
      </c>
      <c r="D9" s="31">
        <f>D10+D11+D12+D13</f>
        <v>73192055</v>
      </c>
      <c r="E9" s="31">
        <f t="shared" si="0"/>
        <v>0</v>
      </c>
    </row>
    <row r="10" spans="2:5" ht="12.75" customHeight="1">
      <c r="B10" s="42" t="s">
        <v>56</v>
      </c>
      <c r="C10" s="31">
        <v>3213027</v>
      </c>
      <c r="D10" s="31">
        <v>3213027</v>
      </c>
      <c r="E10" s="31">
        <f t="shared" si="0"/>
        <v>0</v>
      </c>
    </row>
    <row r="11" spans="2:5" ht="12.75" customHeight="1">
      <c r="B11" s="43" t="s">
        <v>55</v>
      </c>
      <c r="C11" s="31">
        <v>45640000</v>
      </c>
      <c r="D11" s="31">
        <v>45640000</v>
      </c>
      <c r="E11" s="31">
        <f t="shared" si="0"/>
        <v>0</v>
      </c>
    </row>
    <row r="12" spans="2:5" ht="12.75" customHeight="1">
      <c r="B12" s="43" t="s">
        <v>54</v>
      </c>
      <c r="C12" s="31">
        <v>3588728</v>
      </c>
      <c r="D12" s="31">
        <v>3588728</v>
      </c>
      <c r="E12" s="31">
        <f t="shared" si="0"/>
        <v>0</v>
      </c>
    </row>
    <row r="13" spans="2:5" ht="12.75" customHeight="1">
      <c r="B13" s="43" t="s">
        <v>72</v>
      </c>
      <c r="C13" s="31">
        <v>20750300</v>
      </c>
      <c r="D13" s="31">
        <v>20750300</v>
      </c>
      <c r="E13" s="31">
        <f t="shared" si="0"/>
        <v>0</v>
      </c>
    </row>
    <row r="14" spans="2:5" ht="12.75" customHeight="1">
      <c r="B14" s="40" t="s">
        <v>73</v>
      </c>
      <c r="C14" s="31">
        <v>0</v>
      </c>
      <c r="D14" s="31">
        <v>0</v>
      </c>
      <c r="E14" s="31">
        <f t="shared" si="0"/>
        <v>0</v>
      </c>
    </row>
    <row r="15" spans="2:5" ht="12.75" customHeight="1">
      <c r="B15" s="40" t="s">
        <v>74</v>
      </c>
      <c r="C15" s="31">
        <v>0</v>
      </c>
      <c r="D15" s="31">
        <v>0</v>
      </c>
      <c r="E15" s="31">
        <f t="shared" si="0"/>
        <v>0</v>
      </c>
    </row>
    <row r="16" spans="2:5" ht="12.75" customHeight="1">
      <c r="B16" s="40" t="s">
        <v>75</v>
      </c>
      <c r="C16" s="31">
        <v>16020640</v>
      </c>
      <c r="D16" s="31">
        <v>16020640</v>
      </c>
      <c r="E16" s="31">
        <f t="shared" si="0"/>
        <v>0</v>
      </c>
    </row>
    <row r="17" spans="2:5" ht="12.75" customHeight="1">
      <c r="B17" s="40" t="s">
        <v>49</v>
      </c>
      <c r="C17" s="31">
        <v>0</v>
      </c>
      <c r="D17" s="31">
        <v>0</v>
      </c>
      <c r="E17" s="31">
        <f t="shared" si="0"/>
        <v>0</v>
      </c>
    </row>
    <row r="18" spans="2:5" ht="12.75" customHeight="1">
      <c r="B18" s="40" t="s">
        <v>290</v>
      </c>
      <c r="C18" s="31">
        <v>0</v>
      </c>
      <c r="D18" s="31">
        <v>524356</v>
      </c>
      <c r="E18" s="31">
        <f t="shared" si="0"/>
        <v>524356</v>
      </c>
    </row>
    <row r="19" spans="2:5" ht="12.75" customHeight="1">
      <c r="B19" s="40" t="s">
        <v>161</v>
      </c>
      <c r="C19" s="31">
        <v>2048700</v>
      </c>
      <c r="D19" s="31">
        <v>2048700</v>
      </c>
      <c r="E19" s="31">
        <f t="shared" si="0"/>
        <v>0</v>
      </c>
    </row>
    <row r="20" spans="2:5" ht="12.75" customHeight="1">
      <c r="B20" s="44" t="s">
        <v>40</v>
      </c>
      <c r="C20" s="45">
        <f>C21+C22+C24+C23</f>
        <v>243584034</v>
      </c>
      <c r="D20" s="45">
        <f>D21+D22+D24+D23</f>
        <v>244508034</v>
      </c>
      <c r="E20" s="45">
        <f t="shared" si="0"/>
        <v>924000</v>
      </c>
    </row>
    <row r="21" spans="2:5" ht="12.75" customHeight="1">
      <c r="B21" s="46" t="s">
        <v>76</v>
      </c>
      <c r="C21" s="31">
        <f>102226200+51260400+35280000+17640000</f>
        <v>206406600</v>
      </c>
      <c r="D21" s="31">
        <f>102226200+51260400+35280000+17640000</f>
        <v>206406600</v>
      </c>
      <c r="E21" s="31">
        <f t="shared" si="0"/>
        <v>0</v>
      </c>
    </row>
    <row r="22" spans="2:5" ht="12.75" customHeight="1">
      <c r="B22" s="47" t="s">
        <v>47</v>
      </c>
      <c r="C22" s="31">
        <f>20969667+10593767</f>
        <v>31563434</v>
      </c>
      <c r="D22" s="31">
        <f>20969667+10593767</f>
        <v>31563434</v>
      </c>
      <c r="E22" s="31">
        <f t="shared" si="0"/>
        <v>0</v>
      </c>
    </row>
    <row r="23" spans="2:5" ht="12.75" customHeight="1">
      <c r="B23" s="40" t="s">
        <v>141</v>
      </c>
      <c r="C23" s="31">
        <v>5614000</v>
      </c>
      <c r="D23" s="31">
        <v>5614000</v>
      </c>
      <c r="E23" s="31">
        <f t="shared" si="0"/>
        <v>0</v>
      </c>
    </row>
    <row r="24" spans="2:5" ht="12.75" customHeight="1">
      <c r="B24" s="40" t="s">
        <v>285</v>
      </c>
      <c r="C24" s="31">
        <v>0</v>
      </c>
      <c r="D24" s="31">
        <v>924000</v>
      </c>
      <c r="E24" s="31">
        <f t="shared" si="0"/>
        <v>924000</v>
      </c>
    </row>
    <row r="25" spans="2:5" ht="12.75" customHeight="1">
      <c r="B25" s="44" t="s">
        <v>41</v>
      </c>
      <c r="C25" s="45">
        <f>SUM(C26:C34)</f>
        <v>289515396</v>
      </c>
      <c r="D25" s="45">
        <f>SUM(D26:D34)</f>
        <v>300389198</v>
      </c>
      <c r="E25" s="45">
        <f t="shared" si="0"/>
        <v>10873802</v>
      </c>
    </row>
    <row r="26" spans="2:5" ht="12.75" customHeight="1">
      <c r="B26" s="40" t="s">
        <v>286</v>
      </c>
      <c r="C26" s="31">
        <v>0</v>
      </c>
      <c r="D26" s="31">
        <v>10873802</v>
      </c>
      <c r="E26" s="31">
        <f t="shared" si="0"/>
        <v>10873802</v>
      </c>
    </row>
    <row r="27" spans="2:5" ht="12.75" customHeight="1">
      <c r="B27" s="40" t="s">
        <v>77</v>
      </c>
      <c r="C27" s="31">
        <v>34272000</v>
      </c>
      <c r="D27" s="31">
        <v>34272000</v>
      </c>
      <c r="E27" s="31">
        <f t="shared" si="0"/>
        <v>0</v>
      </c>
    </row>
    <row r="28" spans="2:5" ht="12.75" customHeight="1">
      <c r="B28" s="40" t="s">
        <v>78</v>
      </c>
      <c r="C28" s="31">
        <f>8500000+11550000+4539520+6600000+6431000+8656200+12250000</f>
        <v>58526720</v>
      </c>
      <c r="D28" s="31">
        <f>8500000+11550000+4539520+6600000+6431000+8656200+12250000</f>
        <v>58526720</v>
      </c>
      <c r="E28" s="31">
        <f t="shared" si="0"/>
        <v>0</v>
      </c>
    </row>
    <row r="29" spans="2:5" ht="26.25" customHeight="1">
      <c r="B29" s="40" t="s">
        <v>79</v>
      </c>
      <c r="C29" s="31">
        <f>22784000+3597000</f>
        <v>26381000</v>
      </c>
      <c r="D29" s="31">
        <f>22784000+3597000</f>
        <v>26381000</v>
      </c>
      <c r="E29" s="31">
        <f t="shared" si="0"/>
        <v>0</v>
      </c>
    </row>
    <row r="30" spans="2:5" ht="12.75" customHeight="1">
      <c r="B30" s="40" t="s">
        <v>51</v>
      </c>
      <c r="C30" s="31">
        <v>58482000</v>
      </c>
      <c r="D30" s="31">
        <v>58482000</v>
      </c>
      <c r="E30" s="31">
        <f t="shared" si="0"/>
        <v>0</v>
      </c>
    </row>
    <row r="31" spans="2:5" ht="12.75" customHeight="1">
      <c r="B31" s="40" t="s">
        <v>50</v>
      </c>
      <c r="C31" s="31">
        <v>88945076</v>
      </c>
      <c r="D31" s="31">
        <v>88945076</v>
      </c>
      <c r="E31" s="31">
        <f t="shared" si="0"/>
        <v>0</v>
      </c>
    </row>
    <row r="32" spans="2:5" ht="12.75" customHeight="1">
      <c r="B32" s="40" t="s">
        <v>162</v>
      </c>
      <c r="C32" s="31">
        <v>8838000</v>
      </c>
      <c r="D32" s="31">
        <v>8838000</v>
      </c>
      <c r="E32" s="31">
        <f t="shared" si="0"/>
        <v>0</v>
      </c>
    </row>
    <row r="33" spans="2:5" ht="12.75" customHeight="1">
      <c r="B33" s="40" t="s">
        <v>163</v>
      </c>
      <c r="C33" s="31">
        <v>6584600</v>
      </c>
      <c r="D33" s="31">
        <v>6584600</v>
      </c>
      <c r="E33" s="31">
        <f t="shared" si="0"/>
        <v>0</v>
      </c>
    </row>
    <row r="34" spans="2:5" ht="12.75" customHeight="1">
      <c r="B34" s="40" t="s">
        <v>164</v>
      </c>
      <c r="C34" s="31">
        <v>7486000</v>
      </c>
      <c r="D34" s="31">
        <v>7486000</v>
      </c>
      <c r="E34" s="31">
        <f t="shared" si="0"/>
        <v>0</v>
      </c>
    </row>
    <row r="35" spans="2:5" ht="12.75" customHeight="1">
      <c r="B35" s="44" t="s">
        <v>52</v>
      </c>
      <c r="C35" s="45">
        <f>SUM(C36:C39)</f>
        <v>43309090</v>
      </c>
      <c r="D35" s="45">
        <f>SUM(D36:D39)</f>
        <v>49049185</v>
      </c>
      <c r="E35" s="45">
        <f t="shared" si="0"/>
        <v>5740095</v>
      </c>
    </row>
    <row r="36" spans="2:5" ht="12.75" customHeight="1">
      <c r="B36" s="40" t="s">
        <v>57</v>
      </c>
      <c r="C36" s="31">
        <v>13829090</v>
      </c>
      <c r="D36" s="31">
        <v>13829090</v>
      </c>
      <c r="E36" s="31">
        <f t="shared" si="0"/>
        <v>0</v>
      </c>
    </row>
    <row r="37" spans="2:5" ht="12.75" customHeight="1">
      <c r="B37" s="40" t="s">
        <v>42</v>
      </c>
      <c r="C37" s="31">
        <v>29480000</v>
      </c>
      <c r="D37" s="31">
        <v>29480000</v>
      </c>
      <c r="E37" s="31">
        <f t="shared" si="0"/>
        <v>0</v>
      </c>
    </row>
    <row r="38" spans="2:5" ht="12.75" customHeight="1">
      <c r="B38" s="40" t="s">
        <v>319</v>
      </c>
      <c r="C38" s="31">
        <v>0</v>
      </c>
      <c r="D38" s="31">
        <v>1895435</v>
      </c>
      <c r="E38" s="31">
        <f t="shared" si="0"/>
        <v>1895435</v>
      </c>
    </row>
    <row r="39" spans="2:5" ht="12.75" customHeight="1">
      <c r="B39" s="40" t="s">
        <v>287</v>
      </c>
      <c r="C39" s="31">
        <v>0</v>
      </c>
      <c r="D39" s="31">
        <v>3844660</v>
      </c>
      <c r="E39" s="31">
        <f t="shared" si="0"/>
        <v>3844660</v>
      </c>
    </row>
    <row r="40" spans="2:5" ht="12.75" customHeight="1">
      <c r="B40" s="44" t="s">
        <v>48</v>
      </c>
      <c r="C40" s="45">
        <v>-41507133</v>
      </c>
      <c r="D40" s="45">
        <v>-41507133</v>
      </c>
      <c r="E40" s="45">
        <f t="shared" si="0"/>
        <v>0</v>
      </c>
    </row>
    <row r="41" spans="2:5" s="49" customFormat="1" ht="16.5" customHeight="1">
      <c r="B41" s="52" t="s">
        <v>38</v>
      </c>
      <c r="C41" s="53">
        <f>C7+C20+C25+C35</f>
        <v>828336315</v>
      </c>
      <c r="D41" s="53">
        <f>D7+D20+D25+D35</f>
        <v>846398568</v>
      </c>
      <c r="E41" s="53">
        <f t="shared" si="0"/>
        <v>18062253</v>
      </c>
    </row>
    <row r="42" spans="1:6" s="50" customFormat="1" ht="17.25" customHeight="1">
      <c r="A42" s="51" t="s">
        <v>293</v>
      </c>
      <c r="B42" s="48"/>
      <c r="C42" s="488">
        <f>SUM(C44:C44)</f>
        <v>0</v>
      </c>
      <c r="D42" s="488">
        <f>D43</f>
        <v>3715664</v>
      </c>
      <c r="E42" s="488">
        <f t="shared" si="0"/>
        <v>3715664</v>
      </c>
      <c r="F42" s="48"/>
    </row>
    <row r="43" spans="2:5" s="37" customFormat="1" ht="12.75" customHeight="1">
      <c r="B43" s="38" t="s">
        <v>291</v>
      </c>
      <c r="C43" s="39">
        <f>SUM(C44:C45)</f>
        <v>0</v>
      </c>
      <c r="D43" s="39">
        <f>SUM(D44:D45)</f>
        <v>3715664</v>
      </c>
      <c r="E43" s="39">
        <f t="shared" si="0"/>
        <v>3715664</v>
      </c>
    </row>
    <row r="44" spans="1:6" s="50" customFormat="1" ht="15">
      <c r="A44" s="51"/>
      <c r="B44" s="40" t="s">
        <v>295</v>
      </c>
      <c r="C44" s="31"/>
      <c r="D44" s="31">
        <v>2315264</v>
      </c>
      <c r="E44" s="31">
        <f t="shared" si="0"/>
        <v>2315264</v>
      </c>
      <c r="F44" s="48"/>
    </row>
    <row r="45" spans="1:6" ht="14.25">
      <c r="A45" s="48"/>
      <c r="B45" s="46" t="s">
        <v>296</v>
      </c>
      <c r="C45" s="48"/>
      <c r="D45" s="489">
        <v>1400400</v>
      </c>
      <c r="E45" s="489">
        <f t="shared" si="0"/>
        <v>1400400</v>
      </c>
      <c r="F45" s="48"/>
    </row>
    <row r="46" spans="1:5" s="35" customFormat="1" ht="31.5">
      <c r="A46" s="54"/>
      <c r="B46" s="490" t="s">
        <v>294</v>
      </c>
      <c r="C46" s="55">
        <f>C42+C41</f>
        <v>828336315</v>
      </c>
      <c r="D46" s="55">
        <f>D42+D41</f>
        <v>850114232</v>
      </c>
      <c r="E46" s="55">
        <f t="shared" si="0"/>
        <v>21777917</v>
      </c>
    </row>
    <row r="47" ht="16.5" customHeight="1"/>
    <row r="48" spans="1:6" s="50" customFormat="1" ht="17.25" customHeight="1">
      <c r="A48" s="51" t="s">
        <v>293</v>
      </c>
      <c r="B48" s="48"/>
      <c r="C48" s="488">
        <f>SUM(C49)</f>
        <v>0</v>
      </c>
      <c r="D48" s="488">
        <f>SUM(D49)</f>
        <v>96301000</v>
      </c>
      <c r="E48" s="488">
        <f aca="true" t="shared" si="1" ref="E48:E54">D48-C48</f>
        <v>96301000</v>
      </c>
      <c r="F48" s="48"/>
    </row>
    <row r="49" spans="2:5" s="37" customFormat="1" ht="12.75" customHeight="1">
      <c r="B49" s="38" t="s">
        <v>292</v>
      </c>
      <c r="C49" s="39">
        <f>SUM(C50:C53)</f>
        <v>0</v>
      </c>
      <c r="D49" s="39">
        <f>SUM(D50:D53)</f>
        <v>96301000</v>
      </c>
      <c r="E49" s="39">
        <f t="shared" si="1"/>
        <v>96301000</v>
      </c>
    </row>
    <row r="50" spans="1:6" s="50" customFormat="1" ht="15">
      <c r="A50" s="51"/>
      <c r="B50" s="40" t="s">
        <v>299</v>
      </c>
      <c r="C50" s="31">
        <v>0</v>
      </c>
      <c r="D50" s="31">
        <v>85750000</v>
      </c>
      <c r="E50" s="31">
        <f t="shared" si="1"/>
        <v>85750000</v>
      </c>
      <c r="F50" s="48"/>
    </row>
    <row r="51" spans="1:6" s="50" customFormat="1" ht="15">
      <c r="A51" s="51"/>
      <c r="B51" s="40" t="s">
        <v>297</v>
      </c>
      <c r="C51" s="31">
        <v>0</v>
      </c>
      <c r="D51" s="31">
        <v>10551000</v>
      </c>
      <c r="E51" s="31">
        <f t="shared" si="1"/>
        <v>10551000</v>
      </c>
      <c r="F51" s="48"/>
    </row>
    <row r="52" spans="1:6" s="50" customFormat="1" ht="15">
      <c r="A52" s="51"/>
      <c r="B52" s="491"/>
      <c r="C52" s="31">
        <v>0</v>
      </c>
      <c r="D52" s="31">
        <v>0</v>
      </c>
      <c r="E52" s="31">
        <f t="shared" si="1"/>
        <v>0</v>
      </c>
      <c r="F52" s="48"/>
    </row>
    <row r="53" spans="1:6" s="50" customFormat="1" ht="15">
      <c r="A53" s="51"/>
      <c r="B53" s="491"/>
      <c r="C53" s="31">
        <v>0</v>
      </c>
      <c r="D53" s="31">
        <v>0</v>
      </c>
      <c r="E53" s="31">
        <f t="shared" si="1"/>
        <v>0</v>
      </c>
      <c r="F53" s="48"/>
    </row>
    <row r="54" spans="1:5" s="35" customFormat="1" ht="18" customHeight="1">
      <c r="A54" s="54"/>
      <c r="B54" s="54" t="s">
        <v>298</v>
      </c>
      <c r="C54" s="55">
        <f>C48</f>
        <v>0</v>
      </c>
      <c r="D54" s="55">
        <f>D48</f>
        <v>96301000</v>
      </c>
      <c r="E54" s="55">
        <f t="shared" si="1"/>
        <v>96301000</v>
      </c>
    </row>
    <row r="55" spans="3:5" s="35" customFormat="1" ht="18" customHeight="1">
      <c r="C55" s="492"/>
      <c r="D55" s="492"/>
      <c r="E55" s="492"/>
    </row>
    <row r="56" spans="1:6" s="50" customFormat="1" ht="15.75">
      <c r="A56" s="51"/>
      <c r="B56" s="40"/>
      <c r="C56" s="493">
        <f>C54+C46</f>
        <v>828336315</v>
      </c>
      <c r="D56" s="493">
        <f>D54+D46</f>
        <v>946415232</v>
      </c>
      <c r="E56" s="492">
        <f>D56-C56</f>
        <v>118078917</v>
      </c>
      <c r="F56" s="48" t="s">
        <v>269</v>
      </c>
    </row>
  </sheetData>
  <sheetProtection/>
  <mergeCells count="1">
    <mergeCell ref="A4:C4"/>
  </mergeCells>
  <printOptions/>
  <pageMargins left="0.984251968503937" right="0.3937007874015748" top="0.1968503937007874" bottom="0.1968503937007874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X55"/>
  <sheetViews>
    <sheetView zoomScaleSheetLayoutView="100" zoomScalePageLayoutView="0" workbookViewId="0" topLeftCell="A1">
      <pane xSplit="1" ySplit="4" topLeftCell="BB17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3" width="12.625" style="3" customWidth="1"/>
    <col min="4" max="4" width="12.375" style="3" customWidth="1"/>
    <col min="5" max="5" width="10.875" style="3" customWidth="1"/>
    <col min="6" max="6" width="14.00390625" style="3" customWidth="1"/>
    <col min="7" max="7" width="12.875" style="3" customWidth="1"/>
    <col min="8" max="8" width="12.75390625" style="3" customWidth="1"/>
    <col min="9" max="9" width="13.25390625" style="3" customWidth="1"/>
    <col min="10" max="10" width="12.125" style="3" customWidth="1"/>
    <col min="11" max="11" width="11.25390625" style="3" customWidth="1"/>
    <col min="12" max="12" width="13.625" style="3" customWidth="1"/>
    <col min="13" max="13" width="12.75390625" style="3" customWidth="1"/>
    <col min="14" max="14" width="12.625" style="3" customWidth="1"/>
    <col min="15" max="15" width="13.75390625" style="3" customWidth="1"/>
    <col min="16" max="16" width="11.75390625" style="3" customWidth="1"/>
    <col min="17" max="17" width="12.625" style="3" customWidth="1"/>
    <col min="18" max="18" width="14.125" style="3" customWidth="1"/>
    <col min="19" max="19" width="11.75390625" style="3" customWidth="1"/>
    <col min="20" max="20" width="12.625" style="3" customWidth="1"/>
    <col min="21" max="21" width="14.125" style="3" customWidth="1"/>
    <col min="22" max="22" width="11.75390625" style="3" customWidth="1"/>
    <col min="23" max="23" width="12.625" style="3" customWidth="1"/>
    <col min="24" max="24" width="14.125" style="3" customWidth="1"/>
    <col min="25" max="25" width="11.75390625" style="3" customWidth="1"/>
    <col min="26" max="26" width="12.625" style="3" customWidth="1"/>
    <col min="27" max="27" width="14.125" style="3" customWidth="1"/>
    <col min="28" max="28" width="11.75390625" style="3" customWidth="1"/>
    <col min="29" max="29" width="12.625" style="3" customWidth="1"/>
    <col min="30" max="30" width="14.125" style="3" customWidth="1"/>
    <col min="31" max="31" width="11.75390625" style="3" customWidth="1"/>
    <col min="32" max="32" width="12.625" style="3" customWidth="1"/>
    <col min="33" max="33" width="13.375" style="3" customWidth="1"/>
    <col min="34" max="35" width="11.75390625" style="3" customWidth="1"/>
    <col min="36" max="36" width="13.75390625" style="3" customWidth="1"/>
    <col min="37" max="37" width="12.875" style="3" customWidth="1"/>
    <col min="38" max="38" width="11.75390625" style="3" customWidth="1"/>
    <col min="39" max="39" width="13.75390625" style="3" customWidth="1"/>
    <col min="40" max="40" width="12.875" style="3" customWidth="1"/>
    <col min="41" max="41" width="11.75390625" style="3" customWidth="1"/>
    <col min="42" max="42" width="13.75390625" style="3" customWidth="1"/>
    <col min="43" max="43" width="12.875" style="3" customWidth="1"/>
    <col min="44" max="44" width="11.75390625" style="3" customWidth="1"/>
    <col min="45" max="45" width="13.75390625" style="3" customWidth="1"/>
    <col min="46" max="46" width="12.875" style="3" customWidth="1"/>
    <col min="47" max="47" width="11.75390625" style="3" customWidth="1"/>
    <col min="48" max="48" width="13.00390625" style="3" customWidth="1"/>
    <col min="49" max="49" width="12.875" style="3" customWidth="1"/>
    <col min="50" max="50" width="12.75390625" style="90" customWidth="1"/>
    <col min="51" max="51" width="13.125" style="3" customWidth="1"/>
    <col min="52" max="52" width="11.875" style="3" customWidth="1"/>
    <col min="53" max="53" width="12.75390625" style="3" customWidth="1"/>
    <col min="54" max="54" width="13.375" style="3" customWidth="1"/>
    <col min="55" max="55" width="11.75390625" style="3" customWidth="1"/>
    <col min="56" max="56" width="13.25390625" style="88" customWidth="1"/>
    <col min="57" max="57" width="13.25390625" style="3" customWidth="1"/>
    <col min="58" max="58" width="11.875" style="3" customWidth="1"/>
    <col min="59" max="59" width="12.25390625" style="3" bestFit="1" customWidth="1"/>
    <col min="60" max="60" width="13.00390625" style="3" customWidth="1"/>
    <col min="61" max="61" width="12.375" style="3" customWidth="1"/>
    <col min="62" max="62" width="12.25390625" style="183" hidden="1" customWidth="1"/>
    <col min="63" max="63" width="14.00390625" style="183" hidden="1" customWidth="1"/>
    <col min="64" max="64" width="13.00390625" style="183" hidden="1" customWidth="1"/>
    <col min="65" max="65" width="12.625" style="183" hidden="1" customWidth="1"/>
    <col min="66" max="66" width="10.375" style="183" hidden="1" customWidth="1"/>
    <col min="67" max="67" width="14.00390625" style="183" hidden="1" customWidth="1"/>
    <col min="68" max="68" width="13.625" style="183" hidden="1" customWidth="1"/>
    <col min="69" max="69" width="12.875" style="183" hidden="1" customWidth="1"/>
    <col min="70" max="70" width="10.25390625" style="183" hidden="1" customWidth="1"/>
    <col min="71" max="72" width="11.375" style="183" hidden="1" customWidth="1"/>
    <col min="73" max="73" width="10.75390625" style="183" hidden="1" customWidth="1"/>
    <col min="74" max="74" width="1.12109375" style="183" hidden="1" customWidth="1"/>
    <col min="75" max="75" width="10.875" style="183" hidden="1" customWidth="1"/>
    <col min="76" max="16384" width="9.125" style="3" customWidth="1"/>
  </cols>
  <sheetData>
    <row r="1" ht="15.75">
      <c r="A1" s="182" t="s">
        <v>325</v>
      </c>
    </row>
    <row r="2" ht="15.75">
      <c r="A2" s="182" t="s">
        <v>288</v>
      </c>
    </row>
    <row r="3" ht="16.5" thickBot="1">
      <c r="A3" s="87" t="s">
        <v>176</v>
      </c>
    </row>
    <row r="4" spans="1:75" s="86" customFormat="1" ht="27" customHeight="1">
      <c r="A4" s="519" t="s">
        <v>170</v>
      </c>
      <c r="B4" s="521" t="s">
        <v>53</v>
      </c>
      <c r="C4" s="522"/>
      <c r="D4" s="523"/>
      <c r="E4" s="524" t="s">
        <v>121</v>
      </c>
      <c r="F4" s="525"/>
      <c r="G4" s="526"/>
      <c r="H4" s="527" t="s">
        <v>64</v>
      </c>
      <c r="I4" s="528"/>
      <c r="J4" s="529"/>
      <c r="K4" s="524" t="s">
        <v>39</v>
      </c>
      <c r="L4" s="525"/>
      <c r="M4" s="526"/>
      <c r="N4" s="524" t="s">
        <v>140</v>
      </c>
      <c r="O4" s="525"/>
      <c r="P4" s="526"/>
      <c r="Q4" s="530" t="s">
        <v>175</v>
      </c>
      <c r="R4" s="531"/>
      <c r="S4" s="532"/>
      <c r="T4" s="530" t="s">
        <v>273</v>
      </c>
      <c r="U4" s="531"/>
      <c r="V4" s="532"/>
      <c r="W4" s="530" t="s">
        <v>274</v>
      </c>
      <c r="X4" s="531"/>
      <c r="Y4" s="532"/>
      <c r="Z4" s="530" t="s">
        <v>172</v>
      </c>
      <c r="AA4" s="531"/>
      <c r="AB4" s="532"/>
      <c r="AC4" s="533" t="s">
        <v>275</v>
      </c>
      <c r="AD4" s="534"/>
      <c r="AE4" s="535"/>
      <c r="AF4" s="530" t="s">
        <v>173</v>
      </c>
      <c r="AG4" s="531"/>
      <c r="AH4" s="532"/>
      <c r="AI4" s="536" t="s">
        <v>276</v>
      </c>
      <c r="AJ4" s="537"/>
      <c r="AK4" s="538"/>
      <c r="AL4" s="536" t="s">
        <v>277</v>
      </c>
      <c r="AM4" s="537"/>
      <c r="AN4" s="538"/>
      <c r="AO4" s="536" t="s">
        <v>278</v>
      </c>
      <c r="AP4" s="537"/>
      <c r="AQ4" s="538"/>
      <c r="AR4" s="536" t="s">
        <v>279</v>
      </c>
      <c r="AS4" s="537"/>
      <c r="AT4" s="538"/>
      <c r="AU4" s="536" t="s">
        <v>174</v>
      </c>
      <c r="AV4" s="537"/>
      <c r="AW4" s="538"/>
      <c r="AX4" s="539" t="s">
        <v>16</v>
      </c>
      <c r="AY4" s="540"/>
      <c r="AZ4" s="541"/>
      <c r="BA4" s="542" t="s">
        <v>34</v>
      </c>
      <c r="BB4" s="543"/>
      <c r="BC4" s="544"/>
      <c r="BD4" s="545" t="s">
        <v>127</v>
      </c>
      <c r="BE4" s="546"/>
      <c r="BF4" s="547"/>
      <c r="BG4" s="524" t="s">
        <v>135</v>
      </c>
      <c r="BH4" s="525"/>
      <c r="BI4" s="526"/>
      <c r="BJ4" s="548" t="s">
        <v>136</v>
      </c>
      <c r="BK4" s="549"/>
      <c r="BL4" s="550"/>
      <c r="BM4" s="551"/>
      <c r="BN4" s="548" t="s">
        <v>138</v>
      </c>
      <c r="BO4" s="549"/>
      <c r="BP4" s="550"/>
      <c r="BQ4" s="551"/>
      <c r="BR4" s="548" t="s">
        <v>139</v>
      </c>
      <c r="BS4" s="549"/>
      <c r="BT4" s="550"/>
      <c r="BU4" s="551"/>
      <c r="BV4" s="184"/>
      <c r="BW4" s="185"/>
    </row>
    <row r="5" spans="1:75" s="86" customFormat="1" ht="39" customHeight="1" thickBot="1">
      <c r="A5" s="520"/>
      <c r="B5" s="186" t="s">
        <v>280</v>
      </c>
      <c r="C5" s="187" t="s">
        <v>289</v>
      </c>
      <c r="D5" s="188" t="s">
        <v>282</v>
      </c>
      <c r="E5" s="186" t="s">
        <v>280</v>
      </c>
      <c r="F5" s="187" t="s">
        <v>289</v>
      </c>
      <c r="G5" s="188" t="s">
        <v>282</v>
      </c>
      <c r="H5" s="189" t="s">
        <v>280</v>
      </c>
      <c r="I5" s="187" t="s">
        <v>289</v>
      </c>
      <c r="J5" s="188" t="s">
        <v>282</v>
      </c>
      <c r="K5" s="190" t="s">
        <v>280</v>
      </c>
      <c r="L5" s="187" t="s">
        <v>289</v>
      </c>
      <c r="M5" s="188" t="s">
        <v>282</v>
      </c>
      <c r="N5" s="190" t="s">
        <v>280</v>
      </c>
      <c r="O5" s="187" t="s">
        <v>289</v>
      </c>
      <c r="P5" s="188" t="s">
        <v>282</v>
      </c>
      <c r="Q5" s="190" t="s">
        <v>280</v>
      </c>
      <c r="R5" s="187" t="s">
        <v>289</v>
      </c>
      <c r="S5" s="188" t="s">
        <v>282</v>
      </c>
      <c r="T5" s="190" t="s">
        <v>280</v>
      </c>
      <c r="U5" s="187" t="s">
        <v>289</v>
      </c>
      <c r="V5" s="188" t="s">
        <v>282</v>
      </c>
      <c r="W5" s="190" t="s">
        <v>280</v>
      </c>
      <c r="X5" s="187" t="s">
        <v>289</v>
      </c>
      <c r="Y5" s="188" t="s">
        <v>282</v>
      </c>
      <c r="Z5" s="190" t="s">
        <v>280</v>
      </c>
      <c r="AA5" s="187" t="s">
        <v>289</v>
      </c>
      <c r="AB5" s="188" t="s">
        <v>282</v>
      </c>
      <c r="AC5" s="190" t="s">
        <v>280</v>
      </c>
      <c r="AD5" s="187" t="s">
        <v>289</v>
      </c>
      <c r="AE5" s="188" t="s">
        <v>282</v>
      </c>
      <c r="AF5" s="193" t="s">
        <v>280</v>
      </c>
      <c r="AG5" s="194" t="s">
        <v>289</v>
      </c>
      <c r="AH5" s="195" t="s">
        <v>282</v>
      </c>
      <c r="AI5" s="190" t="s">
        <v>280</v>
      </c>
      <c r="AJ5" s="187" t="s">
        <v>289</v>
      </c>
      <c r="AK5" s="188" t="s">
        <v>282</v>
      </c>
      <c r="AL5" s="190" t="s">
        <v>280</v>
      </c>
      <c r="AM5" s="187" t="s">
        <v>289</v>
      </c>
      <c r="AN5" s="188" t="s">
        <v>282</v>
      </c>
      <c r="AO5" s="190" t="s">
        <v>280</v>
      </c>
      <c r="AP5" s="187" t="s">
        <v>289</v>
      </c>
      <c r="AQ5" s="188" t="s">
        <v>282</v>
      </c>
      <c r="AR5" s="190" t="s">
        <v>280</v>
      </c>
      <c r="AS5" s="187" t="s">
        <v>289</v>
      </c>
      <c r="AT5" s="188" t="s">
        <v>282</v>
      </c>
      <c r="AU5" s="196" t="s">
        <v>280</v>
      </c>
      <c r="AV5" s="197" t="s">
        <v>289</v>
      </c>
      <c r="AW5" s="198" t="s">
        <v>282</v>
      </c>
      <c r="AX5" s="199" t="s">
        <v>280</v>
      </c>
      <c r="AY5" s="200" t="s">
        <v>289</v>
      </c>
      <c r="AZ5" s="201" t="s">
        <v>282</v>
      </c>
      <c r="BA5" s="190" t="s">
        <v>280</v>
      </c>
      <c r="BB5" s="187" t="s">
        <v>289</v>
      </c>
      <c r="BC5" s="188" t="s">
        <v>282</v>
      </c>
      <c r="BD5" s="203" t="s">
        <v>280</v>
      </c>
      <c r="BE5" s="200" t="s">
        <v>289</v>
      </c>
      <c r="BF5" s="201" t="s">
        <v>282</v>
      </c>
      <c r="BG5" s="190" t="s">
        <v>280</v>
      </c>
      <c r="BH5" s="187" t="s">
        <v>289</v>
      </c>
      <c r="BI5" s="188" t="s">
        <v>282</v>
      </c>
      <c r="BJ5" s="204" t="s">
        <v>280</v>
      </c>
      <c r="BK5" s="191" t="s">
        <v>283</v>
      </c>
      <c r="BL5" s="191" t="s">
        <v>281</v>
      </c>
      <c r="BM5" s="192" t="s">
        <v>282</v>
      </c>
      <c r="BN5" s="205" t="s">
        <v>280</v>
      </c>
      <c r="BO5" s="191" t="s">
        <v>283</v>
      </c>
      <c r="BP5" s="191" t="s">
        <v>281</v>
      </c>
      <c r="BQ5" s="192" t="s">
        <v>282</v>
      </c>
      <c r="BR5" s="205" t="s">
        <v>280</v>
      </c>
      <c r="BS5" s="191" t="s">
        <v>283</v>
      </c>
      <c r="BT5" s="191" t="s">
        <v>281</v>
      </c>
      <c r="BU5" s="192" t="s">
        <v>282</v>
      </c>
      <c r="BV5" s="206"/>
      <c r="BW5" s="185"/>
    </row>
    <row r="6" spans="1:75" s="9" customFormat="1" ht="26.25" customHeight="1">
      <c r="A6" s="207" t="s">
        <v>117</v>
      </c>
      <c r="B6" s="123">
        <f>B7+B8</f>
        <v>0</v>
      </c>
      <c r="C6" s="124">
        <f>C7+C8</f>
        <v>0</v>
      </c>
      <c r="D6" s="18">
        <f aca="true" t="shared" si="0" ref="D6:D26">C6-B6</f>
        <v>0</v>
      </c>
      <c r="E6" s="123">
        <f>E7+E8</f>
        <v>0</v>
      </c>
      <c r="F6" s="124">
        <f>F7+F8</f>
        <v>25000000</v>
      </c>
      <c r="G6" s="18">
        <f aca="true" t="shared" si="1" ref="G6:G26">F6-E6</f>
        <v>25000000</v>
      </c>
      <c r="H6" s="123">
        <f>H7+H8</f>
        <v>0</v>
      </c>
      <c r="I6" s="124">
        <f>I7+I8</f>
        <v>0</v>
      </c>
      <c r="J6" s="18">
        <f aca="true" t="shared" si="2" ref="J6:J26">I6-H6</f>
        <v>0</v>
      </c>
      <c r="K6" s="123">
        <f>K7+K8</f>
        <v>0</v>
      </c>
      <c r="L6" s="124">
        <f>L7+L8</f>
        <v>3347121</v>
      </c>
      <c r="M6" s="18">
        <f aca="true" t="shared" si="3" ref="M6:M26">L6-K6</f>
        <v>3347121</v>
      </c>
      <c r="N6" s="123">
        <f>N7+N8</f>
        <v>38220000</v>
      </c>
      <c r="O6" s="124">
        <f>O7+O8</f>
        <v>38220000</v>
      </c>
      <c r="P6" s="18">
        <f aca="true" t="shared" si="4" ref="P6:P26">O6-N6</f>
        <v>0</v>
      </c>
      <c r="Q6" s="123">
        <f>Q7+Q8</f>
        <v>0</v>
      </c>
      <c r="R6" s="124">
        <f>R7+R8</f>
        <v>0</v>
      </c>
      <c r="S6" s="18">
        <f aca="true" t="shared" si="5" ref="S6:S26">R6-Q6</f>
        <v>0</v>
      </c>
      <c r="T6" s="123">
        <f>T7+T8</f>
        <v>0</v>
      </c>
      <c r="U6" s="124">
        <f>U7+U8</f>
        <v>0</v>
      </c>
      <c r="V6" s="18">
        <f aca="true" t="shared" si="6" ref="V6:V26">U6-T6</f>
        <v>0</v>
      </c>
      <c r="W6" s="123">
        <f>W7+W8</f>
        <v>0</v>
      </c>
      <c r="X6" s="124">
        <f>X7+X8</f>
        <v>0</v>
      </c>
      <c r="Y6" s="18">
        <f aca="true" t="shared" si="7" ref="Y6:Y26">X6-W6</f>
        <v>0</v>
      </c>
      <c r="Z6" s="123">
        <f>Z7+Z8</f>
        <v>0</v>
      </c>
      <c r="AA6" s="124">
        <f>AA7+AA8</f>
        <v>0</v>
      </c>
      <c r="AB6" s="18">
        <f aca="true" t="shared" si="8" ref="AB6:AB26">AA6-Z6</f>
        <v>0</v>
      </c>
      <c r="AC6" s="123">
        <f>AC7+AC8</f>
        <v>0</v>
      </c>
      <c r="AD6" s="124">
        <f>AD7+AD8</f>
        <v>0</v>
      </c>
      <c r="AE6" s="18">
        <f aca="true" t="shared" si="9" ref="AE6:AE26">AD6-AC6</f>
        <v>0</v>
      </c>
      <c r="AF6" s="208">
        <f aca="true" t="shared" si="10" ref="AF6:AF26">Q6+T6+W6+Z6+AC6</f>
        <v>0</v>
      </c>
      <c r="AG6" s="209">
        <f aca="true" t="shared" si="11" ref="AG6:AG26">R6+U6+X6+AA6+AD6</f>
        <v>0</v>
      </c>
      <c r="AH6" s="210">
        <f aca="true" t="shared" si="12" ref="AH6:AH26">AG6-AF6</f>
        <v>0</v>
      </c>
      <c r="AI6" s="123">
        <f>AI7+AI8</f>
        <v>0</v>
      </c>
      <c r="AJ6" s="124">
        <f>AJ7+AJ8</f>
        <v>0</v>
      </c>
      <c r="AK6" s="18">
        <f aca="true" t="shared" si="13" ref="AK6:AK26">AJ6-AI6</f>
        <v>0</v>
      </c>
      <c r="AL6" s="123">
        <f>AL7+AL8</f>
        <v>0</v>
      </c>
      <c r="AM6" s="124">
        <f>AM7+AM8</f>
        <v>0</v>
      </c>
      <c r="AN6" s="18">
        <f aca="true" t="shared" si="14" ref="AN6:AN26">AM6-AL6</f>
        <v>0</v>
      </c>
      <c r="AO6" s="123">
        <f>AO7+AO8</f>
        <v>0</v>
      </c>
      <c r="AP6" s="124">
        <f>AP7+AP8</f>
        <v>0</v>
      </c>
      <c r="AQ6" s="18">
        <f aca="true" t="shared" si="15" ref="AQ6:AQ26">AP6-AO6</f>
        <v>0</v>
      </c>
      <c r="AR6" s="123">
        <f>AR7+AR8</f>
        <v>0</v>
      </c>
      <c r="AS6" s="124">
        <f>AS7+AS8</f>
        <v>0</v>
      </c>
      <c r="AT6" s="18">
        <f aca="true" t="shared" si="16" ref="AT6:AT26">AS6-AR6</f>
        <v>0</v>
      </c>
      <c r="AU6" s="211">
        <f aca="true" t="shared" si="17" ref="AU6:AU26">AI6+AL6+AR6+AO6</f>
        <v>0</v>
      </c>
      <c r="AV6" s="212">
        <f aca="true" t="shared" si="18" ref="AV6:AV26">AJ6+AM6+AS6+AP6</f>
        <v>0</v>
      </c>
      <c r="AW6" s="213">
        <f aca="true" t="shared" si="19" ref="AW6:AW26">AV6-AU6</f>
        <v>0</v>
      </c>
      <c r="AX6" s="214">
        <f>AX7+AX8</f>
        <v>38220000</v>
      </c>
      <c r="AY6" s="215">
        <f>AY7+AY8</f>
        <v>66567121</v>
      </c>
      <c r="AZ6" s="216">
        <f aca="true" t="shared" si="20" ref="AZ6:AZ26">AY6-AX6</f>
        <v>28347121</v>
      </c>
      <c r="BA6" s="123">
        <f>BA7+BA8</f>
        <v>852758777</v>
      </c>
      <c r="BB6" s="217">
        <f>BB7+BB8</f>
        <v>888164920</v>
      </c>
      <c r="BC6" s="218">
        <f aca="true" t="shared" si="21" ref="BC6:BC26">BB6-BA6</f>
        <v>35406143</v>
      </c>
      <c r="BD6" s="219">
        <f>BD7+BD8</f>
        <v>890978777</v>
      </c>
      <c r="BE6" s="220">
        <f>BE7+BE8</f>
        <v>954732041</v>
      </c>
      <c r="BF6" s="216">
        <f aca="true" t="shared" si="22" ref="BF6:BF26">BE6-BD6</f>
        <v>63753264</v>
      </c>
      <c r="BG6" s="221">
        <f aca="true" t="shared" si="23" ref="BG6:BL6">BG7+BG8</f>
        <v>890978777</v>
      </c>
      <c r="BH6" s="221">
        <f t="shared" si="23"/>
        <v>954732041</v>
      </c>
      <c r="BI6" s="221">
        <f t="shared" si="23"/>
        <v>63753264</v>
      </c>
      <c r="BJ6" s="222">
        <f t="shared" si="23"/>
        <v>914521000</v>
      </c>
      <c r="BK6" s="223">
        <f t="shared" si="23"/>
        <v>966846000</v>
      </c>
      <c r="BL6" s="223">
        <f t="shared" si="23"/>
        <v>966846000</v>
      </c>
      <c r="BM6" s="224">
        <f aca="true" t="shared" si="24" ref="BM6:BM26">BL6-BK6</f>
        <v>0</v>
      </c>
      <c r="BN6" s="223">
        <f aca="true" t="shared" si="25" ref="BN6:BU6">BN7+BN8</f>
        <v>67004</v>
      </c>
      <c r="BO6" s="223">
        <f t="shared" si="25"/>
        <v>68104</v>
      </c>
      <c r="BP6" s="223">
        <f t="shared" si="25"/>
        <v>69204</v>
      </c>
      <c r="BQ6" s="224">
        <f t="shared" si="25"/>
        <v>1100</v>
      </c>
      <c r="BR6" s="222">
        <f t="shared" si="25"/>
        <v>0</v>
      </c>
      <c r="BS6" s="225">
        <f t="shared" si="25"/>
        <v>0</v>
      </c>
      <c r="BT6" s="225">
        <f t="shared" si="25"/>
        <v>0</v>
      </c>
      <c r="BU6" s="224">
        <f t="shared" si="25"/>
        <v>0</v>
      </c>
      <c r="BV6" s="226"/>
      <c r="BW6" s="227">
        <f aca="true" t="shared" si="26" ref="BW6:BW26">BS6+BO6+BK6</f>
        <v>966914104</v>
      </c>
    </row>
    <row r="7" spans="1:75" s="9" customFormat="1" ht="13.5">
      <c r="A7" s="228" t="s">
        <v>114</v>
      </c>
      <c r="B7" s="120"/>
      <c r="C7" s="79"/>
      <c r="D7" s="77">
        <f t="shared" si="0"/>
        <v>0</v>
      </c>
      <c r="E7" s="229"/>
      <c r="F7" s="79"/>
      <c r="G7" s="77">
        <f t="shared" si="1"/>
        <v>0</v>
      </c>
      <c r="H7" s="79"/>
      <c r="I7" s="79"/>
      <c r="J7" s="77">
        <f t="shared" si="2"/>
        <v>0</v>
      </c>
      <c r="K7" s="120"/>
      <c r="L7" s="229"/>
      <c r="M7" s="77">
        <f t="shared" si="3"/>
        <v>0</v>
      </c>
      <c r="N7" s="120"/>
      <c r="O7" s="229"/>
      <c r="P7" s="77">
        <f t="shared" si="4"/>
        <v>0</v>
      </c>
      <c r="Q7" s="120"/>
      <c r="R7" s="229"/>
      <c r="S7" s="77">
        <f t="shared" si="5"/>
        <v>0</v>
      </c>
      <c r="T7" s="120"/>
      <c r="U7" s="229"/>
      <c r="V7" s="77">
        <f t="shared" si="6"/>
        <v>0</v>
      </c>
      <c r="W7" s="120"/>
      <c r="X7" s="229"/>
      <c r="Y7" s="77">
        <f t="shared" si="7"/>
        <v>0</v>
      </c>
      <c r="Z7" s="120"/>
      <c r="AA7" s="229"/>
      <c r="AB7" s="77">
        <f t="shared" si="8"/>
        <v>0</v>
      </c>
      <c r="AC7" s="120"/>
      <c r="AD7" s="229"/>
      <c r="AE7" s="77">
        <f t="shared" si="9"/>
        <v>0</v>
      </c>
      <c r="AF7" s="230">
        <f t="shared" si="10"/>
        <v>0</v>
      </c>
      <c r="AG7" s="231">
        <f t="shared" si="11"/>
        <v>0</v>
      </c>
      <c r="AH7" s="232">
        <f t="shared" si="12"/>
        <v>0</v>
      </c>
      <c r="AI7" s="120"/>
      <c r="AJ7" s="229"/>
      <c r="AK7" s="77">
        <f t="shared" si="13"/>
        <v>0</v>
      </c>
      <c r="AL7" s="120"/>
      <c r="AM7" s="229"/>
      <c r="AN7" s="77">
        <f t="shared" si="14"/>
        <v>0</v>
      </c>
      <c r="AO7" s="120"/>
      <c r="AP7" s="229"/>
      <c r="AQ7" s="77">
        <f t="shared" si="15"/>
        <v>0</v>
      </c>
      <c r="AR7" s="120"/>
      <c r="AS7" s="229"/>
      <c r="AT7" s="77">
        <f t="shared" si="16"/>
        <v>0</v>
      </c>
      <c r="AU7" s="233">
        <f t="shared" si="17"/>
        <v>0</v>
      </c>
      <c r="AV7" s="234">
        <f t="shared" si="18"/>
        <v>0</v>
      </c>
      <c r="AW7" s="235">
        <f t="shared" si="19"/>
        <v>0</v>
      </c>
      <c r="AX7" s="236">
        <f aca="true" t="shared" si="27" ref="AX7:AY11">B7+E7+H7+K7+N7+AU7+AF7</f>
        <v>0</v>
      </c>
      <c r="AY7" s="236">
        <f t="shared" si="27"/>
        <v>0</v>
      </c>
      <c r="AZ7" s="237">
        <f t="shared" si="20"/>
        <v>0</v>
      </c>
      <c r="BA7" s="120">
        <v>828336315</v>
      </c>
      <c r="BB7" s="79">
        <v>850114232</v>
      </c>
      <c r="BC7" s="238">
        <f t="shared" si="21"/>
        <v>21777917</v>
      </c>
      <c r="BD7" s="239">
        <f aca="true" t="shared" si="28" ref="BD7:BE11">BA7+AX7</f>
        <v>828336315</v>
      </c>
      <c r="BE7" s="240">
        <f t="shared" si="28"/>
        <v>850114232</v>
      </c>
      <c r="BF7" s="237">
        <f t="shared" si="22"/>
        <v>21777917</v>
      </c>
      <c r="BG7" s="241">
        <f aca="true" t="shared" si="29" ref="BG7:BI11">BD7</f>
        <v>828336315</v>
      </c>
      <c r="BH7" s="241">
        <f t="shared" si="29"/>
        <v>850114232</v>
      </c>
      <c r="BI7" s="241">
        <f t="shared" si="29"/>
        <v>21777917</v>
      </c>
      <c r="BJ7" s="242">
        <v>843598000</v>
      </c>
      <c r="BK7" s="243">
        <f>BJ7+33214000</f>
        <v>876812000</v>
      </c>
      <c r="BL7" s="243">
        <f>BK7+0</f>
        <v>876812000</v>
      </c>
      <c r="BM7" s="244">
        <f t="shared" si="24"/>
        <v>0</v>
      </c>
      <c r="BN7" s="245"/>
      <c r="BO7" s="243">
        <f>BN7</f>
        <v>0</v>
      </c>
      <c r="BP7" s="243">
        <f>BO7</f>
        <v>0</v>
      </c>
      <c r="BQ7" s="244">
        <f>BO7-BN7</f>
        <v>0</v>
      </c>
      <c r="BR7" s="242"/>
      <c r="BS7" s="243">
        <f aca="true" t="shared" si="30" ref="BS7:BT11">BR7</f>
        <v>0</v>
      </c>
      <c r="BT7" s="243">
        <f t="shared" si="30"/>
        <v>0</v>
      </c>
      <c r="BU7" s="244">
        <f>BS7-BR7</f>
        <v>0</v>
      </c>
      <c r="BV7" s="246"/>
      <c r="BW7" s="227">
        <f t="shared" si="26"/>
        <v>876812000</v>
      </c>
    </row>
    <row r="8" spans="1:75" s="9" customFormat="1" ht="13.5">
      <c r="A8" s="228" t="s">
        <v>122</v>
      </c>
      <c r="B8" s="120"/>
      <c r="C8" s="79">
        <v>0</v>
      </c>
      <c r="D8" s="77">
        <f t="shared" si="0"/>
        <v>0</v>
      </c>
      <c r="E8" s="229"/>
      <c r="F8" s="79">
        <v>25000000</v>
      </c>
      <c r="G8" s="77">
        <f t="shared" si="1"/>
        <v>25000000</v>
      </c>
      <c r="H8" s="79"/>
      <c r="I8" s="79">
        <v>0</v>
      </c>
      <c r="J8" s="77">
        <f t="shared" si="2"/>
        <v>0</v>
      </c>
      <c r="K8" s="120">
        <v>0</v>
      </c>
      <c r="L8" s="229">
        <v>3347121</v>
      </c>
      <c r="M8" s="77">
        <f t="shared" si="3"/>
        <v>3347121</v>
      </c>
      <c r="N8" s="120">
        <v>38220000</v>
      </c>
      <c r="O8" s="229">
        <v>38220000</v>
      </c>
      <c r="P8" s="77">
        <f t="shared" si="4"/>
        <v>0</v>
      </c>
      <c r="Q8" s="120">
        <v>0</v>
      </c>
      <c r="R8" s="229">
        <v>0</v>
      </c>
      <c r="S8" s="77">
        <f t="shared" si="5"/>
        <v>0</v>
      </c>
      <c r="T8" s="120">
        <v>0</v>
      </c>
      <c r="U8" s="229">
        <v>0</v>
      </c>
      <c r="V8" s="77">
        <f t="shared" si="6"/>
        <v>0</v>
      </c>
      <c r="W8" s="120">
        <v>0</v>
      </c>
      <c r="X8" s="229">
        <v>0</v>
      </c>
      <c r="Y8" s="77">
        <f t="shared" si="7"/>
        <v>0</v>
      </c>
      <c r="Z8" s="120"/>
      <c r="AA8" s="229">
        <v>0</v>
      </c>
      <c r="AB8" s="77">
        <f t="shared" si="8"/>
        <v>0</v>
      </c>
      <c r="AC8" s="120">
        <v>0</v>
      </c>
      <c r="AD8" s="229">
        <v>0</v>
      </c>
      <c r="AE8" s="77">
        <f t="shared" si="9"/>
        <v>0</v>
      </c>
      <c r="AF8" s="230">
        <f t="shared" si="10"/>
        <v>0</v>
      </c>
      <c r="AG8" s="231">
        <f t="shared" si="11"/>
        <v>0</v>
      </c>
      <c r="AH8" s="232">
        <f t="shared" si="12"/>
        <v>0</v>
      </c>
      <c r="AI8" s="120">
        <v>0</v>
      </c>
      <c r="AJ8" s="229">
        <v>0</v>
      </c>
      <c r="AK8" s="77">
        <f t="shared" si="13"/>
        <v>0</v>
      </c>
      <c r="AL8" s="120">
        <v>0</v>
      </c>
      <c r="AM8" s="229">
        <v>0</v>
      </c>
      <c r="AN8" s="77">
        <f t="shared" si="14"/>
        <v>0</v>
      </c>
      <c r="AO8" s="120">
        <v>0</v>
      </c>
      <c r="AP8" s="229">
        <v>0</v>
      </c>
      <c r="AQ8" s="77">
        <f t="shared" si="15"/>
        <v>0</v>
      </c>
      <c r="AR8" s="120"/>
      <c r="AS8" s="229"/>
      <c r="AT8" s="77">
        <f t="shared" si="16"/>
        <v>0</v>
      </c>
      <c r="AU8" s="233">
        <f t="shared" si="17"/>
        <v>0</v>
      </c>
      <c r="AV8" s="234">
        <f t="shared" si="18"/>
        <v>0</v>
      </c>
      <c r="AW8" s="235">
        <f t="shared" si="19"/>
        <v>0</v>
      </c>
      <c r="AX8" s="236">
        <f t="shared" si="27"/>
        <v>38220000</v>
      </c>
      <c r="AY8" s="247">
        <f t="shared" si="27"/>
        <v>66567121</v>
      </c>
      <c r="AZ8" s="237">
        <f t="shared" si="20"/>
        <v>28347121</v>
      </c>
      <c r="BA8" s="120">
        <v>24422462</v>
      </c>
      <c r="BB8" s="79">
        <v>38050688</v>
      </c>
      <c r="BC8" s="238">
        <f t="shared" si="21"/>
        <v>13628226</v>
      </c>
      <c r="BD8" s="239">
        <f t="shared" si="28"/>
        <v>62642462</v>
      </c>
      <c r="BE8" s="240">
        <f t="shared" si="28"/>
        <v>104617809</v>
      </c>
      <c r="BF8" s="237">
        <f t="shared" si="22"/>
        <v>41975347</v>
      </c>
      <c r="BG8" s="241">
        <f t="shared" si="29"/>
        <v>62642462</v>
      </c>
      <c r="BH8" s="241">
        <f t="shared" si="29"/>
        <v>104617809</v>
      </c>
      <c r="BI8" s="241">
        <f t="shared" si="29"/>
        <v>41975347</v>
      </c>
      <c r="BJ8" s="242">
        <f>914521000-843598000</f>
        <v>70923000</v>
      </c>
      <c r="BK8" s="243">
        <f>BJ8+860000+559000+352000+491000+155000+16694000</f>
        <v>90034000</v>
      </c>
      <c r="BL8" s="243">
        <f>BK8+0</f>
        <v>90034000</v>
      </c>
      <c r="BM8" s="244">
        <f t="shared" si="24"/>
        <v>0</v>
      </c>
      <c r="BN8" s="245">
        <v>67004</v>
      </c>
      <c r="BO8" s="243">
        <f>BN8+1100</f>
        <v>68104</v>
      </c>
      <c r="BP8" s="243">
        <f>BO8+1100</f>
        <v>69204</v>
      </c>
      <c r="BQ8" s="244">
        <f>BO8-BN8</f>
        <v>1100</v>
      </c>
      <c r="BR8" s="242"/>
      <c r="BS8" s="243">
        <f t="shared" si="30"/>
        <v>0</v>
      </c>
      <c r="BT8" s="243">
        <f t="shared" si="30"/>
        <v>0</v>
      </c>
      <c r="BU8" s="244">
        <f>BS8-BR8</f>
        <v>0</v>
      </c>
      <c r="BV8" s="246"/>
      <c r="BW8" s="227">
        <f t="shared" si="26"/>
        <v>90102104</v>
      </c>
    </row>
    <row r="9" spans="1:75" s="9" customFormat="1" ht="13.5">
      <c r="A9" s="248" t="s">
        <v>66</v>
      </c>
      <c r="B9" s="121"/>
      <c r="C9" s="62"/>
      <c r="D9" s="19">
        <f t="shared" si="0"/>
        <v>0</v>
      </c>
      <c r="E9" s="249"/>
      <c r="F9" s="62"/>
      <c r="G9" s="19">
        <f t="shared" si="1"/>
        <v>0</v>
      </c>
      <c r="H9" s="62"/>
      <c r="I9" s="62"/>
      <c r="J9" s="19">
        <f t="shared" si="2"/>
        <v>0</v>
      </c>
      <c r="K9" s="121"/>
      <c r="L9" s="249"/>
      <c r="M9" s="19">
        <f t="shared" si="3"/>
        <v>0</v>
      </c>
      <c r="N9" s="121"/>
      <c r="O9" s="249"/>
      <c r="P9" s="19">
        <f t="shared" si="4"/>
        <v>0</v>
      </c>
      <c r="Q9" s="121"/>
      <c r="R9" s="249"/>
      <c r="S9" s="19">
        <f t="shared" si="5"/>
        <v>0</v>
      </c>
      <c r="T9" s="121"/>
      <c r="U9" s="249"/>
      <c r="V9" s="19">
        <f t="shared" si="6"/>
        <v>0</v>
      </c>
      <c r="W9" s="121"/>
      <c r="X9" s="249"/>
      <c r="Y9" s="19">
        <f t="shared" si="7"/>
        <v>0</v>
      </c>
      <c r="Z9" s="121"/>
      <c r="AA9" s="249"/>
      <c r="AB9" s="19">
        <f t="shared" si="8"/>
        <v>0</v>
      </c>
      <c r="AC9" s="121"/>
      <c r="AD9" s="249"/>
      <c r="AE9" s="19">
        <f t="shared" si="9"/>
        <v>0</v>
      </c>
      <c r="AF9" s="250">
        <f t="shared" si="10"/>
        <v>0</v>
      </c>
      <c r="AG9" s="251">
        <f t="shared" si="11"/>
        <v>0</v>
      </c>
      <c r="AH9" s="252">
        <f t="shared" si="12"/>
        <v>0</v>
      </c>
      <c r="AI9" s="121"/>
      <c r="AJ9" s="249"/>
      <c r="AK9" s="19">
        <f t="shared" si="13"/>
        <v>0</v>
      </c>
      <c r="AL9" s="121"/>
      <c r="AM9" s="249"/>
      <c r="AN9" s="19">
        <f t="shared" si="14"/>
        <v>0</v>
      </c>
      <c r="AO9" s="121"/>
      <c r="AP9" s="249"/>
      <c r="AQ9" s="19">
        <f t="shared" si="15"/>
        <v>0</v>
      </c>
      <c r="AR9" s="121"/>
      <c r="AS9" s="249"/>
      <c r="AT9" s="19">
        <f t="shared" si="16"/>
        <v>0</v>
      </c>
      <c r="AU9" s="253">
        <f t="shared" si="17"/>
        <v>0</v>
      </c>
      <c r="AV9" s="254">
        <f t="shared" si="18"/>
        <v>0</v>
      </c>
      <c r="AW9" s="255">
        <f t="shared" si="19"/>
        <v>0</v>
      </c>
      <c r="AX9" s="236">
        <f t="shared" si="27"/>
        <v>0</v>
      </c>
      <c r="AY9" s="247">
        <f t="shared" si="27"/>
        <v>0</v>
      </c>
      <c r="AZ9" s="237">
        <f t="shared" si="20"/>
        <v>0</v>
      </c>
      <c r="BA9" s="121">
        <v>489859309</v>
      </c>
      <c r="BB9" s="256">
        <v>489859309</v>
      </c>
      <c r="BC9" s="238">
        <f t="shared" si="21"/>
        <v>0</v>
      </c>
      <c r="BD9" s="239">
        <f t="shared" si="28"/>
        <v>489859309</v>
      </c>
      <c r="BE9" s="240">
        <f t="shared" si="28"/>
        <v>489859309</v>
      </c>
      <c r="BF9" s="237">
        <f t="shared" si="22"/>
        <v>0</v>
      </c>
      <c r="BG9" s="257">
        <f t="shared" si="29"/>
        <v>489859309</v>
      </c>
      <c r="BH9" s="257">
        <f t="shared" si="29"/>
        <v>489859309</v>
      </c>
      <c r="BI9" s="257">
        <f t="shared" si="29"/>
        <v>0</v>
      </c>
      <c r="BJ9" s="258">
        <v>454978290</v>
      </c>
      <c r="BK9" s="259">
        <v>454978290</v>
      </c>
      <c r="BL9" s="259">
        <v>454978290</v>
      </c>
      <c r="BM9" s="260">
        <f t="shared" si="24"/>
        <v>0</v>
      </c>
      <c r="BN9" s="261"/>
      <c r="BO9" s="259">
        <f aca="true" t="shared" si="31" ref="BO9:BP11">BN9</f>
        <v>0</v>
      </c>
      <c r="BP9" s="259">
        <f t="shared" si="31"/>
        <v>0</v>
      </c>
      <c r="BQ9" s="260">
        <f>BO9-BN9</f>
        <v>0</v>
      </c>
      <c r="BR9" s="258"/>
      <c r="BS9" s="259">
        <f t="shared" si="30"/>
        <v>0</v>
      </c>
      <c r="BT9" s="259">
        <f t="shared" si="30"/>
        <v>0</v>
      </c>
      <c r="BU9" s="260">
        <f>BS9-BR9</f>
        <v>0</v>
      </c>
      <c r="BV9" s="226"/>
      <c r="BW9" s="227">
        <f t="shared" si="26"/>
        <v>454978290</v>
      </c>
    </row>
    <row r="10" spans="1:75" s="9" customFormat="1" ht="13.5">
      <c r="A10" s="248" t="s">
        <v>67</v>
      </c>
      <c r="B10" s="121">
        <v>1500000</v>
      </c>
      <c r="C10" s="62">
        <v>1500000</v>
      </c>
      <c r="D10" s="19">
        <f t="shared" si="0"/>
        <v>0</v>
      </c>
      <c r="E10" s="249">
        <v>80740000</v>
      </c>
      <c r="F10" s="62">
        <v>80740000</v>
      </c>
      <c r="G10" s="19">
        <f t="shared" si="1"/>
        <v>0</v>
      </c>
      <c r="H10" s="62">
        <v>4000000</v>
      </c>
      <c r="I10" s="62">
        <v>4000000</v>
      </c>
      <c r="J10" s="19">
        <f t="shared" si="2"/>
        <v>0</v>
      </c>
      <c r="K10" s="121">
        <v>1700000</v>
      </c>
      <c r="L10" s="249">
        <v>1700000</v>
      </c>
      <c r="M10" s="19">
        <f t="shared" si="3"/>
        <v>0</v>
      </c>
      <c r="N10" s="121">
        <v>56233710</v>
      </c>
      <c r="O10" s="249">
        <v>56233710</v>
      </c>
      <c r="P10" s="19">
        <f t="shared" si="4"/>
        <v>0</v>
      </c>
      <c r="Q10" s="121">
        <v>450000</v>
      </c>
      <c r="R10" s="249">
        <v>450000</v>
      </c>
      <c r="S10" s="19">
        <f t="shared" si="5"/>
        <v>0</v>
      </c>
      <c r="T10" s="121">
        <v>0</v>
      </c>
      <c r="U10" s="249">
        <v>0</v>
      </c>
      <c r="V10" s="19">
        <f t="shared" si="6"/>
        <v>0</v>
      </c>
      <c r="W10" s="121">
        <v>472000</v>
      </c>
      <c r="X10" s="249">
        <v>472000</v>
      </c>
      <c r="Y10" s="19">
        <f t="shared" si="7"/>
        <v>0</v>
      </c>
      <c r="Z10" s="121">
        <v>0</v>
      </c>
      <c r="AA10" s="249">
        <v>0</v>
      </c>
      <c r="AB10" s="19">
        <f t="shared" si="8"/>
        <v>0</v>
      </c>
      <c r="AC10" s="121">
        <v>0</v>
      </c>
      <c r="AD10" s="249">
        <v>0</v>
      </c>
      <c r="AE10" s="19">
        <f t="shared" si="9"/>
        <v>0</v>
      </c>
      <c r="AF10" s="250">
        <f t="shared" si="10"/>
        <v>922000</v>
      </c>
      <c r="AG10" s="251">
        <f t="shared" si="11"/>
        <v>922000</v>
      </c>
      <c r="AH10" s="252">
        <f t="shared" si="12"/>
        <v>0</v>
      </c>
      <c r="AI10" s="121">
        <v>1400000</v>
      </c>
      <c r="AJ10" s="249">
        <v>1400000</v>
      </c>
      <c r="AK10" s="19">
        <f t="shared" si="13"/>
        <v>0</v>
      </c>
      <c r="AL10" s="121">
        <v>150000</v>
      </c>
      <c r="AM10" s="249">
        <v>150000</v>
      </c>
      <c r="AN10" s="19">
        <f t="shared" si="14"/>
        <v>0</v>
      </c>
      <c r="AO10" s="121">
        <v>0</v>
      </c>
      <c r="AP10" s="249">
        <v>0</v>
      </c>
      <c r="AQ10" s="19">
        <f t="shared" si="15"/>
        <v>0</v>
      </c>
      <c r="AR10" s="121">
        <v>61600</v>
      </c>
      <c r="AS10" s="249">
        <v>61600</v>
      </c>
      <c r="AT10" s="19">
        <f t="shared" si="16"/>
        <v>0</v>
      </c>
      <c r="AU10" s="253">
        <f t="shared" si="17"/>
        <v>1611600</v>
      </c>
      <c r="AV10" s="254">
        <f t="shared" si="18"/>
        <v>1611600</v>
      </c>
      <c r="AW10" s="255">
        <f t="shared" si="19"/>
        <v>0</v>
      </c>
      <c r="AX10" s="236">
        <f t="shared" si="27"/>
        <v>146707310</v>
      </c>
      <c r="AY10" s="247">
        <f t="shared" si="27"/>
        <v>146707310</v>
      </c>
      <c r="AZ10" s="237">
        <f t="shared" si="20"/>
        <v>0</v>
      </c>
      <c r="BA10" s="121">
        <v>111297880</v>
      </c>
      <c r="BB10" s="256">
        <v>111297880</v>
      </c>
      <c r="BC10" s="238">
        <f t="shared" si="21"/>
        <v>0</v>
      </c>
      <c r="BD10" s="239">
        <f t="shared" si="28"/>
        <v>258005190</v>
      </c>
      <c r="BE10" s="240">
        <f t="shared" si="28"/>
        <v>258005190</v>
      </c>
      <c r="BF10" s="237">
        <f t="shared" si="22"/>
        <v>0</v>
      </c>
      <c r="BG10" s="257">
        <f t="shared" si="29"/>
        <v>258005190</v>
      </c>
      <c r="BH10" s="257">
        <f t="shared" si="29"/>
        <v>258005190</v>
      </c>
      <c r="BI10" s="257">
        <f t="shared" si="29"/>
        <v>0</v>
      </c>
      <c r="BJ10" s="258">
        <v>167678000</v>
      </c>
      <c r="BK10" s="259">
        <f>BJ10+1252000+600000+6688000</f>
        <v>176218000</v>
      </c>
      <c r="BL10" s="259">
        <f>BK10+0</f>
        <v>176218000</v>
      </c>
      <c r="BM10" s="260">
        <f t="shared" si="24"/>
        <v>0</v>
      </c>
      <c r="BN10" s="261">
        <v>45305</v>
      </c>
      <c r="BO10" s="259">
        <f t="shared" si="31"/>
        <v>45305</v>
      </c>
      <c r="BP10" s="259">
        <f t="shared" si="31"/>
        <v>45305</v>
      </c>
      <c r="BQ10" s="260">
        <f>BO10-BN10</f>
        <v>0</v>
      </c>
      <c r="BR10" s="258"/>
      <c r="BS10" s="259">
        <f t="shared" si="30"/>
        <v>0</v>
      </c>
      <c r="BT10" s="259">
        <f t="shared" si="30"/>
        <v>0</v>
      </c>
      <c r="BU10" s="260">
        <f>BS10-BR10</f>
        <v>0</v>
      </c>
      <c r="BV10" s="226"/>
      <c r="BW10" s="227">
        <f t="shared" si="26"/>
        <v>176263305</v>
      </c>
    </row>
    <row r="11" spans="1:75" s="9" customFormat="1" ht="14.25" thickBot="1">
      <c r="A11" s="262" t="s">
        <v>69</v>
      </c>
      <c r="B11" s="122"/>
      <c r="C11" s="70"/>
      <c r="D11" s="68">
        <f t="shared" si="0"/>
        <v>0</v>
      </c>
      <c r="E11" s="263">
        <v>28095435</v>
      </c>
      <c r="F11" s="70">
        <v>23980486</v>
      </c>
      <c r="G11" s="68">
        <f t="shared" si="1"/>
        <v>-4114949</v>
      </c>
      <c r="H11" s="70"/>
      <c r="I11" s="70"/>
      <c r="J11" s="68">
        <f t="shared" si="2"/>
        <v>0</v>
      </c>
      <c r="K11" s="122"/>
      <c r="L11" s="263"/>
      <c r="M11" s="68">
        <f t="shared" si="3"/>
        <v>0</v>
      </c>
      <c r="N11" s="122"/>
      <c r="O11" s="263">
        <f>N11</f>
        <v>0</v>
      </c>
      <c r="P11" s="68">
        <f t="shared" si="4"/>
        <v>0</v>
      </c>
      <c r="Q11" s="122"/>
      <c r="R11" s="263"/>
      <c r="S11" s="68">
        <f t="shared" si="5"/>
        <v>0</v>
      </c>
      <c r="T11" s="122"/>
      <c r="U11" s="263"/>
      <c r="V11" s="68">
        <f t="shared" si="6"/>
        <v>0</v>
      </c>
      <c r="W11" s="122"/>
      <c r="X11" s="263">
        <v>0</v>
      </c>
      <c r="Y11" s="68">
        <f t="shared" si="7"/>
        <v>0</v>
      </c>
      <c r="Z11" s="122"/>
      <c r="AA11" s="263"/>
      <c r="AB11" s="68">
        <f t="shared" si="8"/>
        <v>0</v>
      </c>
      <c r="AC11" s="122"/>
      <c r="AD11" s="263"/>
      <c r="AE11" s="68">
        <f t="shared" si="9"/>
        <v>0</v>
      </c>
      <c r="AF11" s="264">
        <f t="shared" si="10"/>
        <v>0</v>
      </c>
      <c r="AG11" s="265">
        <f t="shared" si="11"/>
        <v>0</v>
      </c>
      <c r="AH11" s="266">
        <f t="shared" si="12"/>
        <v>0</v>
      </c>
      <c r="AI11" s="122"/>
      <c r="AJ11" s="263"/>
      <c r="AK11" s="68">
        <f t="shared" si="13"/>
        <v>0</v>
      </c>
      <c r="AL11" s="122"/>
      <c r="AM11" s="263"/>
      <c r="AN11" s="68">
        <f t="shared" si="14"/>
        <v>0</v>
      </c>
      <c r="AO11" s="122"/>
      <c r="AP11" s="263"/>
      <c r="AQ11" s="68">
        <f t="shared" si="15"/>
        <v>0</v>
      </c>
      <c r="AR11" s="122"/>
      <c r="AS11" s="263"/>
      <c r="AT11" s="68">
        <f t="shared" si="16"/>
        <v>0</v>
      </c>
      <c r="AU11" s="267">
        <f t="shared" si="17"/>
        <v>0</v>
      </c>
      <c r="AV11" s="268">
        <f t="shared" si="18"/>
        <v>0</v>
      </c>
      <c r="AW11" s="269">
        <f t="shared" si="19"/>
        <v>0</v>
      </c>
      <c r="AX11" s="236">
        <f t="shared" si="27"/>
        <v>28095435</v>
      </c>
      <c r="AY11" s="270">
        <f t="shared" si="27"/>
        <v>23980486</v>
      </c>
      <c r="AZ11" s="271">
        <f t="shared" si="20"/>
        <v>-4114949</v>
      </c>
      <c r="BA11" s="122">
        <v>0</v>
      </c>
      <c r="BB11" s="272">
        <v>0</v>
      </c>
      <c r="BC11" s="273">
        <f t="shared" si="21"/>
        <v>0</v>
      </c>
      <c r="BD11" s="274">
        <f t="shared" si="28"/>
        <v>28095435</v>
      </c>
      <c r="BE11" s="275">
        <f t="shared" si="28"/>
        <v>23980486</v>
      </c>
      <c r="BF11" s="271">
        <f t="shared" si="22"/>
        <v>-4114949</v>
      </c>
      <c r="BG11" s="276">
        <f t="shared" si="29"/>
        <v>28095435</v>
      </c>
      <c r="BH11" s="276">
        <f t="shared" si="29"/>
        <v>23980486</v>
      </c>
      <c r="BI11" s="276">
        <f t="shared" si="29"/>
        <v>-4114949</v>
      </c>
      <c r="BJ11" s="277"/>
      <c r="BK11" s="278">
        <f>BJ11</f>
        <v>0</v>
      </c>
      <c r="BL11" s="278">
        <f>BK11</f>
        <v>0</v>
      </c>
      <c r="BM11" s="279">
        <f t="shared" si="24"/>
        <v>0</v>
      </c>
      <c r="BN11" s="280"/>
      <c r="BO11" s="278">
        <f t="shared" si="31"/>
        <v>0</v>
      </c>
      <c r="BP11" s="278">
        <f t="shared" si="31"/>
        <v>0</v>
      </c>
      <c r="BQ11" s="279">
        <f>BO11-BN11</f>
        <v>0</v>
      </c>
      <c r="BR11" s="277"/>
      <c r="BS11" s="278">
        <f t="shared" si="30"/>
        <v>0</v>
      </c>
      <c r="BT11" s="278">
        <f t="shared" si="30"/>
        <v>0</v>
      </c>
      <c r="BU11" s="279">
        <f>BS11-BR11</f>
        <v>0</v>
      </c>
      <c r="BV11" s="226"/>
      <c r="BW11" s="227">
        <f t="shared" si="26"/>
        <v>0</v>
      </c>
    </row>
    <row r="12" spans="1:75" s="11" customFormat="1" ht="14.25" thickBot="1">
      <c r="A12" s="281" t="s">
        <v>99</v>
      </c>
      <c r="B12" s="282">
        <f>B6+B9+B10+B11</f>
        <v>1500000</v>
      </c>
      <c r="C12" s="282">
        <f>C6+C9+C10+C11</f>
        <v>1500000</v>
      </c>
      <c r="D12" s="283">
        <f t="shared" si="0"/>
        <v>0</v>
      </c>
      <c r="E12" s="284">
        <f>E6+E9+E10+E11</f>
        <v>108835435</v>
      </c>
      <c r="F12" s="285">
        <f>F6+F9+F10+F11</f>
        <v>129720486</v>
      </c>
      <c r="G12" s="283">
        <f t="shared" si="1"/>
        <v>20885051</v>
      </c>
      <c r="H12" s="285">
        <f>H6+H9+H10+H11</f>
        <v>4000000</v>
      </c>
      <c r="I12" s="285">
        <f>I6+I9+I10+I11</f>
        <v>4000000</v>
      </c>
      <c r="J12" s="283">
        <f t="shared" si="2"/>
        <v>0</v>
      </c>
      <c r="K12" s="282">
        <f>K6+K9+K10+K11</f>
        <v>1700000</v>
      </c>
      <c r="L12" s="284">
        <f>L6+L9+L10+L11</f>
        <v>5047121</v>
      </c>
      <c r="M12" s="283">
        <f t="shared" si="3"/>
        <v>3347121</v>
      </c>
      <c r="N12" s="282">
        <f>N6+N9+N10+N11</f>
        <v>94453710</v>
      </c>
      <c r="O12" s="284">
        <f>O6+O9+O10+O11</f>
        <v>94453710</v>
      </c>
      <c r="P12" s="283">
        <f t="shared" si="4"/>
        <v>0</v>
      </c>
      <c r="Q12" s="282">
        <f>Q6+Q9+Q10+Q11</f>
        <v>450000</v>
      </c>
      <c r="R12" s="284">
        <f>R6+R9+R10+R11</f>
        <v>450000</v>
      </c>
      <c r="S12" s="283">
        <f t="shared" si="5"/>
        <v>0</v>
      </c>
      <c r="T12" s="282">
        <f>T6+T9+T10+T11</f>
        <v>0</v>
      </c>
      <c r="U12" s="284">
        <f>U6+U9+U10+U11</f>
        <v>0</v>
      </c>
      <c r="V12" s="283">
        <f t="shared" si="6"/>
        <v>0</v>
      </c>
      <c r="W12" s="282">
        <f>W6+W9+W10+W11</f>
        <v>472000</v>
      </c>
      <c r="X12" s="284">
        <f>X6+X9+X10+X11</f>
        <v>472000</v>
      </c>
      <c r="Y12" s="283">
        <f t="shared" si="7"/>
        <v>0</v>
      </c>
      <c r="Z12" s="282">
        <f>Z6+Z9+Z10+Z11</f>
        <v>0</v>
      </c>
      <c r="AA12" s="284">
        <f>AA6+AA9+AA10+AA11</f>
        <v>0</v>
      </c>
      <c r="AB12" s="283">
        <f t="shared" si="8"/>
        <v>0</v>
      </c>
      <c r="AC12" s="282">
        <f>AC6+AC9+AC10+AC11</f>
        <v>0</v>
      </c>
      <c r="AD12" s="284">
        <f>AD6+AD9+AD10+AD11</f>
        <v>0</v>
      </c>
      <c r="AE12" s="283">
        <f t="shared" si="9"/>
        <v>0</v>
      </c>
      <c r="AF12" s="286">
        <f t="shared" si="10"/>
        <v>922000</v>
      </c>
      <c r="AG12" s="287">
        <f t="shared" si="11"/>
        <v>922000</v>
      </c>
      <c r="AH12" s="288">
        <f t="shared" si="12"/>
        <v>0</v>
      </c>
      <c r="AI12" s="282">
        <f>AI6+AI9+AI10+AI11</f>
        <v>1400000</v>
      </c>
      <c r="AJ12" s="284">
        <f>AJ6+AJ9+AJ10+AJ11</f>
        <v>1400000</v>
      </c>
      <c r="AK12" s="283">
        <f t="shared" si="13"/>
        <v>0</v>
      </c>
      <c r="AL12" s="282">
        <f>AL6+AL9+AL10+AL11</f>
        <v>150000</v>
      </c>
      <c r="AM12" s="284">
        <f>AM6+AM9+AM10+AM11</f>
        <v>150000</v>
      </c>
      <c r="AN12" s="283">
        <f t="shared" si="14"/>
        <v>0</v>
      </c>
      <c r="AO12" s="282">
        <f>AO6+AO9+AO10+AO11</f>
        <v>0</v>
      </c>
      <c r="AP12" s="284">
        <f>AP6+AP9+AP10+AP11</f>
        <v>0</v>
      </c>
      <c r="AQ12" s="283">
        <f t="shared" si="15"/>
        <v>0</v>
      </c>
      <c r="AR12" s="282">
        <f>AR6+AR9+AR10+AR11</f>
        <v>61600</v>
      </c>
      <c r="AS12" s="284">
        <f>AS6+AS9+AS10+AS11</f>
        <v>61600</v>
      </c>
      <c r="AT12" s="283">
        <f t="shared" si="16"/>
        <v>0</v>
      </c>
      <c r="AU12" s="289">
        <f t="shared" si="17"/>
        <v>1611600</v>
      </c>
      <c r="AV12" s="290">
        <f t="shared" si="18"/>
        <v>1611600</v>
      </c>
      <c r="AW12" s="291">
        <f t="shared" si="19"/>
        <v>0</v>
      </c>
      <c r="AX12" s="292">
        <f>AX6+AX9+AX10+AX11</f>
        <v>213022745</v>
      </c>
      <c r="AY12" s="293">
        <f>AY6+AY9+AY10+AY11</f>
        <v>237254917</v>
      </c>
      <c r="AZ12" s="294">
        <f t="shared" si="20"/>
        <v>24232172</v>
      </c>
      <c r="BA12" s="282">
        <f>BA6+BA9+BA10+BA11</f>
        <v>1453915966</v>
      </c>
      <c r="BB12" s="295">
        <f>BB6+BB9+BB10+BB11</f>
        <v>1489322109</v>
      </c>
      <c r="BC12" s="296">
        <f t="shared" si="21"/>
        <v>35406143</v>
      </c>
      <c r="BD12" s="297">
        <f>BD6+BD9+BD10+BD11</f>
        <v>1666938711</v>
      </c>
      <c r="BE12" s="295">
        <f>BE6+BE9+BE10+BE11</f>
        <v>1726577026</v>
      </c>
      <c r="BF12" s="296">
        <f t="shared" si="22"/>
        <v>59638315</v>
      </c>
      <c r="BG12" s="298">
        <f aca="true" t="shared" si="32" ref="BG12:BL12">BG6+BG9+BG10+BG11</f>
        <v>1666938711</v>
      </c>
      <c r="BH12" s="298">
        <f t="shared" si="32"/>
        <v>1726577026</v>
      </c>
      <c r="BI12" s="298">
        <f t="shared" si="32"/>
        <v>59638315</v>
      </c>
      <c r="BJ12" s="299">
        <f t="shared" si="32"/>
        <v>1537177290</v>
      </c>
      <c r="BK12" s="300">
        <f t="shared" si="32"/>
        <v>1598042290</v>
      </c>
      <c r="BL12" s="300">
        <f t="shared" si="32"/>
        <v>1598042290</v>
      </c>
      <c r="BM12" s="301">
        <f t="shared" si="24"/>
        <v>0</v>
      </c>
      <c r="BN12" s="302">
        <f aca="true" t="shared" si="33" ref="BN12:BU12">BN6+BN9+BN10+BN11</f>
        <v>112309</v>
      </c>
      <c r="BO12" s="300">
        <f t="shared" si="33"/>
        <v>113409</v>
      </c>
      <c r="BP12" s="300">
        <f t="shared" si="33"/>
        <v>114509</v>
      </c>
      <c r="BQ12" s="301">
        <f t="shared" si="33"/>
        <v>1100</v>
      </c>
      <c r="BR12" s="299">
        <f t="shared" si="33"/>
        <v>0</v>
      </c>
      <c r="BS12" s="300">
        <f t="shared" si="33"/>
        <v>0</v>
      </c>
      <c r="BT12" s="300">
        <f t="shared" si="33"/>
        <v>0</v>
      </c>
      <c r="BU12" s="301">
        <f t="shared" si="33"/>
        <v>0</v>
      </c>
      <c r="BV12" s="303"/>
      <c r="BW12" s="227">
        <f t="shared" si="26"/>
        <v>1598155699</v>
      </c>
    </row>
    <row r="13" spans="1:75" s="9" customFormat="1" ht="13.5">
      <c r="A13" s="207" t="s">
        <v>81</v>
      </c>
      <c r="B13" s="123"/>
      <c r="C13" s="124"/>
      <c r="D13" s="18">
        <f t="shared" si="0"/>
        <v>0</v>
      </c>
      <c r="E13" s="304"/>
      <c r="F13" s="124"/>
      <c r="G13" s="18">
        <f t="shared" si="1"/>
        <v>0</v>
      </c>
      <c r="H13" s="124"/>
      <c r="I13" s="124"/>
      <c r="J13" s="18">
        <f t="shared" si="2"/>
        <v>0</v>
      </c>
      <c r="K13" s="123"/>
      <c r="L13" s="304"/>
      <c r="M13" s="18">
        <f t="shared" si="3"/>
        <v>0</v>
      </c>
      <c r="N13" s="123"/>
      <c r="O13" s="304"/>
      <c r="P13" s="18">
        <f t="shared" si="4"/>
        <v>0</v>
      </c>
      <c r="Q13" s="123"/>
      <c r="R13" s="304"/>
      <c r="S13" s="18">
        <f t="shared" si="5"/>
        <v>0</v>
      </c>
      <c r="T13" s="123"/>
      <c r="U13" s="304"/>
      <c r="V13" s="18">
        <f t="shared" si="6"/>
        <v>0</v>
      </c>
      <c r="W13" s="123"/>
      <c r="X13" s="304"/>
      <c r="Y13" s="18">
        <f t="shared" si="7"/>
        <v>0</v>
      </c>
      <c r="Z13" s="123"/>
      <c r="AA13" s="304"/>
      <c r="AB13" s="18">
        <f t="shared" si="8"/>
        <v>0</v>
      </c>
      <c r="AC13" s="123"/>
      <c r="AD13" s="304"/>
      <c r="AE13" s="18">
        <f t="shared" si="9"/>
        <v>0</v>
      </c>
      <c r="AF13" s="208">
        <f t="shared" si="10"/>
        <v>0</v>
      </c>
      <c r="AG13" s="305">
        <f t="shared" si="11"/>
        <v>0</v>
      </c>
      <c r="AH13" s="210">
        <f t="shared" si="12"/>
        <v>0</v>
      </c>
      <c r="AI13" s="123"/>
      <c r="AJ13" s="304"/>
      <c r="AK13" s="18">
        <f t="shared" si="13"/>
        <v>0</v>
      </c>
      <c r="AL13" s="123"/>
      <c r="AM13" s="304"/>
      <c r="AN13" s="18">
        <f t="shared" si="14"/>
        <v>0</v>
      </c>
      <c r="AO13" s="123"/>
      <c r="AP13" s="304"/>
      <c r="AQ13" s="18">
        <f t="shared" si="15"/>
        <v>0</v>
      </c>
      <c r="AR13" s="123"/>
      <c r="AS13" s="304"/>
      <c r="AT13" s="18">
        <f t="shared" si="16"/>
        <v>0</v>
      </c>
      <c r="AU13" s="211">
        <f t="shared" si="17"/>
        <v>0</v>
      </c>
      <c r="AV13" s="306">
        <f t="shared" si="18"/>
        <v>0</v>
      </c>
      <c r="AW13" s="213">
        <f t="shared" si="19"/>
        <v>0</v>
      </c>
      <c r="AX13" s="214">
        <f aca="true" t="shared" si="34" ref="AX13:AY15">B13+E13+H13+K13+N13+AU13+AF13</f>
        <v>0</v>
      </c>
      <c r="AY13" s="215">
        <f t="shared" si="34"/>
        <v>0</v>
      </c>
      <c r="AZ13" s="216">
        <f t="shared" si="20"/>
        <v>0</v>
      </c>
      <c r="BA13" s="123">
        <v>41720075</v>
      </c>
      <c r="BB13" s="217">
        <v>178335518</v>
      </c>
      <c r="BC13" s="218">
        <f t="shared" si="21"/>
        <v>136615443</v>
      </c>
      <c r="BD13" s="219">
        <f aca="true" t="shared" si="35" ref="BD13:BE15">BA13+AX13</f>
        <v>41720075</v>
      </c>
      <c r="BE13" s="220">
        <f t="shared" si="35"/>
        <v>178335518</v>
      </c>
      <c r="BF13" s="216">
        <f t="shared" si="22"/>
        <v>136615443</v>
      </c>
      <c r="BG13" s="221">
        <f aca="true" t="shared" si="36" ref="BG13:BI15">BD13</f>
        <v>41720075</v>
      </c>
      <c r="BH13" s="221">
        <f t="shared" si="36"/>
        <v>178335518</v>
      </c>
      <c r="BI13" s="221">
        <f t="shared" si="36"/>
        <v>136615443</v>
      </c>
      <c r="BJ13" s="222">
        <v>101293</v>
      </c>
      <c r="BK13" s="243">
        <f>BJ13+671111</f>
        <v>772404</v>
      </c>
      <c r="BL13" s="243">
        <f>BK13+671111</f>
        <v>1443515</v>
      </c>
      <c r="BM13" s="224">
        <f t="shared" si="24"/>
        <v>671111</v>
      </c>
      <c r="BN13" s="223">
        <v>20240</v>
      </c>
      <c r="BO13" s="243">
        <f aca="true" t="shared" si="37" ref="BO13:BP15">BN13</f>
        <v>20240</v>
      </c>
      <c r="BP13" s="243">
        <f t="shared" si="37"/>
        <v>20240</v>
      </c>
      <c r="BQ13" s="224">
        <f>BO13-BN13</f>
        <v>0</v>
      </c>
      <c r="BR13" s="222"/>
      <c r="BS13" s="243">
        <f aca="true" t="shared" si="38" ref="BS13:BT15">BR13</f>
        <v>0</v>
      </c>
      <c r="BT13" s="243">
        <f t="shared" si="38"/>
        <v>0</v>
      </c>
      <c r="BU13" s="224">
        <f>BS13-BR13</f>
        <v>0</v>
      </c>
      <c r="BV13" s="226"/>
      <c r="BW13" s="227">
        <f t="shared" si="26"/>
        <v>792644</v>
      </c>
    </row>
    <row r="14" spans="1:75" s="9" customFormat="1" ht="13.5">
      <c r="A14" s="307" t="s">
        <v>96</v>
      </c>
      <c r="B14" s="120"/>
      <c r="C14" s="79"/>
      <c r="D14" s="77">
        <f t="shared" si="0"/>
        <v>0</v>
      </c>
      <c r="E14" s="308"/>
      <c r="F14" s="79"/>
      <c r="G14" s="77">
        <f t="shared" si="1"/>
        <v>0</v>
      </c>
      <c r="H14" s="126"/>
      <c r="I14" s="79"/>
      <c r="J14" s="77">
        <f t="shared" si="2"/>
        <v>0</v>
      </c>
      <c r="K14" s="125"/>
      <c r="L14" s="229"/>
      <c r="M14" s="77">
        <f t="shared" si="3"/>
        <v>0</v>
      </c>
      <c r="N14" s="125"/>
      <c r="O14" s="229"/>
      <c r="P14" s="77">
        <f t="shared" si="4"/>
        <v>0</v>
      </c>
      <c r="Q14" s="125"/>
      <c r="R14" s="229"/>
      <c r="S14" s="77">
        <f t="shared" si="5"/>
        <v>0</v>
      </c>
      <c r="T14" s="125"/>
      <c r="U14" s="229"/>
      <c r="V14" s="77">
        <f t="shared" si="6"/>
        <v>0</v>
      </c>
      <c r="W14" s="125"/>
      <c r="X14" s="229"/>
      <c r="Y14" s="77">
        <f t="shared" si="7"/>
        <v>0</v>
      </c>
      <c r="Z14" s="125"/>
      <c r="AA14" s="229"/>
      <c r="AB14" s="77">
        <f t="shared" si="8"/>
        <v>0</v>
      </c>
      <c r="AC14" s="125"/>
      <c r="AD14" s="229"/>
      <c r="AE14" s="77">
        <f t="shared" si="9"/>
        <v>0</v>
      </c>
      <c r="AF14" s="309">
        <f t="shared" si="10"/>
        <v>0</v>
      </c>
      <c r="AG14" s="231">
        <f t="shared" si="11"/>
        <v>0</v>
      </c>
      <c r="AH14" s="232">
        <f t="shared" si="12"/>
        <v>0</v>
      </c>
      <c r="AI14" s="125"/>
      <c r="AJ14" s="229"/>
      <c r="AK14" s="77">
        <f t="shared" si="13"/>
        <v>0</v>
      </c>
      <c r="AL14" s="125"/>
      <c r="AM14" s="229"/>
      <c r="AN14" s="77">
        <f t="shared" si="14"/>
        <v>0</v>
      </c>
      <c r="AO14" s="125"/>
      <c r="AP14" s="229"/>
      <c r="AQ14" s="77">
        <f t="shared" si="15"/>
        <v>0</v>
      </c>
      <c r="AR14" s="125"/>
      <c r="AS14" s="229"/>
      <c r="AT14" s="77">
        <f t="shared" si="16"/>
        <v>0</v>
      </c>
      <c r="AU14" s="310">
        <f t="shared" si="17"/>
        <v>0</v>
      </c>
      <c r="AV14" s="234">
        <f t="shared" si="18"/>
        <v>0</v>
      </c>
      <c r="AW14" s="235">
        <f t="shared" si="19"/>
        <v>0</v>
      </c>
      <c r="AX14" s="214">
        <f t="shared" si="34"/>
        <v>0</v>
      </c>
      <c r="AY14" s="247">
        <f t="shared" si="34"/>
        <v>0</v>
      </c>
      <c r="AZ14" s="237">
        <f t="shared" si="20"/>
        <v>0</v>
      </c>
      <c r="BA14" s="125">
        <v>0</v>
      </c>
      <c r="BB14" s="79">
        <v>96301000</v>
      </c>
      <c r="BC14" s="238">
        <f t="shared" si="21"/>
        <v>96301000</v>
      </c>
      <c r="BD14" s="219">
        <f t="shared" si="35"/>
        <v>0</v>
      </c>
      <c r="BE14" s="240">
        <f t="shared" si="35"/>
        <v>96301000</v>
      </c>
      <c r="BF14" s="237">
        <f t="shared" si="22"/>
        <v>96301000</v>
      </c>
      <c r="BG14" s="311">
        <f t="shared" si="36"/>
        <v>0</v>
      </c>
      <c r="BH14" s="311">
        <f t="shared" si="36"/>
        <v>96301000</v>
      </c>
      <c r="BI14" s="311">
        <f t="shared" si="36"/>
        <v>96301000</v>
      </c>
      <c r="BJ14" s="312">
        <v>100000000</v>
      </c>
      <c r="BK14" s="243">
        <f>BJ14+93000000</f>
        <v>193000000</v>
      </c>
      <c r="BL14" s="243">
        <f>BK14+0</f>
        <v>193000000</v>
      </c>
      <c r="BM14" s="244">
        <f t="shared" si="24"/>
        <v>0</v>
      </c>
      <c r="BN14" s="313"/>
      <c r="BO14" s="243">
        <f t="shared" si="37"/>
        <v>0</v>
      </c>
      <c r="BP14" s="243">
        <f t="shared" si="37"/>
        <v>0</v>
      </c>
      <c r="BQ14" s="244">
        <f>BO14-BN14</f>
        <v>0</v>
      </c>
      <c r="BR14" s="312"/>
      <c r="BS14" s="243">
        <f t="shared" si="38"/>
        <v>0</v>
      </c>
      <c r="BT14" s="243">
        <f t="shared" si="38"/>
        <v>0</v>
      </c>
      <c r="BU14" s="244">
        <f>BS14-BR14</f>
        <v>0</v>
      </c>
      <c r="BV14" s="246"/>
      <c r="BW14" s="227">
        <f t="shared" si="26"/>
        <v>193000000</v>
      </c>
    </row>
    <row r="15" spans="1:75" s="9" customFormat="1" ht="13.5">
      <c r="A15" s="248" t="s">
        <v>68</v>
      </c>
      <c r="B15" s="121"/>
      <c r="C15" s="62"/>
      <c r="D15" s="19">
        <f t="shared" si="0"/>
        <v>0</v>
      </c>
      <c r="E15" s="249"/>
      <c r="F15" s="62"/>
      <c r="G15" s="19">
        <f t="shared" si="1"/>
        <v>0</v>
      </c>
      <c r="H15" s="62"/>
      <c r="I15" s="62"/>
      <c r="J15" s="19">
        <f t="shared" si="2"/>
        <v>0</v>
      </c>
      <c r="K15" s="121"/>
      <c r="L15" s="249"/>
      <c r="M15" s="19">
        <f t="shared" si="3"/>
        <v>0</v>
      </c>
      <c r="N15" s="121"/>
      <c r="O15" s="249"/>
      <c r="P15" s="19">
        <f t="shared" si="4"/>
        <v>0</v>
      </c>
      <c r="Q15" s="121"/>
      <c r="R15" s="249"/>
      <c r="S15" s="19">
        <f t="shared" si="5"/>
        <v>0</v>
      </c>
      <c r="T15" s="121"/>
      <c r="U15" s="249"/>
      <c r="V15" s="19">
        <f t="shared" si="6"/>
        <v>0</v>
      </c>
      <c r="W15" s="121"/>
      <c r="X15" s="249"/>
      <c r="Y15" s="19">
        <f t="shared" si="7"/>
        <v>0</v>
      </c>
      <c r="Z15" s="121"/>
      <c r="AA15" s="249"/>
      <c r="AB15" s="19">
        <f t="shared" si="8"/>
        <v>0</v>
      </c>
      <c r="AC15" s="121"/>
      <c r="AD15" s="249"/>
      <c r="AE15" s="19">
        <f t="shared" si="9"/>
        <v>0</v>
      </c>
      <c r="AF15" s="250">
        <f t="shared" si="10"/>
        <v>0</v>
      </c>
      <c r="AG15" s="251">
        <f t="shared" si="11"/>
        <v>0</v>
      </c>
      <c r="AH15" s="252">
        <f t="shared" si="12"/>
        <v>0</v>
      </c>
      <c r="AI15" s="121"/>
      <c r="AJ15" s="249"/>
      <c r="AK15" s="19">
        <f t="shared" si="13"/>
        <v>0</v>
      </c>
      <c r="AL15" s="121"/>
      <c r="AM15" s="249"/>
      <c r="AN15" s="19">
        <f t="shared" si="14"/>
        <v>0</v>
      </c>
      <c r="AO15" s="121"/>
      <c r="AP15" s="249"/>
      <c r="AQ15" s="19">
        <f t="shared" si="15"/>
        <v>0</v>
      </c>
      <c r="AR15" s="121"/>
      <c r="AS15" s="249"/>
      <c r="AT15" s="19">
        <f t="shared" si="16"/>
        <v>0</v>
      </c>
      <c r="AU15" s="253">
        <f t="shared" si="17"/>
        <v>0</v>
      </c>
      <c r="AV15" s="254">
        <f t="shared" si="18"/>
        <v>0</v>
      </c>
      <c r="AW15" s="255">
        <f t="shared" si="19"/>
        <v>0</v>
      </c>
      <c r="AX15" s="214">
        <f t="shared" si="34"/>
        <v>0</v>
      </c>
      <c r="AY15" s="247">
        <f t="shared" si="34"/>
        <v>0</v>
      </c>
      <c r="AZ15" s="237">
        <f t="shared" si="20"/>
        <v>0</v>
      </c>
      <c r="BA15" s="121">
        <v>205340627</v>
      </c>
      <c r="BB15" s="256">
        <v>183353173</v>
      </c>
      <c r="BC15" s="238">
        <f t="shared" si="21"/>
        <v>-21987454</v>
      </c>
      <c r="BD15" s="239">
        <f t="shared" si="35"/>
        <v>205340627</v>
      </c>
      <c r="BE15" s="240">
        <f t="shared" si="35"/>
        <v>183353173</v>
      </c>
      <c r="BF15" s="237">
        <f t="shared" si="22"/>
        <v>-21987454</v>
      </c>
      <c r="BG15" s="257">
        <f t="shared" si="36"/>
        <v>205340627</v>
      </c>
      <c r="BH15" s="257">
        <f t="shared" si="36"/>
        <v>183353173</v>
      </c>
      <c r="BI15" s="257">
        <f t="shared" si="36"/>
        <v>-21987454</v>
      </c>
      <c r="BJ15" s="258">
        <v>87248000</v>
      </c>
      <c r="BK15" s="243">
        <v>87248000</v>
      </c>
      <c r="BL15" s="243">
        <v>87248000</v>
      </c>
      <c r="BM15" s="260">
        <f t="shared" si="24"/>
        <v>0</v>
      </c>
      <c r="BN15" s="261"/>
      <c r="BO15" s="243">
        <f t="shared" si="37"/>
        <v>0</v>
      </c>
      <c r="BP15" s="243">
        <f t="shared" si="37"/>
        <v>0</v>
      </c>
      <c r="BQ15" s="260">
        <f>BO15-BN15</f>
        <v>0</v>
      </c>
      <c r="BR15" s="258"/>
      <c r="BS15" s="243">
        <f t="shared" si="38"/>
        <v>0</v>
      </c>
      <c r="BT15" s="243">
        <f t="shared" si="38"/>
        <v>0</v>
      </c>
      <c r="BU15" s="260">
        <f>BS15-BR15</f>
        <v>0</v>
      </c>
      <c r="BV15" s="226"/>
      <c r="BW15" s="227">
        <f t="shared" si="26"/>
        <v>87248000</v>
      </c>
    </row>
    <row r="16" spans="1:75" s="9" customFormat="1" ht="13.5">
      <c r="A16" s="248" t="s">
        <v>59</v>
      </c>
      <c r="B16" s="121">
        <f>SUM(B17:B18)</f>
        <v>0</v>
      </c>
      <c r="C16" s="62">
        <f>SUM(C17:C18)</f>
        <v>0</v>
      </c>
      <c r="D16" s="19">
        <f t="shared" si="0"/>
        <v>0</v>
      </c>
      <c r="E16" s="249">
        <f>SUM(E17:E18)</f>
        <v>1478431</v>
      </c>
      <c r="F16" s="62">
        <f>SUM(F17:F18)</f>
        <v>1478431</v>
      </c>
      <c r="G16" s="19">
        <f t="shared" si="1"/>
        <v>0</v>
      </c>
      <c r="H16" s="62">
        <f>SUM(H17:H18)</f>
        <v>0</v>
      </c>
      <c r="I16" s="62">
        <f>SUM(I17:I18)</f>
        <v>0</v>
      </c>
      <c r="J16" s="19">
        <f t="shared" si="2"/>
        <v>0</v>
      </c>
      <c r="K16" s="121">
        <f>SUM(K17:K18)</f>
        <v>0</v>
      </c>
      <c r="L16" s="249">
        <f>SUM(L17:L18)</f>
        <v>0</v>
      </c>
      <c r="M16" s="19">
        <f t="shared" si="3"/>
        <v>0</v>
      </c>
      <c r="N16" s="121">
        <f>SUM(N17:N18)</f>
        <v>0</v>
      </c>
      <c r="O16" s="249">
        <f>SUM(O17:O18)</f>
        <v>0</v>
      </c>
      <c r="P16" s="19">
        <f t="shared" si="4"/>
        <v>0</v>
      </c>
      <c r="Q16" s="121">
        <f>SUM(Q17:Q18)</f>
        <v>0</v>
      </c>
      <c r="R16" s="249">
        <f>SUM(R17:R18)</f>
        <v>0</v>
      </c>
      <c r="S16" s="19">
        <f t="shared" si="5"/>
        <v>0</v>
      </c>
      <c r="T16" s="121">
        <f>SUM(T17:T18)</f>
        <v>0</v>
      </c>
      <c r="U16" s="249">
        <f>SUM(U17:U18)</f>
        <v>0</v>
      </c>
      <c r="V16" s="19">
        <f t="shared" si="6"/>
        <v>0</v>
      </c>
      <c r="W16" s="121">
        <f>SUM(W17:W18)</f>
        <v>0</v>
      </c>
      <c r="X16" s="249">
        <f>SUM(X17:X18)</f>
        <v>0</v>
      </c>
      <c r="Y16" s="19">
        <f t="shared" si="7"/>
        <v>0</v>
      </c>
      <c r="Z16" s="121">
        <f>SUM(Z17:Z18)</f>
        <v>0</v>
      </c>
      <c r="AA16" s="249">
        <f>SUM(AA17:AA18)</f>
        <v>0</v>
      </c>
      <c r="AB16" s="19">
        <f t="shared" si="8"/>
        <v>0</v>
      </c>
      <c r="AC16" s="121">
        <f>SUM(AC17:AC18)</f>
        <v>0</v>
      </c>
      <c r="AD16" s="249">
        <f>SUM(AD17:AD18)</f>
        <v>0</v>
      </c>
      <c r="AE16" s="19">
        <f t="shared" si="9"/>
        <v>0</v>
      </c>
      <c r="AF16" s="250">
        <f t="shared" si="10"/>
        <v>0</v>
      </c>
      <c r="AG16" s="251">
        <f t="shared" si="11"/>
        <v>0</v>
      </c>
      <c r="AH16" s="252">
        <f t="shared" si="12"/>
        <v>0</v>
      </c>
      <c r="AI16" s="314">
        <f>SUM(AI17:AI18)</f>
        <v>0</v>
      </c>
      <c r="AJ16" s="249">
        <f>SUM(AJ17:AJ18)</f>
        <v>0</v>
      </c>
      <c r="AK16" s="19">
        <f t="shared" si="13"/>
        <v>0</v>
      </c>
      <c r="AL16" s="121">
        <f>SUM(AL17:AL18)</f>
        <v>0</v>
      </c>
      <c r="AM16" s="121">
        <f>SUM(AM17:AM18)</f>
        <v>0</v>
      </c>
      <c r="AN16" s="19">
        <f t="shared" si="14"/>
        <v>0</v>
      </c>
      <c r="AO16" s="314">
        <f>SUM(AO17:AO18)</f>
        <v>0</v>
      </c>
      <c r="AP16" s="249">
        <f>SUM(AP17:AP18)</f>
        <v>0</v>
      </c>
      <c r="AQ16" s="19">
        <f t="shared" si="15"/>
        <v>0</v>
      </c>
      <c r="AR16" s="314">
        <f>SUM(AR17:AR18)</f>
        <v>0</v>
      </c>
      <c r="AS16" s="249">
        <f>SUM(AS17:AS18)</f>
        <v>0</v>
      </c>
      <c r="AT16" s="19">
        <f t="shared" si="16"/>
        <v>0</v>
      </c>
      <c r="AU16" s="253">
        <f t="shared" si="17"/>
        <v>0</v>
      </c>
      <c r="AV16" s="254">
        <f t="shared" si="18"/>
        <v>0</v>
      </c>
      <c r="AW16" s="255">
        <f t="shared" si="19"/>
        <v>0</v>
      </c>
      <c r="AX16" s="236">
        <f>SUM(AX17:AX18)</f>
        <v>1478431</v>
      </c>
      <c r="AY16" s="247">
        <f>SUM(AY17:AY18)</f>
        <v>1478431</v>
      </c>
      <c r="AZ16" s="237">
        <f t="shared" si="20"/>
        <v>0</v>
      </c>
      <c r="BA16" s="121">
        <f>SUM(BA17:BA18)</f>
        <v>12815928</v>
      </c>
      <c r="BB16" s="256">
        <f>SUM(BB17:BB18)</f>
        <v>12815928</v>
      </c>
      <c r="BC16" s="238">
        <f t="shared" si="21"/>
        <v>0</v>
      </c>
      <c r="BD16" s="239">
        <f>SUM(BD17:BD18)</f>
        <v>14294359</v>
      </c>
      <c r="BE16" s="240">
        <f>SUM(BE17:BE18)</f>
        <v>14294359</v>
      </c>
      <c r="BF16" s="237">
        <f t="shared" si="22"/>
        <v>0</v>
      </c>
      <c r="BG16" s="257">
        <f aca="true" t="shared" si="39" ref="BG16:BL16">SUM(BG17:BG18)</f>
        <v>14294359</v>
      </c>
      <c r="BH16" s="257">
        <f t="shared" si="39"/>
        <v>14294359</v>
      </c>
      <c r="BI16" s="257">
        <f t="shared" si="39"/>
        <v>0</v>
      </c>
      <c r="BJ16" s="258">
        <f t="shared" si="39"/>
        <v>8218000</v>
      </c>
      <c r="BK16" s="259">
        <f t="shared" si="39"/>
        <v>8218000</v>
      </c>
      <c r="BL16" s="259">
        <f t="shared" si="39"/>
        <v>8218000</v>
      </c>
      <c r="BM16" s="260">
        <f t="shared" si="24"/>
        <v>0</v>
      </c>
      <c r="BN16" s="261">
        <f aca="true" t="shared" si="40" ref="BN16:BU16">SUM(BN17:BN18)</f>
        <v>5139</v>
      </c>
      <c r="BO16" s="259">
        <f t="shared" si="40"/>
        <v>5139</v>
      </c>
      <c r="BP16" s="259">
        <f t="shared" si="40"/>
        <v>5139</v>
      </c>
      <c r="BQ16" s="260">
        <f t="shared" si="40"/>
        <v>0</v>
      </c>
      <c r="BR16" s="258">
        <f t="shared" si="40"/>
        <v>0</v>
      </c>
      <c r="BS16" s="259">
        <f t="shared" si="40"/>
        <v>0</v>
      </c>
      <c r="BT16" s="259">
        <f t="shared" si="40"/>
        <v>0</v>
      </c>
      <c r="BU16" s="260">
        <f t="shared" si="40"/>
        <v>0</v>
      </c>
      <c r="BV16" s="226"/>
      <c r="BW16" s="227">
        <f t="shared" si="26"/>
        <v>8223139</v>
      </c>
    </row>
    <row r="17" spans="1:75" s="9" customFormat="1" ht="26.25">
      <c r="A17" s="315" t="s">
        <v>128</v>
      </c>
      <c r="B17" s="120"/>
      <c r="C17" s="79"/>
      <c r="D17" s="77">
        <f t="shared" si="0"/>
        <v>0</v>
      </c>
      <c r="E17" s="229"/>
      <c r="F17" s="79"/>
      <c r="G17" s="77">
        <f t="shared" si="1"/>
        <v>0</v>
      </c>
      <c r="H17" s="79"/>
      <c r="I17" s="79"/>
      <c r="J17" s="77">
        <f t="shared" si="2"/>
        <v>0</v>
      </c>
      <c r="K17" s="120"/>
      <c r="L17" s="229"/>
      <c r="M17" s="77">
        <f t="shared" si="3"/>
        <v>0</v>
      </c>
      <c r="N17" s="120"/>
      <c r="O17" s="229"/>
      <c r="P17" s="77">
        <f t="shared" si="4"/>
        <v>0</v>
      </c>
      <c r="Q17" s="120"/>
      <c r="R17" s="229"/>
      <c r="S17" s="77">
        <f t="shared" si="5"/>
        <v>0</v>
      </c>
      <c r="T17" s="120"/>
      <c r="U17" s="229"/>
      <c r="V17" s="77">
        <f t="shared" si="6"/>
        <v>0</v>
      </c>
      <c r="W17" s="120"/>
      <c r="X17" s="229"/>
      <c r="Y17" s="77">
        <f t="shared" si="7"/>
        <v>0</v>
      </c>
      <c r="Z17" s="120"/>
      <c r="AA17" s="229"/>
      <c r="AB17" s="77">
        <f t="shared" si="8"/>
        <v>0</v>
      </c>
      <c r="AC17" s="120"/>
      <c r="AD17" s="229"/>
      <c r="AE17" s="77">
        <f t="shared" si="9"/>
        <v>0</v>
      </c>
      <c r="AF17" s="230">
        <f t="shared" si="10"/>
        <v>0</v>
      </c>
      <c r="AG17" s="231">
        <f t="shared" si="11"/>
        <v>0</v>
      </c>
      <c r="AH17" s="232">
        <f t="shared" si="12"/>
        <v>0</v>
      </c>
      <c r="AI17" s="120"/>
      <c r="AJ17" s="229"/>
      <c r="AK17" s="77">
        <f t="shared" si="13"/>
        <v>0</v>
      </c>
      <c r="AL17" s="120"/>
      <c r="AM17" s="229"/>
      <c r="AN17" s="77">
        <f t="shared" si="14"/>
        <v>0</v>
      </c>
      <c r="AO17" s="120"/>
      <c r="AP17" s="229"/>
      <c r="AQ17" s="77">
        <f t="shared" si="15"/>
        <v>0</v>
      </c>
      <c r="AR17" s="120"/>
      <c r="AS17" s="229"/>
      <c r="AT17" s="77">
        <f t="shared" si="16"/>
        <v>0</v>
      </c>
      <c r="AU17" s="233">
        <f t="shared" si="17"/>
        <v>0</v>
      </c>
      <c r="AV17" s="234">
        <f t="shared" si="18"/>
        <v>0</v>
      </c>
      <c r="AW17" s="235">
        <f t="shared" si="19"/>
        <v>0</v>
      </c>
      <c r="AX17" s="236">
        <f>B17+E17+H17+K17+N17+AU17+AF17</f>
        <v>0</v>
      </c>
      <c r="AY17" s="247">
        <f>C17+F17+I17+L17+O17+AV17+AG17</f>
        <v>0</v>
      </c>
      <c r="AZ17" s="237">
        <f t="shared" si="20"/>
        <v>0</v>
      </c>
      <c r="BA17" s="120">
        <v>12815928</v>
      </c>
      <c r="BB17" s="79">
        <v>12815928</v>
      </c>
      <c r="BC17" s="238">
        <f t="shared" si="21"/>
        <v>0</v>
      </c>
      <c r="BD17" s="239">
        <f>BA17+AX17</f>
        <v>12815928</v>
      </c>
      <c r="BE17" s="240">
        <f>BB17+AY17</f>
        <v>12815928</v>
      </c>
      <c r="BF17" s="237">
        <f t="shared" si="22"/>
        <v>0</v>
      </c>
      <c r="BG17" s="241">
        <f aca="true" t="shared" si="41" ref="BG17:BI18">BD17</f>
        <v>12815928</v>
      </c>
      <c r="BH17" s="241">
        <f t="shared" si="41"/>
        <v>12815928</v>
      </c>
      <c r="BI17" s="241">
        <f t="shared" si="41"/>
        <v>0</v>
      </c>
      <c r="BJ17" s="242">
        <v>8218000</v>
      </c>
      <c r="BK17" s="243">
        <v>8218000</v>
      </c>
      <c r="BL17" s="243">
        <v>8218000</v>
      </c>
      <c r="BM17" s="244">
        <f t="shared" si="24"/>
        <v>0</v>
      </c>
      <c r="BN17" s="245">
        <v>5139</v>
      </c>
      <c r="BO17" s="243">
        <f>BN17</f>
        <v>5139</v>
      </c>
      <c r="BP17" s="243">
        <f>BO17</f>
        <v>5139</v>
      </c>
      <c r="BQ17" s="244">
        <f>BO17-BN17</f>
        <v>0</v>
      </c>
      <c r="BR17" s="242"/>
      <c r="BS17" s="243">
        <f>BR17</f>
        <v>0</v>
      </c>
      <c r="BT17" s="243">
        <f>BS17</f>
        <v>0</v>
      </c>
      <c r="BU17" s="244">
        <f>BS17-BR17</f>
        <v>0</v>
      </c>
      <c r="BV17" s="246"/>
      <c r="BW17" s="227">
        <f t="shared" si="26"/>
        <v>8223139</v>
      </c>
    </row>
    <row r="18" spans="1:75" s="9" customFormat="1" ht="14.25" thickBot="1">
      <c r="A18" s="315" t="s">
        <v>129</v>
      </c>
      <c r="B18" s="127"/>
      <c r="C18" s="128"/>
      <c r="D18" s="81">
        <f t="shared" si="0"/>
        <v>0</v>
      </c>
      <c r="E18" s="316">
        <v>1478431</v>
      </c>
      <c r="F18" s="128">
        <v>1478431</v>
      </c>
      <c r="G18" s="81">
        <f t="shared" si="1"/>
        <v>0</v>
      </c>
      <c r="H18" s="128"/>
      <c r="I18" s="128"/>
      <c r="J18" s="81">
        <f t="shared" si="2"/>
        <v>0</v>
      </c>
      <c r="K18" s="127"/>
      <c r="L18" s="316"/>
      <c r="M18" s="81">
        <f t="shared" si="3"/>
        <v>0</v>
      </c>
      <c r="N18" s="127"/>
      <c r="O18" s="316"/>
      <c r="P18" s="81">
        <f t="shared" si="4"/>
        <v>0</v>
      </c>
      <c r="Q18" s="127"/>
      <c r="R18" s="316"/>
      <c r="S18" s="81">
        <f t="shared" si="5"/>
        <v>0</v>
      </c>
      <c r="T18" s="127"/>
      <c r="U18" s="316"/>
      <c r="V18" s="81">
        <f t="shared" si="6"/>
        <v>0</v>
      </c>
      <c r="W18" s="127"/>
      <c r="X18" s="316"/>
      <c r="Y18" s="81">
        <f t="shared" si="7"/>
        <v>0</v>
      </c>
      <c r="Z18" s="127"/>
      <c r="AA18" s="316"/>
      <c r="AB18" s="81">
        <f t="shared" si="8"/>
        <v>0</v>
      </c>
      <c r="AC18" s="127"/>
      <c r="AD18" s="316"/>
      <c r="AE18" s="81">
        <f t="shared" si="9"/>
        <v>0</v>
      </c>
      <c r="AF18" s="317">
        <f t="shared" si="10"/>
        <v>0</v>
      </c>
      <c r="AG18" s="318">
        <f t="shared" si="11"/>
        <v>0</v>
      </c>
      <c r="AH18" s="319">
        <f t="shared" si="12"/>
        <v>0</v>
      </c>
      <c r="AI18" s="127"/>
      <c r="AJ18" s="316"/>
      <c r="AK18" s="81">
        <f t="shared" si="13"/>
        <v>0</v>
      </c>
      <c r="AL18" s="127"/>
      <c r="AM18" s="316"/>
      <c r="AN18" s="81">
        <f t="shared" si="14"/>
        <v>0</v>
      </c>
      <c r="AO18" s="127"/>
      <c r="AP18" s="316"/>
      <c r="AQ18" s="81">
        <f t="shared" si="15"/>
        <v>0</v>
      </c>
      <c r="AR18" s="127"/>
      <c r="AS18" s="316"/>
      <c r="AT18" s="81">
        <f t="shared" si="16"/>
        <v>0</v>
      </c>
      <c r="AU18" s="320">
        <f t="shared" si="17"/>
        <v>0</v>
      </c>
      <c r="AV18" s="321">
        <f t="shared" si="18"/>
        <v>0</v>
      </c>
      <c r="AW18" s="322">
        <f t="shared" si="19"/>
        <v>0</v>
      </c>
      <c r="AX18" s="236">
        <f>B18+E18+H18+K18+N18+AU18+AF18</f>
        <v>1478431</v>
      </c>
      <c r="AY18" s="270">
        <f>C18+F18+I18+L18+O18+AV18+AG18</f>
        <v>1478431</v>
      </c>
      <c r="AZ18" s="271">
        <f t="shared" si="20"/>
        <v>0</v>
      </c>
      <c r="BA18" s="127">
        <v>0</v>
      </c>
      <c r="BB18" s="128">
        <v>0</v>
      </c>
      <c r="BC18" s="273">
        <f t="shared" si="21"/>
        <v>0</v>
      </c>
      <c r="BD18" s="274">
        <f>BA18+AX18</f>
        <v>1478431</v>
      </c>
      <c r="BE18" s="275">
        <f>BB18+AY18</f>
        <v>1478431</v>
      </c>
      <c r="BF18" s="271">
        <f t="shared" si="22"/>
        <v>0</v>
      </c>
      <c r="BG18" s="323">
        <f t="shared" si="41"/>
        <v>1478431</v>
      </c>
      <c r="BH18" s="323">
        <f t="shared" si="41"/>
        <v>1478431</v>
      </c>
      <c r="BI18" s="323">
        <f t="shared" si="41"/>
        <v>0</v>
      </c>
      <c r="BJ18" s="324"/>
      <c r="BK18" s="325">
        <f>BJ18</f>
        <v>0</v>
      </c>
      <c r="BL18" s="325">
        <f>BK18</f>
        <v>0</v>
      </c>
      <c r="BM18" s="326">
        <f t="shared" si="24"/>
        <v>0</v>
      </c>
      <c r="BN18" s="327"/>
      <c r="BO18" s="325">
        <f>BN18</f>
        <v>0</v>
      </c>
      <c r="BP18" s="325">
        <f>BO18</f>
        <v>0</v>
      </c>
      <c r="BQ18" s="326">
        <f>BO18-BN18</f>
        <v>0</v>
      </c>
      <c r="BR18" s="324"/>
      <c r="BS18" s="325">
        <f>BR18</f>
        <v>0</v>
      </c>
      <c r="BT18" s="325">
        <f>BS18</f>
        <v>0</v>
      </c>
      <c r="BU18" s="326">
        <f>BS18-BR18</f>
        <v>0</v>
      </c>
      <c r="BV18" s="246"/>
      <c r="BW18" s="227">
        <f t="shared" si="26"/>
        <v>0</v>
      </c>
    </row>
    <row r="19" spans="1:75" s="11" customFormat="1" ht="14.25" customHeight="1" thickBot="1">
      <c r="A19" s="281" t="s">
        <v>100</v>
      </c>
      <c r="B19" s="282">
        <f>B16+B15+B13</f>
        <v>0</v>
      </c>
      <c r="C19" s="282">
        <f>C16+C15+C13</f>
        <v>0</v>
      </c>
      <c r="D19" s="283">
        <f t="shared" si="0"/>
        <v>0</v>
      </c>
      <c r="E19" s="284">
        <f>E16+E15+E13</f>
        <v>1478431</v>
      </c>
      <c r="F19" s="285">
        <f>F16+F15+F13</f>
        <v>1478431</v>
      </c>
      <c r="G19" s="283">
        <f t="shared" si="1"/>
        <v>0</v>
      </c>
      <c r="H19" s="285">
        <f>H16+H15+H13</f>
        <v>0</v>
      </c>
      <c r="I19" s="285">
        <f>I16+I15+I13</f>
        <v>0</v>
      </c>
      <c r="J19" s="283">
        <f t="shared" si="2"/>
        <v>0</v>
      </c>
      <c r="K19" s="282">
        <f>K16+K15+K13</f>
        <v>0</v>
      </c>
      <c r="L19" s="284">
        <f>L16+L15+L13</f>
        <v>0</v>
      </c>
      <c r="M19" s="283">
        <f t="shared" si="3"/>
        <v>0</v>
      </c>
      <c r="N19" s="282">
        <f>N16+N15+N13</f>
        <v>0</v>
      </c>
      <c r="O19" s="284">
        <f>O16+O15+O13</f>
        <v>0</v>
      </c>
      <c r="P19" s="283">
        <f t="shared" si="4"/>
        <v>0</v>
      </c>
      <c r="Q19" s="282">
        <f>Q16+Q15+Q13</f>
        <v>0</v>
      </c>
      <c r="R19" s="284">
        <f>R16+R15+R13</f>
        <v>0</v>
      </c>
      <c r="S19" s="283">
        <f t="shared" si="5"/>
        <v>0</v>
      </c>
      <c r="T19" s="282">
        <f>T16+T15+T13</f>
        <v>0</v>
      </c>
      <c r="U19" s="284">
        <f>U16+U15+U13</f>
        <v>0</v>
      </c>
      <c r="V19" s="283">
        <f t="shared" si="6"/>
        <v>0</v>
      </c>
      <c r="W19" s="282">
        <f>W16+W15+W13</f>
        <v>0</v>
      </c>
      <c r="X19" s="284">
        <f>X16+X15+X13</f>
        <v>0</v>
      </c>
      <c r="Y19" s="283">
        <f t="shared" si="7"/>
        <v>0</v>
      </c>
      <c r="Z19" s="282">
        <f>Z16+Z15+Z13</f>
        <v>0</v>
      </c>
      <c r="AA19" s="284">
        <f>AA16+AA15+AA13</f>
        <v>0</v>
      </c>
      <c r="AB19" s="283">
        <f t="shared" si="8"/>
        <v>0</v>
      </c>
      <c r="AC19" s="282">
        <f>AC16+AC15+AC13</f>
        <v>0</v>
      </c>
      <c r="AD19" s="284">
        <f>AD16+AD15+AD13</f>
        <v>0</v>
      </c>
      <c r="AE19" s="283">
        <f t="shared" si="9"/>
        <v>0</v>
      </c>
      <c r="AF19" s="286">
        <f t="shared" si="10"/>
        <v>0</v>
      </c>
      <c r="AG19" s="287">
        <f t="shared" si="11"/>
        <v>0</v>
      </c>
      <c r="AH19" s="288">
        <f t="shared" si="12"/>
        <v>0</v>
      </c>
      <c r="AI19" s="282">
        <f>AI16+AI15+AI13</f>
        <v>0</v>
      </c>
      <c r="AJ19" s="284">
        <f>AJ16+AJ15+AJ13</f>
        <v>0</v>
      </c>
      <c r="AK19" s="283">
        <f t="shared" si="13"/>
        <v>0</v>
      </c>
      <c r="AL19" s="282">
        <f>AL16+AL15+AL13</f>
        <v>0</v>
      </c>
      <c r="AM19" s="284">
        <f>AM16+AM15+AM13</f>
        <v>0</v>
      </c>
      <c r="AN19" s="283">
        <f t="shared" si="14"/>
        <v>0</v>
      </c>
      <c r="AO19" s="282">
        <f>AO16+AO15+AO13</f>
        <v>0</v>
      </c>
      <c r="AP19" s="284">
        <f>AP16+AP15+AP13</f>
        <v>0</v>
      </c>
      <c r="AQ19" s="283">
        <f t="shared" si="15"/>
        <v>0</v>
      </c>
      <c r="AR19" s="282">
        <f>AR16+AR15+AR13</f>
        <v>0</v>
      </c>
      <c r="AS19" s="284">
        <f>AS16+AS15+AS13</f>
        <v>0</v>
      </c>
      <c r="AT19" s="283">
        <f t="shared" si="16"/>
        <v>0</v>
      </c>
      <c r="AU19" s="289">
        <f t="shared" si="17"/>
        <v>0</v>
      </c>
      <c r="AV19" s="290">
        <f t="shared" si="18"/>
        <v>0</v>
      </c>
      <c r="AW19" s="291">
        <f t="shared" si="19"/>
        <v>0</v>
      </c>
      <c r="AX19" s="292">
        <f>AX16+AX15+AX13</f>
        <v>1478431</v>
      </c>
      <c r="AY19" s="293">
        <f>AY16+AY15+AY13</f>
        <v>1478431</v>
      </c>
      <c r="AZ19" s="294">
        <f t="shared" si="20"/>
        <v>0</v>
      </c>
      <c r="BA19" s="282">
        <f>BA16+BA15+BA13</f>
        <v>259876630</v>
      </c>
      <c r="BB19" s="295">
        <f>BB16+BB15+BB13</f>
        <v>374504619</v>
      </c>
      <c r="BC19" s="296">
        <f t="shared" si="21"/>
        <v>114627989</v>
      </c>
      <c r="BD19" s="297">
        <f>BD16+BD15+BD13</f>
        <v>261355061</v>
      </c>
      <c r="BE19" s="295">
        <f>BE16+BE15+BE13</f>
        <v>375983050</v>
      </c>
      <c r="BF19" s="296">
        <f t="shared" si="22"/>
        <v>114627989</v>
      </c>
      <c r="BG19" s="298">
        <f aca="true" t="shared" si="42" ref="BG19:BL19">BG16+BG15+BG13</f>
        <v>261355061</v>
      </c>
      <c r="BH19" s="298">
        <f t="shared" si="42"/>
        <v>375983050</v>
      </c>
      <c r="BI19" s="298">
        <f t="shared" si="42"/>
        <v>114627989</v>
      </c>
      <c r="BJ19" s="299">
        <f t="shared" si="42"/>
        <v>95567293</v>
      </c>
      <c r="BK19" s="300">
        <f t="shared" si="42"/>
        <v>96238404</v>
      </c>
      <c r="BL19" s="300">
        <f t="shared" si="42"/>
        <v>96909515</v>
      </c>
      <c r="BM19" s="301">
        <f t="shared" si="24"/>
        <v>671111</v>
      </c>
      <c r="BN19" s="302">
        <f aca="true" t="shared" si="43" ref="BN19:BU19">BN16+BN15+BN13</f>
        <v>25379</v>
      </c>
      <c r="BO19" s="300">
        <f t="shared" si="43"/>
        <v>25379</v>
      </c>
      <c r="BP19" s="300">
        <f t="shared" si="43"/>
        <v>25379</v>
      </c>
      <c r="BQ19" s="301">
        <f t="shared" si="43"/>
        <v>0</v>
      </c>
      <c r="BR19" s="299">
        <f t="shared" si="43"/>
        <v>0</v>
      </c>
      <c r="BS19" s="300">
        <f t="shared" si="43"/>
        <v>0</v>
      </c>
      <c r="BT19" s="300">
        <f t="shared" si="43"/>
        <v>0</v>
      </c>
      <c r="BU19" s="301">
        <f t="shared" si="43"/>
        <v>0</v>
      </c>
      <c r="BV19" s="303"/>
      <c r="BW19" s="227">
        <f t="shared" si="26"/>
        <v>96263783</v>
      </c>
    </row>
    <row r="20" spans="1:75" s="11" customFormat="1" ht="15.75" customHeight="1" thickBot="1">
      <c r="A20" s="328" t="s">
        <v>98</v>
      </c>
      <c r="B20" s="282">
        <f>B19+B12</f>
        <v>1500000</v>
      </c>
      <c r="C20" s="282">
        <f>C19+C12</f>
        <v>1500000</v>
      </c>
      <c r="D20" s="283">
        <f t="shared" si="0"/>
        <v>0</v>
      </c>
      <c r="E20" s="329">
        <f>E19+E12</f>
        <v>110313866</v>
      </c>
      <c r="F20" s="285">
        <f>F19+F12</f>
        <v>131198917</v>
      </c>
      <c r="G20" s="283">
        <f t="shared" si="1"/>
        <v>20885051</v>
      </c>
      <c r="H20" s="330">
        <f>H19+H12</f>
        <v>4000000</v>
      </c>
      <c r="I20" s="285">
        <f>I19+I12</f>
        <v>4000000</v>
      </c>
      <c r="J20" s="283">
        <f t="shared" si="2"/>
        <v>0</v>
      </c>
      <c r="K20" s="331">
        <f>K19+K12</f>
        <v>1700000</v>
      </c>
      <c r="L20" s="284">
        <f>L19+L12</f>
        <v>5047121</v>
      </c>
      <c r="M20" s="283">
        <f t="shared" si="3"/>
        <v>3347121</v>
      </c>
      <c r="N20" s="331">
        <f>N19+N12</f>
        <v>94453710</v>
      </c>
      <c r="O20" s="284">
        <f>O19+O12</f>
        <v>94453710</v>
      </c>
      <c r="P20" s="283">
        <f t="shared" si="4"/>
        <v>0</v>
      </c>
      <c r="Q20" s="331">
        <f>Q19+Q12</f>
        <v>450000</v>
      </c>
      <c r="R20" s="284">
        <f>R19+R12</f>
        <v>450000</v>
      </c>
      <c r="S20" s="283">
        <f t="shared" si="5"/>
        <v>0</v>
      </c>
      <c r="T20" s="331">
        <f>T19+T12</f>
        <v>0</v>
      </c>
      <c r="U20" s="284">
        <f>U19+U12</f>
        <v>0</v>
      </c>
      <c r="V20" s="283">
        <f t="shared" si="6"/>
        <v>0</v>
      </c>
      <c r="W20" s="331">
        <f>W19+W12</f>
        <v>472000</v>
      </c>
      <c r="X20" s="284">
        <f>X19+X12</f>
        <v>472000</v>
      </c>
      <c r="Y20" s="283">
        <f t="shared" si="7"/>
        <v>0</v>
      </c>
      <c r="Z20" s="331">
        <f>Z19+Z12</f>
        <v>0</v>
      </c>
      <c r="AA20" s="284">
        <f>AA19+AA12</f>
        <v>0</v>
      </c>
      <c r="AB20" s="283">
        <f t="shared" si="8"/>
        <v>0</v>
      </c>
      <c r="AC20" s="331">
        <f>AC19+AC12</f>
        <v>0</v>
      </c>
      <c r="AD20" s="284">
        <f>AD19+AD12</f>
        <v>0</v>
      </c>
      <c r="AE20" s="283">
        <f t="shared" si="9"/>
        <v>0</v>
      </c>
      <c r="AF20" s="332">
        <f t="shared" si="10"/>
        <v>922000</v>
      </c>
      <c r="AG20" s="287">
        <f t="shared" si="11"/>
        <v>922000</v>
      </c>
      <c r="AH20" s="288">
        <f t="shared" si="12"/>
        <v>0</v>
      </c>
      <c r="AI20" s="331">
        <f>AI19+AI12</f>
        <v>1400000</v>
      </c>
      <c r="AJ20" s="284">
        <f>AJ19+AJ12</f>
        <v>1400000</v>
      </c>
      <c r="AK20" s="283">
        <f t="shared" si="13"/>
        <v>0</v>
      </c>
      <c r="AL20" s="331">
        <f>AL19+AL12</f>
        <v>150000</v>
      </c>
      <c r="AM20" s="284">
        <f>AM19+AM12</f>
        <v>150000</v>
      </c>
      <c r="AN20" s="283">
        <f t="shared" si="14"/>
        <v>0</v>
      </c>
      <c r="AO20" s="331">
        <f>AO19+AO12</f>
        <v>0</v>
      </c>
      <c r="AP20" s="284">
        <f>AP19+AP12</f>
        <v>0</v>
      </c>
      <c r="AQ20" s="283">
        <f t="shared" si="15"/>
        <v>0</v>
      </c>
      <c r="AR20" s="331">
        <f>AR19+AR12</f>
        <v>61600</v>
      </c>
      <c r="AS20" s="284">
        <f>AS19+AS12</f>
        <v>61600</v>
      </c>
      <c r="AT20" s="283">
        <f t="shared" si="16"/>
        <v>0</v>
      </c>
      <c r="AU20" s="333">
        <f t="shared" si="17"/>
        <v>1611600</v>
      </c>
      <c r="AV20" s="290">
        <f t="shared" si="18"/>
        <v>1611600</v>
      </c>
      <c r="AW20" s="291">
        <f t="shared" si="19"/>
        <v>0</v>
      </c>
      <c r="AX20" s="334">
        <f>AX19+AX12</f>
        <v>214501176</v>
      </c>
      <c r="AY20" s="293">
        <f>AY19+AY12</f>
        <v>238733348</v>
      </c>
      <c r="AZ20" s="294">
        <f t="shared" si="20"/>
        <v>24232172</v>
      </c>
      <c r="BA20" s="331">
        <f>BA19+BA12</f>
        <v>1713792596</v>
      </c>
      <c r="BB20" s="295">
        <f>BB19+BB12</f>
        <v>1863826728</v>
      </c>
      <c r="BC20" s="296">
        <f t="shared" si="21"/>
        <v>150034132</v>
      </c>
      <c r="BD20" s="335">
        <f>BD19+BD12</f>
        <v>1928293772</v>
      </c>
      <c r="BE20" s="295">
        <f>BE19+BE12</f>
        <v>2102560076</v>
      </c>
      <c r="BF20" s="296">
        <f t="shared" si="22"/>
        <v>174266304</v>
      </c>
      <c r="BG20" s="336">
        <f aca="true" t="shared" si="44" ref="BG20:BL20">BG19+BG12</f>
        <v>1928293772</v>
      </c>
      <c r="BH20" s="336">
        <f t="shared" si="44"/>
        <v>2102560076</v>
      </c>
      <c r="BI20" s="336">
        <f t="shared" si="44"/>
        <v>174266304</v>
      </c>
      <c r="BJ20" s="337">
        <f t="shared" si="44"/>
        <v>1632744583</v>
      </c>
      <c r="BK20" s="300">
        <f t="shared" si="44"/>
        <v>1694280694</v>
      </c>
      <c r="BL20" s="300">
        <f t="shared" si="44"/>
        <v>1694951805</v>
      </c>
      <c r="BM20" s="301">
        <f t="shared" si="24"/>
        <v>671111</v>
      </c>
      <c r="BN20" s="338">
        <f aca="true" t="shared" si="45" ref="BN20:BU20">BN19+BN12</f>
        <v>137688</v>
      </c>
      <c r="BO20" s="300">
        <f t="shared" si="45"/>
        <v>138788</v>
      </c>
      <c r="BP20" s="300">
        <f t="shared" si="45"/>
        <v>139888</v>
      </c>
      <c r="BQ20" s="301">
        <f t="shared" si="45"/>
        <v>1100</v>
      </c>
      <c r="BR20" s="337">
        <f t="shared" si="45"/>
        <v>0</v>
      </c>
      <c r="BS20" s="300">
        <f t="shared" si="45"/>
        <v>0</v>
      </c>
      <c r="BT20" s="300">
        <f t="shared" si="45"/>
        <v>0</v>
      </c>
      <c r="BU20" s="301">
        <f t="shared" si="45"/>
        <v>0</v>
      </c>
      <c r="BV20" s="303"/>
      <c r="BW20" s="227">
        <f t="shared" si="26"/>
        <v>1694419482</v>
      </c>
    </row>
    <row r="21" spans="1:75" s="9" customFormat="1" ht="13.5">
      <c r="A21" s="339" t="s">
        <v>65</v>
      </c>
      <c r="B21" s="119">
        <f>SUM(B22:B23)</f>
        <v>0</v>
      </c>
      <c r="C21" s="63">
        <f>SUM(C22:C23)</f>
        <v>178626</v>
      </c>
      <c r="D21" s="64">
        <f t="shared" si="0"/>
        <v>178626</v>
      </c>
      <c r="E21" s="340">
        <f>SUM(E22:E23)</f>
        <v>0</v>
      </c>
      <c r="F21" s="63">
        <f>SUM(F22:F23)</f>
        <v>13173309</v>
      </c>
      <c r="G21" s="64">
        <f t="shared" si="1"/>
        <v>13173309</v>
      </c>
      <c r="H21" s="63">
        <f>SUM(H22:H23)</f>
        <v>0</v>
      </c>
      <c r="I21" s="63">
        <f>SUM(I22:I23)</f>
        <v>10137507</v>
      </c>
      <c r="J21" s="64">
        <f t="shared" si="2"/>
        <v>10137507</v>
      </c>
      <c r="K21" s="119">
        <f>SUM(K22:K23)</f>
        <v>16000000</v>
      </c>
      <c r="L21" s="340">
        <f>SUM(L22:L23)</f>
        <v>17165396</v>
      </c>
      <c r="M21" s="64">
        <f t="shared" si="3"/>
        <v>1165396</v>
      </c>
      <c r="N21" s="119">
        <f>SUM(N22:N23)</f>
        <v>0</v>
      </c>
      <c r="O21" s="340">
        <f>SUM(O22:O23)</f>
        <v>8636768</v>
      </c>
      <c r="P21" s="64">
        <f t="shared" si="4"/>
        <v>8636768</v>
      </c>
      <c r="Q21" s="119">
        <f>SUM(Q22:Q23)</f>
        <v>0</v>
      </c>
      <c r="R21" s="340">
        <f>SUM(R22:R23)</f>
        <v>4603502</v>
      </c>
      <c r="S21" s="64">
        <f t="shared" si="5"/>
        <v>4603502</v>
      </c>
      <c r="T21" s="119">
        <f>SUM(T22:T23)</f>
        <v>0</v>
      </c>
      <c r="U21" s="340">
        <f>SUM(U22:U23)</f>
        <v>796843</v>
      </c>
      <c r="V21" s="64">
        <f t="shared" si="6"/>
        <v>796843</v>
      </c>
      <c r="W21" s="119">
        <f>SUM(W22:W23)</f>
        <v>0</v>
      </c>
      <c r="X21" s="340">
        <f>SUM(X22:X23)</f>
        <v>3404677</v>
      </c>
      <c r="Y21" s="64">
        <f t="shared" si="7"/>
        <v>3404677</v>
      </c>
      <c r="Z21" s="119">
        <f>SUM(Z22:Z23)</f>
        <v>0</v>
      </c>
      <c r="AA21" s="340">
        <f>SUM(AA22:AA23)</f>
        <v>1848434</v>
      </c>
      <c r="AB21" s="64">
        <f t="shared" si="8"/>
        <v>1848434</v>
      </c>
      <c r="AC21" s="119">
        <f>SUM(AC22:AC23)</f>
        <v>0</v>
      </c>
      <c r="AD21" s="340">
        <f>SUM(AD22:AD23)</f>
        <v>1454934</v>
      </c>
      <c r="AE21" s="64">
        <f t="shared" si="9"/>
        <v>1454934</v>
      </c>
      <c r="AF21" s="341">
        <f t="shared" si="10"/>
        <v>0</v>
      </c>
      <c r="AG21" s="342">
        <f t="shared" si="11"/>
        <v>12108390</v>
      </c>
      <c r="AH21" s="343">
        <f t="shared" si="12"/>
        <v>12108390</v>
      </c>
      <c r="AI21" s="119">
        <f>SUM(AI22:AI23)</f>
        <v>0</v>
      </c>
      <c r="AJ21" s="340">
        <f>SUM(AJ22:AJ23)</f>
        <v>4488003</v>
      </c>
      <c r="AK21" s="64">
        <f t="shared" si="13"/>
        <v>4488003</v>
      </c>
      <c r="AL21" s="119">
        <f>SUM(AL22:AL23)</f>
        <v>0</v>
      </c>
      <c r="AM21" s="340">
        <f>SUM(AM22:AM23)</f>
        <v>963255</v>
      </c>
      <c r="AN21" s="64">
        <f t="shared" si="14"/>
        <v>963255</v>
      </c>
      <c r="AO21" s="119">
        <f>SUM(AO22:AO23)</f>
        <v>0</v>
      </c>
      <c r="AP21" s="340">
        <f>SUM(AP22:AP23)</f>
        <v>1180425</v>
      </c>
      <c r="AQ21" s="64">
        <f t="shared" si="15"/>
        <v>1180425</v>
      </c>
      <c r="AR21" s="119">
        <f>SUM(AR22:AR23)</f>
        <v>0</v>
      </c>
      <c r="AS21" s="340">
        <f>SUM(AS22:AS23)</f>
        <v>1059947</v>
      </c>
      <c r="AT21" s="64">
        <f t="shared" si="16"/>
        <v>1059947</v>
      </c>
      <c r="AU21" s="344">
        <f t="shared" si="17"/>
        <v>0</v>
      </c>
      <c r="AV21" s="345">
        <f t="shared" si="18"/>
        <v>7691630</v>
      </c>
      <c r="AW21" s="346">
        <f t="shared" si="19"/>
        <v>7691630</v>
      </c>
      <c r="AX21" s="347">
        <f>SUM(AX22:AX23)</f>
        <v>16000000</v>
      </c>
      <c r="AY21" s="348">
        <f>SUM(AY22:AY23)</f>
        <v>69091626</v>
      </c>
      <c r="AZ21" s="349">
        <f t="shared" si="20"/>
        <v>53091626</v>
      </c>
      <c r="BA21" s="119">
        <f>SUM(BA22:BA23)</f>
        <v>1353911367</v>
      </c>
      <c r="BB21" s="350">
        <f>SUM(BB22:BB23)</f>
        <v>1398082216</v>
      </c>
      <c r="BC21" s="351">
        <f t="shared" si="21"/>
        <v>44170849</v>
      </c>
      <c r="BD21" s="352">
        <f>SUM(BD22:BD23)</f>
        <v>1369911367</v>
      </c>
      <c r="BE21" s="353">
        <f>SUM(BE22:BE23)</f>
        <v>1467173842</v>
      </c>
      <c r="BF21" s="349">
        <f t="shared" si="22"/>
        <v>97262475</v>
      </c>
      <c r="BG21" s="354">
        <f aca="true" t="shared" si="46" ref="BG21:BL21">SUM(BG22:BG23)</f>
        <v>1369911367</v>
      </c>
      <c r="BH21" s="354">
        <f t="shared" si="46"/>
        <v>1467173842</v>
      </c>
      <c r="BI21" s="354">
        <f t="shared" si="46"/>
        <v>97262475</v>
      </c>
      <c r="BJ21" s="355">
        <f t="shared" si="46"/>
        <v>105275000</v>
      </c>
      <c r="BK21" s="356">
        <f t="shared" si="46"/>
        <v>160247720</v>
      </c>
      <c r="BL21" s="356">
        <f t="shared" si="46"/>
        <v>160247720</v>
      </c>
      <c r="BM21" s="357">
        <f t="shared" si="24"/>
        <v>0</v>
      </c>
      <c r="BN21" s="358">
        <f aca="true" t="shared" si="47" ref="BN21:BU21">SUM(BN22:BN23)</f>
        <v>0</v>
      </c>
      <c r="BO21" s="356">
        <f t="shared" si="47"/>
        <v>0</v>
      </c>
      <c r="BP21" s="356">
        <f t="shared" si="47"/>
        <v>0</v>
      </c>
      <c r="BQ21" s="357">
        <f t="shared" si="47"/>
        <v>0</v>
      </c>
      <c r="BR21" s="355">
        <f t="shared" si="47"/>
        <v>0</v>
      </c>
      <c r="BS21" s="356">
        <f t="shared" si="47"/>
        <v>0</v>
      </c>
      <c r="BT21" s="356">
        <f t="shared" si="47"/>
        <v>0</v>
      </c>
      <c r="BU21" s="357">
        <f t="shared" si="47"/>
        <v>0</v>
      </c>
      <c r="BV21" s="226"/>
      <c r="BW21" s="227">
        <f t="shared" si="26"/>
        <v>160247720</v>
      </c>
    </row>
    <row r="22" spans="1:75" s="9" customFormat="1" ht="13.5">
      <c r="A22" s="307" t="s">
        <v>101</v>
      </c>
      <c r="B22" s="120"/>
      <c r="C22" s="79">
        <v>178626</v>
      </c>
      <c r="D22" s="77">
        <f t="shared" si="0"/>
        <v>178626</v>
      </c>
      <c r="E22" s="229"/>
      <c r="F22" s="79">
        <v>13173309</v>
      </c>
      <c r="G22" s="77">
        <f t="shared" si="1"/>
        <v>13173309</v>
      </c>
      <c r="H22" s="79"/>
      <c r="I22" s="79">
        <v>10137507</v>
      </c>
      <c r="J22" s="77">
        <f t="shared" si="2"/>
        <v>10137507</v>
      </c>
      <c r="K22" s="120">
        <v>16000000</v>
      </c>
      <c r="L22" s="229">
        <v>17165396</v>
      </c>
      <c r="M22" s="77">
        <f t="shared" si="3"/>
        <v>1165396</v>
      </c>
      <c r="N22" s="120"/>
      <c r="O22" s="229">
        <v>8636768</v>
      </c>
      <c r="P22" s="77">
        <f t="shared" si="4"/>
        <v>8636768</v>
      </c>
      <c r="Q22" s="120"/>
      <c r="R22" s="229">
        <v>4603502</v>
      </c>
      <c r="S22" s="77">
        <f t="shared" si="5"/>
        <v>4603502</v>
      </c>
      <c r="T22" s="120"/>
      <c r="U22" s="229">
        <v>796843</v>
      </c>
      <c r="V22" s="77">
        <f t="shared" si="6"/>
        <v>796843</v>
      </c>
      <c r="W22" s="120"/>
      <c r="X22" s="229">
        <v>3404677</v>
      </c>
      <c r="Y22" s="77">
        <f t="shared" si="7"/>
        <v>3404677</v>
      </c>
      <c r="Z22" s="120"/>
      <c r="AA22" s="229">
        <v>1848434</v>
      </c>
      <c r="AB22" s="77">
        <f t="shared" si="8"/>
        <v>1848434</v>
      </c>
      <c r="AC22" s="120"/>
      <c r="AD22" s="229">
        <v>1454934</v>
      </c>
      <c r="AE22" s="77">
        <f t="shared" si="9"/>
        <v>1454934</v>
      </c>
      <c r="AF22" s="230">
        <f t="shared" si="10"/>
        <v>0</v>
      </c>
      <c r="AG22" s="231">
        <f t="shared" si="11"/>
        <v>12108390</v>
      </c>
      <c r="AH22" s="232">
        <f t="shared" si="12"/>
        <v>12108390</v>
      </c>
      <c r="AI22" s="120"/>
      <c r="AJ22" s="229">
        <v>4488003</v>
      </c>
      <c r="AK22" s="77">
        <f t="shared" si="13"/>
        <v>4488003</v>
      </c>
      <c r="AL22" s="120"/>
      <c r="AM22" s="229">
        <v>963255</v>
      </c>
      <c r="AN22" s="77">
        <f t="shared" si="14"/>
        <v>963255</v>
      </c>
      <c r="AO22" s="120"/>
      <c r="AP22" s="229">
        <v>1180425</v>
      </c>
      <c r="AQ22" s="77">
        <f t="shared" si="15"/>
        <v>1180425</v>
      </c>
      <c r="AR22" s="120"/>
      <c r="AS22" s="229">
        <v>1059947</v>
      </c>
      <c r="AT22" s="77">
        <f t="shared" si="16"/>
        <v>1059947</v>
      </c>
      <c r="AU22" s="233">
        <f t="shared" si="17"/>
        <v>0</v>
      </c>
      <c r="AV22" s="234">
        <f t="shared" si="18"/>
        <v>7691630</v>
      </c>
      <c r="AW22" s="235">
        <f t="shared" si="19"/>
        <v>7691630</v>
      </c>
      <c r="AX22" s="236">
        <f aca="true" t="shared" si="48" ref="AX22:AY24">B22+E22+H22+K22+N22+AU22+AF22</f>
        <v>16000000</v>
      </c>
      <c r="AY22" s="247">
        <f t="shared" si="48"/>
        <v>69091626</v>
      </c>
      <c r="AZ22" s="237">
        <f t="shared" si="20"/>
        <v>53091626</v>
      </c>
      <c r="BA22" s="120">
        <v>213179577</v>
      </c>
      <c r="BB22" s="79">
        <f>257350426+1676400-419581</f>
        <v>258607245</v>
      </c>
      <c r="BC22" s="238">
        <f t="shared" si="21"/>
        <v>45427668</v>
      </c>
      <c r="BD22" s="239">
        <f aca="true" t="shared" si="49" ref="BD22:BE24">BA22+AX22</f>
        <v>229179577</v>
      </c>
      <c r="BE22" s="240">
        <f t="shared" si="49"/>
        <v>327698871</v>
      </c>
      <c r="BF22" s="237">
        <f t="shared" si="22"/>
        <v>98519294</v>
      </c>
      <c r="BG22" s="241">
        <f aca="true" t="shared" si="50" ref="BG22:BI23">BD22</f>
        <v>229179577</v>
      </c>
      <c r="BH22" s="241">
        <f t="shared" si="50"/>
        <v>327698871</v>
      </c>
      <c r="BI22" s="241">
        <f t="shared" si="50"/>
        <v>98519294</v>
      </c>
      <c r="BJ22" s="242">
        <v>85000000</v>
      </c>
      <c r="BK22" s="243">
        <f>BJ22+54972720</f>
        <v>139972720</v>
      </c>
      <c r="BL22" s="243">
        <f>BK22+0</f>
        <v>139972720</v>
      </c>
      <c r="BM22" s="244">
        <f t="shared" si="24"/>
        <v>0</v>
      </c>
      <c r="BN22" s="245"/>
      <c r="BO22" s="243">
        <f aca="true" t="shared" si="51" ref="BO22:BP24">BN22</f>
        <v>0</v>
      </c>
      <c r="BP22" s="243">
        <f t="shared" si="51"/>
        <v>0</v>
      </c>
      <c r="BQ22" s="244">
        <f>BO22-BN22</f>
        <v>0</v>
      </c>
      <c r="BR22" s="242"/>
      <c r="BS22" s="243">
        <f aca="true" t="shared" si="52" ref="BS22:BT24">BR22</f>
        <v>0</v>
      </c>
      <c r="BT22" s="243">
        <f t="shared" si="52"/>
        <v>0</v>
      </c>
      <c r="BU22" s="244">
        <f>BS22-BR22</f>
        <v>0</v>
      </c>
      <c r="BV22" s="246"/>
      <c r="BW22" s="227">
        <f t="shared" si="26"/>
        <v>139972720</v>
      </c>
    </row>
    <row r="23" spans="1:75" s="9" customFormat="1" ht="13.5">
      <c r="A23" s="359" t="s">
        <v>102</v>
      </c>
      <c r="B23" s="120"/>
      <c r="C23" s="79"/>
      <c r="D23" s="77">
        <f t="shared" si="0"/>
        <v>0</v>
      </c>
      <c r="E23" s="316"/>
      <c r="F23" s="79"/>
      <c r="G23" s="77">
        <f t="shared" si="1"/>
        <v>0</v>
      </c>
      <c r="H23" s="128"/>
      <c r="I23" s="79"/>
      <c r="J23" s="77">
        <f t="shared" si="2"/>
        <v>0</v>
      </c>
      <c r="K23" s="127"/>
      <c r="L23" s="229"/>
      <c r="M23" s="77">
        <f t="shared" si="3"/>
        <v>0</v>
      </c>
      <c r="N23" s="127"/>
      <c r="O23" s="229"/>
      <c r="P23" s="77">
        <f t="shared" si="4"/>
        <v>0</v>
      </c>
      <c r="Q23" s="127"/>
      <c r="R23" s="229"/>
      <c r="S23" s="77">
        <f t="shared" si="5"/>
        <v>0</v>
      </c>
      <c r="T23" s="127"/>
      <c r="U23" s="229"/>
      <c r="V23" s="77">
        <f t="shared" si="6"/>
        <v>0</v>
      </c>
      <c r="W23" s="127"/>
      <c r="X23" s="229"/>
      <c r="Y23" s="77">
        <f t="shared" si="7"/>
        <v>0</v>
      </c>
      <c r="Z23" s="127"/>
      <c r="AA23" s="229"/>
      <c r="AB23" s="77">
        <f t="shared" si="8"/>
        <v>0</v>
      </c>
      <c r="AC23" s="127"/>
      <c r="AD23" s="229"/>
      <c r="AE23" s="77">
        <f t="shared" si="9"/>
        <v>0</v>
      </c>
      <c r="AF23" s="317">
        <f t="shared" si="10"/>
        <v>0</v>
      </c>
      <c r="AG23" s="231">
        <f t="shared" si="11"/>
        <v>0</v>
      </c>
      <c r="AH23" s="232">
        <f t="shared" si="12"/>
        <v>0</v>
      </c>
      <c r="AI23" s="127"/>
      <c r="AJ23" s="229"/>
      <c r="AK23" s="77">
        <f t="shared" si="13"/>
        <v>0</v>
      </c>
      <c r="AL23" s="127"/>
      <c r="AM23" s="229"/>
      <c r="AN23" s="77">
        <f t="shared" si="14"/>
        <v>0</v>
      </c>
      <c r="AO23" s="127"/>
      <c r="AP23" s="229"/>
      <c r="AQ23" s="77">
        <f t="shared" si="15"/>
        <v>0</v>
      </c>
      <c r="AR23" s="127"/>
      <c r="AS23" s="229"/>
      <c r="AT23" s="77">
        <f t="shared" si="16"/>
        <v>0</v>
      </c>
      <c r="AU23" s="320">
        <f t="shared" si="17"/>
        <v>0</v>
      </c>
      <c r="AV23" s="234">
        <f t="shared" si="18"/>
        <v>0</v>
      </c>
      <c r="AW23" s="235">
        <f t="shared" si="19"/>
        <v>0</v>
      </c>
      <c r="AX23" s="360">
        <f t="shared" si="48"/>
        <v>0</v>
      </c>
      <c r="AY23" s="247">
        <f t="shared" si="48"/>
        <v>0</v>
      </c>
      <c r="AZ23" s="237">
        <f t="shared" si="20"/>
        <v>0</v>
      </c>
      <c r="BA23" s="127">
        <v>1140731790</v>
      </c>
      <c r="BB23" s="79">
        <f>1140731790-1676400+419581</f>
        <v>1139474971</v>
      </c>
      <c r="BC23" s="238">
        <f t="shared" si="21"/>
        <v>-1256819</v>
      </c>
      <c r="BD23" s="274">
        <f t="shared" si="49"/>
        <v>1140731790</v>
      </c>
      <c r="BE23" s="240">
        <f t="shared" si="49"/>
        <v>1139474971</v>
      </c>
      <c r="BF23" s="237">
        <f t="shared" si="22"/>
        <v>-1256819</v>
      </c>
      <c r="BG23" s="323">
        <f t="shared" si="50"/>
        <v>1140731790</v>
      </c>
      <c r="BH23" s="323">
        <f t="shared" si="50"/>
        <v>1139474971</v>
      </c>
      <c r="BI23" s="323">
        <f t="shared" si="50"/>
        <v>-1256819</v>
      </c>
      <c r="BJ23" s="324">
        <v>20275000</v>
      </c>
      <c r="BK23" s="243">
        <f>BJ23</f>
        <v>20275000</v>
      </c>
      <c r="BL23" s="243">
        <f>BK23</f>
        <v>20275000</v>
      </c>
      <c r="BM23" s="244">
        <f t="shared" si="24"/>
        <v>0</v>
      </c>
      <c r="BN23" s="327"/>
      <c r="BO23" s="243">
        <f t="shared" si="51"/>
        <v>0</v>
      </c>
      <c r="BP23" s="243">
        <f t="shared" si="51"/>
        <v>0</v>
      </c>
      <c r="BQ23" s="244">
        <f>BO23-BN23</f>
        <v>0</v>
      </c>
      <c r="BR23" s="324"/>
      <c r="BS23" s="243">
        <f t="shared" si="52"/>
        <v>0</v>
      </c>
      <c r="BT23" s="243">
        <f t="shared" si="52"/>
        <v>0</v>
      </c>
      <c r="BU23" s="244">
        <f>BS23-BR23</f>
        <v>0</v>
      </c>
      <c r="BV23" s="246"/>
      <c r="BW23" s="227">
        <f t="shared" si="26"/>
        <v>20275000</v>
      </c>
    </row>
    <row r="24" spans="1:75" s="9" customFormat="1" ht="14.25" thickBot="1">
      <c r="A24" s="361" t="s">
        <v>126</v>
      </c>
      <c r="B24" s="129">
        <v>41898470</v>
      </c>
      <c r="C24" s="130">
        <v>44973733</v>
      </c>
      <c r="D24" s="20">
        <f t="shared" si="0"/>
        <v>3075263</v>
      </c>
      <c r="E24" s="362">
        <v>68918613</v>
      </c>
      <c r="F24" s="130">
        <v>68113284</v>
      </c>
      <c r="G24" s="20">
        <f t="shared" si="1"/>
        <v>-805329</v>
      </c>
      <c r="H24" s="130">
        <v>45831543</v>
      </c>
      <c r="I24" s="130">
        <v>43586770</v>
      </c>
      <c r="J24" s="20">
        <f t="shared" si="2"/>
        <v>-2244773</v>
      </c>
      <c r="K24" s="129">
        <v>311480037</v>
      </c>
      <c r="L24" s="362">
        <v>310955783</v>
      </c>
      <c r="M24" s="20">
        <f t="shared" si="3"/>
        <v>-524254</v>
      </c>
      <c r="N24" s="129">
        <v>139824343</v>
      </c>
      <c r="O24" s="362">
        <v>150464340</v>
      </c>
      <c r="P24" s="20">
        <f t="shared" si="4"/>
        <v>10639997</v>
      </c>
      <c r="Q24" s="129">
        <v>85586981</v>
      </c>
      <c r="R24" s="362">
        <v>85117403</v>
      </c>
      <c r="S24" s="20">
        <f t="shared" si="5"/>
        <v>-469578</v>
      </c>
      <c r="T24" s="129">
        <v>27521589</v>
      </c>
      <c r="U24" s="362">
        <v>27589723</v>
      </c>
      <c r="V24" s="20">
        <f t="shared" si="6"/>
        <v>68134</v>
      </c>
      <c r="W24" s="129">
        <v>51464936</v>
      </c>
      <c r="X24" s="362">
        <v>51565203</v>
      </c>
      <c r="Y24" s="20">
        <f t="shared" si="7"/>
        <v>100267</v>
      </c>
      <c r="Z24" s="129">
        <v>19334953</v>
      </c>
      <c r="AA24" s="362">
        <v>19415684</v>
      </c>
      <c r="AB24" s="20">
        <f t="shared" si="8"/>
        <v>80731</v>
      </c>
      <c r="AC24" s="129">
        <v>14208750</v>
      </c>
      <c r="AD24" s="362">
        <v>14208750</v>
      </c>
      <c r="AE24" s="20">
        <f t="shared" si="9"/>
        <v>0</v>
      </c>
      <c r="AF24" s="363">
        <f t="shared" si="10"/>
        <v>198117209</v>
      </c>
      <c r="AG24" s="364">
        <f t="shared" si="11"/>
        <v>197896763</v>
      </c>
      <c r="AH24" s="365">
        <f t="shared" si="12"/>
        <v>-220446</v>
      </c>
      <c r="AI24" s="129">
        <v>83125714</v>
      </c>
      <c r="AJ24" s="362">
        <v>82788054</v>
      </c>
      <c r="AK24" s="20">
        <f t="shared" si="13"/>
        <v>-337660</v>
      </c>
      <c r="AL24" s="129">
        <v>22825244</v>
      </c>
      <c r="AM24" s="362">
        <v>22861904</v>
      </c>
      <c r="AN24" s="20">
        <f t="shared" si="14"/>
        <v>36660</v>
      </c>
      <c r="AO24" s="129">
        <v>0</v>
      </c>
      <c r="AP24" s="362">
        <v>0</v>
      </c>
      <c r="AQ24" s="20">
        <f t="shared" si="15"/>
        <v>0</v>
      </c>
      <c r="AR24" s="129">
        <v>14950977</v>
      </c>
      <c r="AS24" s="362">
        <v>14950977</v>
      </c>
      <c r="AT24" s="20">
        <f t="shared" si="16"/>
        <v>0</v>
      </c>
      <c r="AU24" s="366">
        <f t="shared" si="17"/>
        <v>120901935</v>
      </c>
      <c r="AV24" s="367">
        <f t="shared" si="18"/>
        <v>120600935</v>
      </c>
      <c r="AW24" s="368">
        <f t="shared" si="19"/>
        <v>-301000</v>
      </c>
      <c r="AX24" s="369">
        <f t="shared" si="48"/>
        <v>926972150</v>
      </c>
      <c r="AY24" s="370">
        <f t="shared" si="48"/>
        <v>936591608</v>
      </c>
      <c r="AZ24" s="371">
        <f t="shared" si="20"/>
        <v>9619458</v>
      </c>
      <c r="BA24" s="129"/>
      <c r="BB24" s="372">
        <f>BA24</f>
        <v>0</v>
      </c>
      <c r="BC24" s="373">
        <f t="shared" si="21"/>
        <v>0</v>
      </c>
      <c r="BD24" s="374">
        <f t="shared" si="49"/>
        <v>926972150</v>
      </c>
      <c r="BE24" s="375">
        <f t="shared" si="49"/>
        <v>936591608</v>
      </c>
      <c r="BF24" s="371">
        <f t="shared" si="22"/>
        <v>9619458</v>
      </c>
      <c r="BG24" s="376">
        <f>AX24-BD24</f>
        <v>0</v>
      </c>
      <c r="BH24" s="376">
        <f>BE24-AY24</f>
        <v>0</v>
      </c>
      <c r="BI24" s="376">
        <f>BF24-AZ24</f>
        <v>0</v>
      </c>
      <c r="BJ24" s="377"/>
      <c r="BK24" s="378">
        <f>BJ24</f>
        <v>0</v>
      </c>
      <c r="BL24" s="378">
        <f>BK24</f>
        <v>0</v>
      </c>
      <c r="BM24" s="379">
        <f t="shared" si="24"/>
        <v>0</v>
      </c>
      <c r="BN24" s="380"/>
      <c r="BO24" s="378">
        <f t="shared" si="51"/>
        <v>0</v>
      </c>
      <c r="BP24" s="378">
        <f t="shared" si="51"/>
        <v>0</v>
      </c>
      <c r="BQ24" s="379">
        <f>BO24-BN24</f>
        <v>0</v>
      </c>
      <c r="BR24" s="377"/>
      <c r="BS24" s="378">
        <f t="shared" si="52"/>
        <v>0</v>
      </c>
      <c r="BT24" s="378">
        <f t="shared" si="52"/>
        <v>0</v>
      </c>
      <c r="BU24" s="379">
        <f>BS24-BR24</f>
        <v>0</v>
      </c>
      <c r="BV24" s="226"/>
      <c r="BW24" s="227">
        <f t="shared" si="26"/>
        <v>0</v>
      </c>
    </row>
    <row r="25" spans="1:75" s="11" customFormat="1" ht="15.75" customHeight="1" thickBot="1">
      <c r="A25" s="281" t="s">
        <v>103</v>
      </c>
      <c r="B25" s="282">
        <f>SUM(B21+B24)</f>
        <v>41898470</v>
      </c>
      <c r="C25" s="282">
        <f>SUM(C21+C24)</f>
        <v>45152359</v>
      </c>
      <c r="D25" s="283">
        <f t="shared" si="0"/>
        <v>3253889</v>
      </c>
      <c r="E25" s="284">
        <f>SUM(E21+E24)</f>
        <v>68918613</v>
      </c>
      <c r="F25" s="285">
        <f>SUM(F21+F24)</f>
        <v>81286593</v>
      </c>
      <c r="G25" s="283">
        <f t="shared" si="1"/>
        <v>12367980</v>
      </c>
      <c r="H25" s="285">
        <f>SUM(H21+H24)</f>
        <v>45831543</v>
      </c>
      <c r="I25" s="285">
        <f>SUM(I21+I24)</f>
        <v>53724277</v>
      </c>
      <c r="J25" s="283">
        <f t="shared" si="2"/>
        <v>7892734</v>
      </c>
      <c r="K25" s="282">
        <f>SUM(K21+K24)</f>
        <v>327480037</v>
      </c>
      <c r="L25" s="284">
        <f>SUM(L21+L24)</f>
        <v>328121179</v>
      </c>
      <c r="M25" s="283">
        <f t="shared" si="3"/>
        <v>641142</v>
      </c>
      <c r="N25" s="282">
        <f>SUM(N21+N24)</f>
        <v>139824343</v>
      </c>
      <c r="O25" s="284">
        <f>SUM(O21+O24)</f>
        <v>159101108</v>
      </c>
      <c r="P25" s="283">
        <f t="shared" si="4"/>
        <v>19276765</v>
      </c>
      <c r="Q25" s="282">
        <f>SUM(Q21+Q24)</f>
        <v>85586981</v>
      </c>
      <c r="R25" s="284">
        <f>SUM(R21+R24)</f>
        <v>89720905</v>
      </c>
      <c r="S25" s="283">
        <f t="shared" si="5"/>
        <v>4133924</v>
      </c>
      <c r="T25" s="282">
        <f>SUM(T21+T24)</f>
        <v>27521589</v>
      </c>
      <c r="U25" s="284">
        <f>SUM(U21+U24)</f>
        <v>28386566</v>
      </c>
      <c r="V25" s="283">
        <f t="shared" si="6"/>
        <v>864977</v>
      </c>
      <c r="W25" s="282">
        <f>SUM(W21+W24)</f>
        <v>51464936</v>
      </c>
      <c r="X25" s="284">
        <f>SUM(X21+X24)</f>
        <v>54969880</v>
      </c>
      <c r="Y25" s="283">
        <f t="shared" si="7"/>
        <v>3504944</v>
      </c>
      <c r="Z25" s="282">
        <f>SUM(Z21+Z24)</f>
        <v>19334953</v>
      </c>
      <c r="AA25" s="284">
        <f>SUM(AA21+AA24)</f>
        <v>21264118</v>
      </c>
      <c r="AB25" s="283">
        <f t="shared" si="8"/>
        <v>1929165</v>
      </c>
      <c r="AC25" s="282">
        <f>SUM(AC21+AC24)</f>
        <v>14208750</v>
      </c>
      <c r="AD25" s="284">
        <f>SUM(AD21+AD24)</f>
        <v>15663684</v>
      </c>
      <c r="AE25" s="283">
        <f t="shared" si="9"/>
        <v>1454934</v>
      </c>
      <c r="AF25" s="286">
        <f t="shared" si="10"/>
        <v>198117209</v>
      </c>
      <c r="AG25" s="287">
        <f t="shared" si="11"/>
        <v>210005153</v>
      </c>
      <c r="AH25" s="288">
        <f t="shared" si="12"/>
        <v>11887944</v>
      </c>
      <c r="AI25" s="282">
        <f>SUM(AI21+AI24)</f>
        <v>83125714</v>
      </c>
      <c r="AJ25" s="284">
        <f>SUM(AJ21+AJ24)</f>
        <v>87276057</v>
      </c>
      <c r="AK25" s="283">
        <f t="shared" si="13"/>
        <v>4150343</v>
      </c>
      <c r="AL25" s="282">
        <f>SUM(AL21+AL24)</f>
        <v>22825244</v>
      </c>
      <c r="AM25" s="284">
        <f>SUM(AM21+AM24)</f>
        <v>23825159</v>
      </c>
      <c r="AN25" s="283">
        <f t="shared" si="14"/>
        <v>999915</v>
      </c>
      <c r="AO25" s="282">
        <f>SUM(AO21+AO24)</f>
        <v>0</v>
      </c>
      <c r="AP25" s="284">
        <f>SUM(AP21+AP24)</f>
        <v>1180425</v>
      </c>
      <c r="AQ25" s="283">
        <f t="shared" si="15"/>
        <v>1180425</v>
      </c>
      <c r="AR25" s="282">
        <f>SUM(AR21+AR24)</f>
        <v>14950977</v>
      </c>
      <c r="AS25" s="284">
        <f>SUM(AS21+AS24)</f>
        <v>16010924</v>
      </c>
      <c r="AT25" s="283">
        <f t="shared" si="16"/>
        <v>1059947</v>
      </c>
      <c r="AU25" s="289">
        <f t="shared" si="17"/>
        <v>120901935</v>
      </c>
      <c r="AV25" s="290">
        <f t="shared" si="18"/>
        <v>128292565</v>
      </c>
      <c r="AW25" s="291">
        <f t="shared" si="19"/>
        <v>7390630</v>
      </c>
      <c r="AX25" s="292">
        <f>SUM(AX21+AX24)</f>
        <v>942972150</v>
      </c>
      <c r="AY25" s="293">
        <f>SUM(AY21+AY24)</f>
        <v>1005683234</v>
      </c>
      <c r="AZ25" s="294">
        <f t="shared" si="20"/>
        <v>62711084</v>
      </c>
      <c r="BA25" s="282">
        <f>SUM(BA21+BA24)</f>
        <v>1353911367</v>
      </c>
      <c r="BB25" s="295">
        <f>SUM(BB21+BB24)</f>
        <v>1398082216</v>
      </c>
      <c r="BC25" s="296">
        <f t="shared" si="21"/>
        <v>44170849</v>
      </c>
      <c r="BD25" s="297">
        <f>SUM(BD21+BD24)</f>
        <v>2296883517</v>
      </c>
      <c r="BE25" s="295">
        <f>SUM(BE21+BE24)</f>
        <v>2403765450</v>
      </c>
      <c r="BF25" s="296">
        <f t="shared" si="22"/>
        <v>106881933</v>
      </c>
      <c r="BG25" s="298">
        <f aca="true" t="shared" si="53" ref="BG25:BL25">SUM(BG21+BG24)</f>
        <v>1369911367</v>
      </c>
      <c r="BH25" s="298">
        <f t="shared" si="53"/>
        <v>1467173842</v>
      </c>
      <c r="BI25" s="298">
        <f t="shared" si="53"/>
        <v>97262475</v>
      </c>
      <c r="BJ25" s="299">
        <f t="shared" si="53"/>
        <v>105275000</v>
      </c>
      <c r="BK25" s="300">
        <f t="shared" si="53"/>
        <v>160247720</v>
      </c>
      <c r="BL25" s="300">
        <f t="shared" si="53"/>
        <v>160247720</v>
      </c>
      <c r="BM25" s="301">
        <f t="shared" si="24"/>
        <v>0</v>
      </c>
      <c r="BN25" s="302">
        <f aca="true" t="shared" si="54" ref="BN25:BU25">SUM(BN21+BN24)</f>
        <v>0</v>
      </c>
      <c r="BO25" s="300">
        <f t="shared" si="54"/>
        <v>0</v>
      </c>
      <c r="BP25" s="300">
        <f t="shared" si="54"/>
        <v>0</v>
      </c>
      <c r="BQ25" s="301">
        <f t="shared" si="54"/>
        <v>0</v>
      </c>
      <c r="BR25" s="299">
        <f t="shared" si="54"/>
        <v>0</v>
      </c>
      <c r="BS25" s="300">
        <f t="shared" si="54"/>
        <v>0</v>
      </c>
      <c r="BT25" s="300">
        <f t="shared" si="54"/>
        <v>0</v>
      </c>
      <c r="BU25" s="301">
        <f t="shared" si="54"/>
        <v>0</v>
      </c>
      <c r="BV25" s="303"/>
      <c r="BW25" s="227">
        <f t="shared" si="26"/>
        <v>160247720</v>
      </c>
    </row>
    <row r="26" spans="1:75" s="11" customFormat="1" ht="15.75" customHeight="1" thickBot="1">
      <c r="A26" s="381" t="s">
        <v>25</v>
      </c>
      <c r="B26" s="282">
        <f>B25+B20</f>
        <v>43398470</v>
      </c>
      <c r="C26" s="282">
        <f>C25+C20</f>
        <v>46652359</v>
      </c>
      <c r="D26" s="283">
        <f t="shared" si="0"/>
        <v>3253889</v>
      </c>
      <c r="E26" s="382">
        <f>E25+E20</f>
        <v>179232479</v>
      </c>
      <c r="F26" s="285">
        <f>F25+F20</f>
        <v>212485510</v>
      </c>
      <c r="G26" s="283">
        <f t="shared" si="1"/>
        <v>33253031</v>
      </c>
      <c r="H26" s="383">
        <f>H25+H20</f>
        <v>49831543</v>
      </c>
      <c r="I26" s="285">
        <f>I25+I20</f>
        <v>57724277</v>
      </c>
      <c r="J26" s="283">
        <f t="shared" si="2"/>
        <v>7892734</v>
      </c>
      <c r="K26" s="384">
        <f>K25+K20</f>
        <v>329180037</v>
      </c>
      <c r="L26" s="284">
        <f>L25+L20</f>
        <v>333168300</v>
      </c>
      <c r="M26" s="283">
        <f t="shared" si="3"/>
        <v>3988263</v>
      </c>
      <c r="N26" s="384">
        <f>N25+N20</f>
        <v>234278053</v>
      </c>
      <c r="O26" s="284">
        <f>O25+O20</f>
        <v>253554818</v>
      </c>
      <c r="P26" s="283">
        <f t="shared" si="4"/>
        <v>19276765</v>
      </c>
      <c r="Q26" s="384">
        <f>Q25+Q20</f>
        <v>86036981</v>
      </c>
      <c r="R26" s="284">
        <f>R25+R20</f>
        <v>90170905</v>
      </c>
      <c r="S26" s="283">
        <f t="shared" si="5"/>
        <v>4133924</v>
      </c>
      <c r="T26" s="384">
        <f>T25+T20</f>
        <v>27521589</v>
      </c>
      <c r="U26" s="284">
        <f>U25+U20</f>
        <v>28386566</v>
      </c>
      <c r="V26" s="283">
        <f t="shared" si="6"/>
        <v>864977</v>
      </c>
      <c r="W26" s="384">
        <f>W25+W20</f>
        <v>51936936</v>
      </c>
      <c r="X26" s="284">
        <f>X25+X20</f>
        <v>55441880</v>
      </c>
      <c r="Y26" s="283">
        <f t="shared" si="7"/>
        <v>3504944</v>
      </c>
      <c r="Z26" s="384">
        <f>Z25+Z20</f>
        <v>19334953</v>
      </c>
      <c r="AA26" s="284">
        <f>AA25+AA20</f>
        <v>21264118</v>
      </c>
      <c r="AB26" s="283">
        <f t="shared" si="8"/>
        <v>1929165</v>
      </c>
      <c r="AC26" s="384">
        <f>AC25+AC20</f>
        <v>14208750</v>
      </c>
      <c r="AD26" s="284">
        <f>AD25+AD20</f>
        <v>15663684</v>
      </c>
      <c r="AE26" s="283">
        <f t="shared" si="9"/>
        <v>1454934</v>
      </c>
      <c r="AF26" s="385">
        <f t="shared" si="10"/>
        <v>199039209</v>
      </c>
      <c r="AG26" s="287">
        <f t="shared" si="11"/>
        <v>210927153</v>
      </c>
      <c r="AH26" s="288">
        <f t="shared" si="12"/>
        <v>11887944</v>
      </c>
      <c r="AI26" s="384">
        <f>AI25+AI20</f>
        <v>84525714</v>
      </c>
      <c r="AJ26" s="284">
        <f>AJ25+AJ20</f>
        <v>88676057</v>
      </c>
      <c r="AK26" s="283">
        <f t="shared" si="13"/>
        <v>4150343</v>
      </c>
      <c r="AL26" s="384">
        <f>AL25+AL20</f>
        <v>22975244</v>
      </c>
      <c r="AM26" s="284">
        <f>AM25+AM20</f>
        <v>23975159</v>
      </c>
      <c r="AN26" s="283">
        <f t="shared" si="14"/>
        <v>999915</v>
      </c>
      <c r="AO26" s="384">
        <f>AO25+AO20</f>
        <v>0</v>
      </c>
      <c r="AP26" s="284">
        <f>AP25+AP20</f>
        <v>1180425</v>
      </c>
      <c r="AQ26" s="283">
        <f t="shared" si="15"/>
        <v>1180425</v>
      </c>
      <c r="AR26" s="384">
        <f>AR25+AR20</f>
        <v>15012577</v>
      </c>
      <c r="AS26" s="284">
        <f>AS25+AS20</f>
        <v>16072524</v>
      </c>
      <c r="AT26" s="283">
        <f t="shared" si="16"/>
        <v>1059947</v>
      </c>
      <c r="AU26" s="386">
        <f t="shared" si="17"/>
        <v>122513535</v>
      </c>
      <c r="AV26" s="290">
        <f t="shared" si="18"/>
        <v>129904165</v>
      </c>
      <c r="AW26" s="291">
        <f t="shared" si="19"/>
        <v>7390630</v>
      </c>
      <c r="AX26" s="387">
        <f>AX25+AX20</f>
        <v>1157473326</v>
      </c>
      <c r="AY26" s="293">
        <f>AY25+AY20</f>
        <v>1244416582</v>
      </c>
      <c r="AZ26" s="294">
        <f t="shared" si="20"/>
        <v>86943256</v>
      </c>
      <c r="BA26" s="384">
        <f>BA25+BA20</f>
        <v>3067703963</v>
      </c>
      <c r="BB26" s="295">
        <f>BB25+BB20</f>
        <v>3261908944</v>
      </c>
      <c r="BC26" s="296">
        <f t="shared" si="21"/>
        <v>194204981</v>
      </c>
      <c r="BD26" s="388">
        <f>BD25+BD20</f>
        <v>4225177289</v>
      </c>
      <c r="BE26" s="295">
        <f>BE25+BE20</f>
        <v>4506325526</v>
      </c>
      <c r="BF26" s="296">
        <f t="shared" si="22"/>
        <v>281148237</v>
      </c>
      <c r="BG26" s="389">
        <f aca="true" t="shared" si="55" ref="BG26:BL26">BG25+BG20</f>
        <v>3298205139</v>
      </c>
      <c r="BH26" s="389">
        <f t="shared" si="55"/>
        <v>3569733918</v>
      </c>
      <c r="BI26" s="389">
        <f t="shared" si="55"/>
        <v>271528779</v>
      </c>
      <c r="BJ26" s="390">
        <f t="shared" si="55"/>
        <v>1738019583</v>
      </c>
      <c r="BK26" s="300">
        <f t="shared" si="55"/>
        <v>1854528414</v>
      </c>
      <c r="BL26" s="300">
        <f t="shared" si="55"/>
        <v>1855199525</v>
      </c>
      <c r="BM26" s="301">
        <f t="shared" si="24"/>
        <v>671111</v>
      </c>
      <c r="BN26" s="391">
        <f aca="true" t="shared" si="56" ref="BN26:BU26">BN25+BN20</f>
        <v>137688</v>
      </c>
      <c r="BO26" s="300">
        <f t="shared" si="56"/>
        <v>138788</v>
      </c>
      <c r="BP26" s="300">
        <f t="shared" si="56"/>
        <v>139888</v>
      </c>
      <c r="BQ26" s="301">
        <f t="shared" si="56"/>
        <v>1100</v>
      </c>
      <c r="BR26" s="390">
        <f t="shared" si="56"/>
        <v>0</v>
      </c>
      <c r="BS26" s="300">
        <f t="shared" si="56"/>
        <v>0</v>
      </c>
      <c r="BT26" s="300">
        <f t="shared" si="56"/>
        <v>0</v>
      </c>
      <c r="BU26" s="301">
        <f t="shared" si="56"/>
        <v>0</v>
      </c>
      <c r="BV26" s="303"/>
      <c r="BW26" s="227">
        <f t="shared" si="26"/>
        <v>1854667202</v>
      </c>
    </row>
    <row r="27" spans="5:75" s="9" customFormat="1" ht="7.5" customHeight="1" thickBot="1">
      <c r="E27" s="392"/>
      <c r="F27" s="393"/>
      <c r="G27" s="394"/>
      <c r="AX27" s="91"/>
      <c r="BD27" s="89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227">
        <f>SUM(BJ27:BR27)</f>
        <v>0</v>
      </c>
    </row>
    <row r="28" spans="1:75" s="9" customFormat="1" ht="25.5" customHeight="1">
      <c r="A28" s="519" t="s">
        <v>171</v>
      </c>
      <c r="B28" s="552" t="s">
        <v>53</v>
      </c>
      <c r="C28" s="553"/>
      <c r="D28" s="554"/>
      <c r="E28" s="542" t="s">
        <v>121</v>
      </c>
      <c r="F28" s="543"/>
      <c r="G28" s="544"/>
      <c r="H28" s="555" t="s">
        <v>64</v>
      </c>
      <c r="I28" s="556"/>
      <c r="J28" s="557"/>
      <c r="K28" s="542" t="s">
        <v>39</v>
      </c>
      <c r="L28" s="543"/>
      <c r="M28" s="544"/>
      <c r="N28" s="524" t="s">
        <v>140</v>
      </c>
      <c r="O28" s="525"/>
      <c r="P28" s="526"/>
      <c r="Q28" s="530" t="s">
        <v>175</v>
      </c>
      <c r="R28" s="531"/>
      <c r="S28" s="532"/>
      <c r="T28" s="530" t="s">
        <v>273</v>
      </c>
      <c r="U28" s="531"/>
      <c r="V28" s="532"/>
      <c r="W28" s="530" t="s">
        <v>274</v>
      </c>
      <c r="X28" s="531"/>
      <c r="Y28" s="532"/>
      <c r="Z28" s="530" t="s">
        <v>172</v>
      </c>
      <c r="AA28" s="531"/>
      <c r="AB28" s="532"/>
      <c r="AC28" s="530" t="s">
        <v>275</v>
      </c>
      <c r="AD28" s="531"/>
      <c r="AE28" s="532"/>
      <c r="AF28" s="530" t="s">
        <v>173</v>
      </c>
      <c r="AG28" s="531"/>
      <c r="AH28" s="532"/>
      <c r="AI28" s="536" t="s">
        <v>276</v>
      </c>
      <c r="AJ28" s="537"/>
      <c r="AK28" s="538"/>
      <c r="AL28" s="536" t="s">
        <v>277</v>
      </c>
      <c r="AM28" s="537"/>
      <c r="AN28" s="538"/>
      <c r="AO28" s="536" t="s">
        <v>278</v>
      </c>
      <c r="AP28" s="537"/>
      <c r="AQ28" s="538"/>
      <c r="AR28" s="536" t="s">
        <v>279</v>
      </c>
      <c r="AS28" s="537"/>
      <c r="AT28" s="538"/>
      <c r="AU28" s="536" t="s">
        <v>174</v>
      </c>
      <c r="AV28" s="537"/>
      <c r="AW28" s="538"/>
      <c r="AX28" s="539" t="s">
        <v>16</v>
      </c>
      <c r="AY28" s="540"/>
      <c r="AZ28" s="541"/>
      <c r="BA28" s="542" t="s">
        <v>34</v>
      </c>
      <c r="BB28" s="543"/>
      <c r="BC28" s="544"/>
      <c r="BD28" s="545" t="s">
        <v>127</v>
      </c>
      <c r="BE28" s="546"/>
      <c r="BF28" s="547"/>
      <c r="BG28" s="524" t="s">
        <v>135</v>
      </c>
      <c r="BH28" s="525"/>
      <c r="BI28" s="526"/>
      <c r="BJ28" s="548" t="s">
        <v>136</v>
      </c>
      <c r="BK28" s="549"/>
      <c r="BL28" s="550"/>
      <c r="BM28" s="551"/>
      <c r="BN28" s="548" t="s">
        <v>138</v>
      </c>
      <c r="BO28" s="549"/>
      <c r="BP28" s="550"/>
      <c r="BQ28" s="551"/>
      <c r="BR28" s="548" t="s">
        <v>139</v>
      </c>
      <c r="BS28" s="549"/>
      <c r="BT28" s="550"/>
      <c r="BU28" s="551"/>
      <c r="BV28" s="184"/>
      <c r="BW28" s="227">
        <f>SUM(BJ28:BR28)</f>
        <v>0</v>
      </c>
    </row>
    <row r="29" spans="1:75" s="9" customFormat="1" ht="26.25" thickBot="1">
      <c r="A29" s="520"/>
      <c r="B29" s="186" t="s">
        <v>280</v>
      </c>
      <c r="C29" s="187" t="s">
        <v>289</v>
      </c>
      <c r="D29" s="188" t="s">
        <v>282</v>
      </c>
      <c r="E29" s="186" t="s">
        <v>280</v>
      </c>
      <c r="F29" s="187" t="s">
        <v>289</v>
      </c>
      <c r="G29" s="188" t="s">
        <v>282</v>
      </c>
      <c r="H29" s="396" t="s">
        <v>280</v>
      </c>
      <c r="I29" s="187" t="s">
        <v>289</v>
      </c>
      <c r="J29" s="188" t="s">
        <v>282</v>
      </c>
      <c r="K29" s="202" t="s">
        <v>280</v>
      </c>
      <c r="L29" s="187" t="s">
        <v>289</v>
      </c>
      <c r="M29" s="188" t="s">
        <v>282</v>
      </c>
      <c r="N29" s="202" t="s">
        <v>280</v>
      </c>
      <c r="O29" s="187" t="s">
        <v>289</v>
      </c>
      <c r="P29" s="188" t="s">
        <v>282</v>
      </c>
      <c r="Q29" s="202" t="s">
        <v>280</v>
      </c>
      <c r="R29" s="187" t="s">
        <v>289</v>
      </c>
      <c r="S29" s="188" t="s">
        <v>282</v>
      </c>
      <c r="T29" s="202" t="s">
        <v>280</v>
      </c>
      <c r="U29" s="187" t="s">
        <v>289</v>
      </c>
      <c r="V29" s="188" t="s">
        <v>282</v>
      </c>
      <c r="W29" s="202" t="s">
        <v>280</v>
      </c>
      <c r="X29" s="187" t="s">
        <v>289</v>
      </c>
      <c r="Y29" s="188" t="s">
        <v>282</v>
      </c>
      <c r="Z29" s="202" t="s">
        <v>280</v>
      </c>
      <c r="AA29" s="187" t="s">
        <v>289</v>
      </c>
      <c r="AB29" s="188" t="s">
        <v>282</v>
      </c>
      <c r="AC29" s="202" t="s">
        <v>280</v>
      </c>
      <c r="AD29" s="187" t="s">
        <v>289</v>
      </c>
      <c r="AE29" s="188" t="s">
        <v>282</v>
      </c>
      <c r="AF29" s="193" t="s">
        <v>280</v>
      </c>
      <c r="AG29" s="194" t="s">
        <v>289</v>
      </c>
      <c r="AH29" s="195" t="s">
        <v>282</v>
      </c>
      <c r="AI29" s="202" t="s">
        <v>280</v>
      </c>
      <c r="AJ29" s="187" t="s">
        <v>289</v>
      </c>
      <c r="AK29" s="188" t="s">
        <v>282</v>
      </c>
      <c r="AL29" s="202" t="s">
        <v>280</v>
      </c>
      <c r="AM29" s="187" t="s">
        <v>289</v>
      </c>
      <c r="AN29" s="188" t="s">
        <v>282</v>
      </c>
      <c r="AO29" s="202" t="s">
        <v>280</v>
      </c>
      <c r="AP29" s="187" t="s">
        <v>289</v>
      </c>
      <c r="AQ29" s="188" t="s">
        <v>282</v>
      </c>
      <c r="AR29" s="202" t="s">
        <v>280</v>
      </c>
      <c r="AS29" s="187" t="s">
        <v>289</v>
      </c>
      <c r="AT29" s="188" t="s">
        <v>282</v>
      </c>
      <c r="AU29" s="196" t="s">
        <v>280</v>
      </c>
      <c r="AV29" s="197" t="s">
        <v>289</v>
      </c>
      <c r="AW29" s="198" t="s">
        <v>282</v>
      </c>
      <c r="AX29" s="199" t="s">
        <v>280</v>
      </c>
      <c r="AY29" s="200" t="s">
        <v>289</v>
      </c>
      <c r="AZ29" s="201" t="s">
        <v>282</v>
      </c>
      <c r="BA29" s="202" t="s">
        <v>280</v>
      </c>
      <c r="BB29" s="187" t="s">
        <v>289</v>
      </c>
      <c r="BC29" s="188" t="s">
        <v>282</v>
      </c>
      <c r="BD29" s="203" t="s">
        <v>280</v>
      </c>
      <c r="BE29" s="200" t="s">
        <v>289</v>
      </c>
      <c r="BF29" s="201" t="s">
        <v>282</v>
      </c>
      <c r="BG29" s="186" t="s">
        <v>280</v>
      </c>
      <c r="BH29" s="187" t="s">
        <v>289</v>
      </c>
      <c r="BI29" s="188" t="s">
        <v>282</v>
      </c>
      <c r="BJ29" s="204" t="s">
        <v>280</v>
      </c>
      <c r="BK29" s="191" t="s">
        <v>283</v>
      </c>
      <c r="BL29" s="191" t="s">
        <v>281</v>
      </c>
      <c r="BM29" s="192" t="s">
        <v>282</v>
      </c>
      <c r="BN29" s="205" t="s">
        <v>280</v>
      </c>
      <c r="BO29" s="191" t="s">
        <v>283</v>
      </c>
      <c r="BP29" s="191" t="s">
        <v>281</v>
      </c>
      <c r="BQ29" s="192" t="s">
        <v>282</v>
      </c>
      <c r="BR29" s="205" t="s">
        <v>280</v>
      </c>
      <c r="BS29" s="191" t="s">
        <v>283</v>
      </c>
      <c r="BT29" s="191" t="s">
        <v>281</v>
      </c>
      <c r="BU29" s="192" t="s">
        <v>282</v>
      </c>
      <c r="BV29" s="206"/>
      <c r="BW29" s="227"/>
    </row>
    <row r="30" spans="1:75" s="9" customFormat="1" ht="13.5">
      <c r="A30" s="75" t="s">
        <v>26</v>
      </c>
      <c r="B30" s="123">
        <v>24934840</v>
      </c>
      <c r="C30" s="124">
        <v>26104751</v>
      </c>
      <c r="D30" s="221">
        <f aca="true" t="shared" si="57" ref="D30:D49">C30-B30</f>
        <v>1169911</v>
      </c>
      <c r="E30" s="124">
        <v>52065195</v>
      </c>
      <c r="F30" s="124">
        <v>58871882</v>
      </c>
      <c r="G30" s="18">
        <f aca="true" t="shared" si="58" ref="G30:G49">F30-E30</f>
        <v>6806687</v>
      </c>
      <c r="H30" s="124">
        <v>31069724</v>
      </c>
      <c r="I30" s="124">
        <v>32080945</v>
      </c>
      <c r="J30" s="18">
        <f aca="true" t="shared" si="59" ref="J30:J49">I30-H30</f>
        <v>1011221</v>
      </c>
      <c r="K30" s="123">
        <v>213376522</v>
      </c>
      <c r="L30" s="304">
        <v>215969509</v>
      </c>
      <c r="M30" s="18">
        <f aca="true" t="shared" si="60" ref="M30:M49">L30-K30</f>
        <v>2592987</v>
      </c>
      <c r="N30" s="123">
        <v>131285416</v>
      </c>
      <c r="O30" s="304">
        <v>141475382</v>
      </c>
      <c r="P30" s="18">
        <f aca="true" t="shared" si="61" ref="P30:P49">O30-N30</f>
        <v>10189966</v>
      </c>
      <c r="Q30" s="123">
        <v>61929134</v>
      </c>
      <c r="R30" s="304">
        <v>63259026</v>
      </c>
      <c r="S30" s="18">
        <f aca="true" t="shared" si="62" ref="S30:S49">R30-Q30</f>
        <v>1329892</v>
      </c>
      <c r="T30" s="123">
        <v>20049578</v>
      </c>
      <c r="U30" s="304">
        <v>20158522</v>
      </c>
      <c r="V30" s="18">
        <f aca="true" t="shared" si="63" ref="V30:V49">U30-T30</f>
        <v>108944</v>
      </c>
      <c r="W30" s="123">
        <v>39427447</v>
      </c>
      <c r="X30" s="304">
        <v>40538491</v>
      </c>
      <c r="Y30" s="18">
        <f aca="true" t="shared" si="64" ref="Y30:Y49">X30-W30</f>
        <v>1111044</v>
      </c>
      <c r="Z30" s="123">
        <v>14366234</v>
      </c>
      <c r="AA30" s="304">
        <v>14490808</v>
      </c>
      <c r="AB30" s="18">
        <f aca="true" t="shared" si="65" ref="AB30:AB49">AA30-Z30</f>
        <v>124574</v>
      </c>
      <c r="AC30" s="123">
        <v>10397742</v>
      </c>
      <c r="AD30" s="304">
        <v>10455016</v>
      </c>
      <c r="AE30" s="18">
        <f aca="true" t="shared" si="66" ref="AE30:AE49">AD30-AC30</f>
        <v>57274</v>
      </c>
      <c r="AF30" s="208">
        <f aca="true" t="shared" si="67" ref="AF30:AF49">Q30+T30+W30+Z30+AC30</f>
        <v>146170135</v>
      </c>
      <c r="AG30" s="305">
        <f aca="true" t="shared" si="68" ref="AG30:AG49">R30+U30+X30+AA30+AD30</f>
        <v>148901863</v>
      </c>
      <c r="AH30" s="210">
        <f aca="true" t="shared" si="69" ref="AH30:AH49">AG30-AF30</f>
        <v>2731728</v>
      </c>
      <c r="AI30" s="123">
        <v>60795379</v>
      </c>
      <c r="AJ30" s="304">
        <v>64271559</v>
      </c>
      <c r="AK30" s="18">
        <f aca="true" t="shared" si="70" ref="AK30:AK49">AJ30-AI30</f>
        <v>3476180</v>
      </c>
      <c r="AL30" s="123">
        <v>16613505</v>
      </c>
      <c r="AM30" s="304">
        <v>16644005</v>
      </c>
      <c r="AN30" s="18">
        <f aca="true" t="shared" si="71" ref="AN30:AN49">AM30-AL30</f>
        <v>30500</v>
      </c>
      <c r="AO30" s="123">
        <v>0</v>
      </c>
      <c r="AP30" s="304">
        <v>0</v>
      </c>
      <c r="AQ30" s="18">
        <f aca="true" t="shared" si="72" ref="AQ30:AQ49">AP30-AO30</f>
        <v>0</v>
      </c>
      <c r="AR30" s="123">
        <v>10727495</v>
      </c>
      <c r="AS30" s="304">
        <v>10727495</v>
      </c>
      <c r="AT30" s="18">
        <f aca="true" t="shared" si="73" ref="AT30:AT49">AS30-AR30</f>
        <v>0</v>
      </c>
      <c r="AU30" s="211">
        <f aca="true" t="shared" si="74" ref="AU30:AU49">AI30+AL30+AR30+AO30</f>
        <v>88136379</v>
      </c>
      <c r="AV30" s="306">
        <f aca="true" t="shared" si="75" ref="AV30:AV49">AJ30+AM30+AS30+AP30</f>
        <v>91643059</v>
      </c>
      <c r="AW30" s="213">
        <f aca="true" t="shared" si="76" ref="AW30:AW49">AV30-AU30</f>
        <v>3506680</v>
      </c>
      <c r="AX30" s="214">
        <f aca="true" t="shared" si="77" ref="AX30:AY33">B30+E30+H30+K30+N30+AU30+AF30</f>
        <v>687038211</v>
      </c>
      <c r="AY30" s="215">
        <f t="shared" si="77"/>
        <v>715047391</v>
      </c>
      <c r="AZ30" s="397">
        <f aca="true" t="shared" si="78" ref="AZ30:AZ49">AY30-AX30</f>
        <v>28009180</v>
      </c>
      <c r="BA30" s="123">
        <v>48804740</v>
      </c>
      <c r="BB30" s="217">
        <v>50603927</v>
      </c>
      <c r="BC30" s="18">
        <f aca="true" t="shared" si="79" ref="BC30:BC49">BB30-BA30</f>
        <v>1799187</v>
      </c>
      <c r="BD30" s="219">
        <f aca="true" t="shared" si="80" ref="BD30:BE33">BA30+AX30</f>
        <v>735842951</v>
      </c>
      <c r="BE30" s="220">
        <f t="shared" si="80"/>
        <v>765651318</v>
      </c>
      <c r="BF30" s="397">
        <f aca="true" t="shared" si="81" ref="BF30:BF49">BE30-BD30</f>
        <v>29808367</v>
      </c>
      <c r="BG30" s="18">
        <f aca="true" t="shared" si="82" ref="BG30:BI33">BD30</f>
        <v>735842951</v>
      </c>
      <c r="BH30" s="18">
        <f t="shared" si="82"/>
        <v>765651318</v>
      </c>
      <c r="BI30" s="18">
        <f t="shared" si="82"/>
        <v>29808367</v>
      </c>
      <c r="BJ30" s="222">
        <v>354351</v>
      </c>
      <c r="BK30" s="225">
        <f>BJ30+1756+1323+1927+2902+16049+1213</f>
        <v>379521</v>
      </c>
      <c r="BL30" s="225">
        <f>BK30+1756+1323+1927+2902+16049+1213</f>
        <v>404691</v>
      </c>
      <c r="BM30" s="224">
        <f aca="true" t="shared" si="83" ref="BM30:BM49">BL30-BK30</f>
        <v>25170</v>
      </c>
      <c r="BN30" s="223">
        <v>24557</v>
      </c>
      <c r="BO30" s="225">
        <f>BN30-124+1722</f>
        <v>26155</v>
      </c>
      <c r="BP30" s="225">
        <f>BO30-124+1722</f>
        <v>27753</v>
      </c>
      <c r="BQ30" s="224">
        <f>BO30-BN30</f>
        <v>1598</v>
      </c>
      <c r="BR30" s="222">
        <v>56088</v>
      </c>
      <c r="BS30" s="225">
        <f aca="true" t="shared" si="84" ref="BS30:BT33">BR30</f>
        <v>56088</v>
      </c>
      <c r="BT30" s="225">
        <f t="shared" si="84"/>
        <v>56088</v>
      </c>
      <c r="BU30" s="224">
        <f>BS30-BR30</f>
        <v>0</v>
      </c>
      <c r="BV30" s="226"/>
      <c r="BW30" s="227">
        <f aca="true" t="shared" si="85" ref="BW30:BW50">BS30+BO30+BK30</f>
        <v>461764</v>
      </c>
    </row>
    <row r="31" spans="1:75" s="9" customFormat="1" ht="13.5">
      <c r="A31" s="66" t="s">
        <v>27</v>
      </c>
      <c r="B31" s="121">
        <v>5199120</v>
      </c>
      <c r="C31" s="62">
        <v>5387663</v>
      </c>
      <c r="D31" s="257">
        <f t="shared" si="57"/>
        <v>188543</v>
      </c>
      <c r="E31" s="62">
        <v>11021119</v>
      </c>
      <c r="F31" s="62">
        <v>12681314</v>
      </c>
      <c r="G31" s="19">
        <f t="shared" si="58"/>
        <v>1660195</v>
      </c>
      <c r="H31" s="62">
        <v>6459019</v>
      </c>
      <c r="I31" s="62">
        <v>6659611</v>
      </c>
      <c r="J31" s="19">
        <f t="shared" si="59"/>
        <v>200592</v>
      </c>
      <c r="K31" s="121">
        <v>50052615</v>
      </c>
      <c r="L31" s="249">
        <v>51014146</v>
      </c>
      <c r="M31" s="19">
        <f t="shared" si="60"/>
        <v>961531</v>
      </c>
      <c r="N31" s="121">
        <v>31226258</v>
      </c>
      <c r="O31" s="249">
        <v>33230864</v>
      </c>
      <c r="P31" s="19">
        <f t="shared" si="61"/>
        <v>2004606</v>
      </c>
      <c r="Q31" s="121">
        <v>14519497</v>
      </c>
      <c r="R31" s="249">
        <v>14771739</v>
      </c>
      <c r="S31" s="19">
        <f t="shared" si="62"/>
        <v>252242</v>
      </c>
      <c r="T31" s="121">
        <v>4133551</v>
      </c>
      <c r="U31" s="249">
        <v>4155053</v>
      </c>
      <c r="V31" s="19">
        <f t="shared" si="63"/>
        <v>21502</v>
      </c>
      <c r="W31" s="121">
        <v>7977279</v>
      </c>
      <c r="X31" s="249">
        <v>8194297</v>
      </c>
      <c r="Y31" s="19">
        <f t="shared" si="64"/>
        <v>217018</v>
      </c>
      <c r="Z31" s="121">
        <v>2940469</v>
      </c>
      <c r="AA31" s="249">
        <v>2965068</v>
      </c>
      <c r="AB31" s="19">
        <f t="shared" si="65"/>
        <v>24599</v>
      </c>
      <c r="AC31" s="121">
        <v>2112298</v>
      </c>
      <c r="AD31" s="249">
        <v>2123466</v>
      </c>
      <c r="AE31" s="19">
        <f t="shared" si="66"/>
        <v>11168</v>
      </c>
      <c r="AF31" s="250">
        <f t="shared" si="67"/>
        <v>31683094</v>
      </c>
      <c r="AG31" s="251">
        <f t="shared" si="68"/>
        <v>32209623</v>
      </c>
      <c r="AH31" s="252">
        <f t="shared" si="69"/>
        <v>526529</v>
      </c>
      <c r="AI31" s="121">
        <v>12430665</v>
      </c>
      <c r="AJ31" s="249">
        <v>13104828</v>
      </c>
      <c r="AK31" s="19">
        <f t="shared" si="70"/>
        <v>674163</v>
      </c>
      <c r="AL31" s="121">
        <v>3351909</v>
      </c>
      <c r="AM31" s="249">
        <v>3358069</v>
      </c>
      <c r="AN31" s="19">
        <f t="shared" si="71"/>
        <v>6160</v>
      </c>
      <c r="AO31" s="121">
        <v>0</v>
      </c>
      <c r="AP31" s="249">
        <v>0</v>
      </c>
      <c r="AQ31" s="19">
        <f t="shared" si="72"/>
        <v>0</v>
      </c>
      <c r="AR31" s="121">
        <v>2179592</v>
      </c>
      <c r="AS31" s="249">
        <v>2179592</v>
      </c>
      <c r="AT31" s="19">
        <f t="shared" si="73"/>
        <v>0</v>
      </c>
      <c r="AU31" s="253">
        <f t="shared" si="74"/>
        <v>17962166</v>
      </c>
      <c r="AV31" s="254">
        <f t="shared" si="75"/>
        <v>18642489</v>
      </c>
      <c r="AW31" s="255">
        <f t="shared" si="76"/>
        <v>680323</v>
      </c>
      <c r="AX31" s="214">
        <f t="shared" si="77"/>
        <v>153603391</v>
      </c>
      <c r="AY31" s="247">
        <f t="shared" si="77"/>
        <v>159825710</v>
      </c>
      <c r="AZ31" s="398">
        <f t="shared" si="78"/>
        <v>6222319</v>
      </c>
      <c r="BA31" s="121">
        <v>10401418</v>
      </c>
      <c r="BB31" s="256">
        <v>11322582</v>
      </c>
      <c r="BC31" s="19">
        <f t="shared" si="79"/>
        <v>921164</v>
      </c>
      <c r="BD31" s="239">
        <f t="shared" si="80"/>
        <v>164004809</v>
      </c>
      <c r="BE31" s="240">
        <f t="shared" si="80"/>
        <v>171148292</v>
      </c>
      <c r="BF31" s="398">
        <f t="shared" si="81"/>
        <v>7143483</v>
      </c>
      <c r="BG31" s="19">
        <f t="shared" si="82"/>
        <v>164004809</v>
      </c>
      <c r="BH31" s="19">
        <f t="shared" si="82"/>
        <v>171148292</v>
      </c>
      <c r="BI31" s="19">
        <f t="shared" si="82"/>
        <v>7143483</v>
      </c>
      <c r="BJ31" s="258">
        <v>83871</v>
      </c>
      <c r="BK31" s="259">
        <f>BJ31+299+453+405+578+2237+229</f>
        <v>88072</v>
      </c>
      <c r="BL31" s="259">
        <f>BK31+299+453+405+578+2237+229</f>
        <v>92273</v>
      </c>
      <c r="BM31" s="260">
        <f t="shared" si="83"/>
        <v>4201</v>
      </c>
      <c r="BN31" s="261">
        <v>6300</v>
      </c>
      <c r="BO31" s="259">
        <f>BN31+124+43</f>
        <v>6467</v>
      </c>
      <c r="BP31" s="259">
        <f>BO31+124+43</f>
        <v>6634</v>
      </c>
      <c r="BQ31" s="260">
        <f>BO31-BN31</f>
        <v>167</v>
      </c>
      <c r="BR31" s="258">
        <v>13885</v>
      </c>
      <c r="BS31" s="259">
        <f t="shared" si="84"/>
        <v>13885</v>
      </c>
      <c r="BT31" s="259">
        <f t="shared" si="84"/>
        <v>13885</v>
      </c>
      <c r="BU31" s="260">
        <f>BS31-BR31</f>
        <v>0</v>
      </c>
      <c r="BV31" s="226"/>
      <c r="BW31" s="227">
        <f t="shared" si="85"/>
        <v>108424</v>
      </c>
    </row>
    <row r="32" spans="1:75" s="9" customFormat="1" ht="13.5">
      <c r="A32" s="66" t="s">
        <v>15</v>
      </c>
      <c r="B32" s="121">
        <v>13264510</v>
      </c>
      <c r="C32" s="62">
        <v>14970842</v>
      </c>
      <c r="D32" s="257">
        <f t="shared" si="57"/>
        <v>1706332</v>
      </c>
      <c r="E32" s="62">
        <v>113223234</v>
      </c>
      <c r="F32" s="62">
        <v>129424196</v>
      </c>
      <c r="G32" s="19">
        <f t="shared" si="58"/>
        <v>16200962</v>
      </c>
      <c r="H32" s="62">
        <v>11921800</v>
      </c>
      <c r="I32" s="62">
        <v>15762721</v>
      </c>
      <c r="J32" s="19">
        <f t="shared" si="59"/>
        <v>3840921</v>
      </c>
      <c r="K32" s="121">
        <v>63750900</v>
      </c>
      <c r="L32" s="249">
        <v>63439897</v>
      </c>
      <c r="M32" s="19">
        <f t="shared" si="60"/>
        <v>-311003</v>
      </c>
      <c r="N32" s="121">
        <v>69609173</v>
      </c>
      <c r="O32" s="249">
        <v>73139402</v>
      </c>
      <c r="P32" s="19">
        <f t="shared" si="61"/>
        <v>3530229</v>
      </c>
      <c r="Q32" s="121">
        <v>9038350</v>
      </c>
      <c r="R32" s="249">
        <v>9038350</v>
      </c>
      <c r="S32" s="19">
        <f t="shared" si="62"/>
        <v>0</v>
      </c>
      <c r="T32" s="121">
        <v>3188460</v>
      </c>
      <c r="U32" s="249">
        <v>3188460</v>
      </c>
      <c r="V32" s="19">
        <f t="shared" si="63"/>
        <v>0</v>
      </c>
      <c r="W32" s="121">
        <v>4532210</v>
      </c>
      <c r="X32" s="249">
        <v>4532210</v>
      </c>
      <c r="Y32" s="19">
        <f t="shared" si="64"/>
        <v>0</v>
      </c>
      <c r="Z32" s="121">
        <v>2028250</v>
      </c>
      <c r="AA32" s="249">
        <v>2028250</v>
      </c>
      <c r="AB32" s="19">
        <f t="shared" si="65"/>
        <v>0</v>
      </c>
      <c r="AC32" s="121">
        <v>1698710</v>
      </c>
      <c r="AD32" s="249">
        <v>1698710</v>
      </c>
      <c r="AE32" s="19">
        <f t="shared" si="66"/>
        <v>0</v>
      </c>
      <c r="AF32" s="250">
        <f t="shared" si="67"/>
        <v>20485980</v>
      </c>
      <c r="AG32" s="251">
        <f t="shared" si="68"/>
        <v>20485980</v>
      </c>
      <c r="AH32" s="252">
        <f t="shared" si="69"/>
        <v>0</v>
      </c>
      <c r="AI32" s="121">
        <v>10299670</v>
      </c>
      <c r="AJ32" s="249">
        <v>10299670</v>
      </c>
      <c r="AK32" s="19">
        <f t="shared" si="70"/>
        <v>0</v>
      </c>
      <c r="AL32" s="121">
        <v>2682830</v>
      </c>
      <c r="AM32" s="249">
        <v>3646085</v>
      </c>
      <c r="AN32" s="19">
        <f t="shared" si="71"/>
        <v>963255</v>
      </c>
      <c r="AO32" s="121">
        <v>0</v>
      </c>
      <c r="AP32" s="249">
        <v>0</v>
      </c>
      <c r="AQ32" s="19">
        <f t="shared" si="72"/>
        <v>0</v>
      </c>
      <c r="AR32" s="121">
        <v>2105490</v>
      </c>
      <c r="AS32" s="249">
        <v>2405490</v>
      </c>
      <c r="AT32" s="19">
        <f t="shared" si="73"/>
        <v>300000</v>
      </c>
      <c r="AU32" s="253">
        <f t="shared" si="74"/>
        <v>15087990</v>
      </c>
      <c r="AV32" s="254">
        <f t="shared" si="75"/>
        <v>16351245</v>
      </c>
      <c r="AW32" s="255">
        <f t="shared" si="76"/>
        <v>1263255</v>
      </c>
      <c r="AX32" s="214">
        <f t="shared" si="77"/>
        <v>307343587</v>
      </c>
      <c r="AY32" s="247">
        <f t="shared" si="77"/>
        <v>333574283</v>
      </c>
      <c r="AZ32" s="398">
        <f t="shared" si="78"/>
        <v>26230696</v>
      </c>
      <c r="BA32" s="121">
        <v>546890484</v>
      </c>
      <c r="BB32" s="256">
        <v>602599523</v>
      </c>
      <c r="BC32" s="19">
        <f t="shared" si="79"/>
        <v>55709039</v>
      </c>
      <c r="BD32" s="239">
        <f t="shared" si="80"/>
        <v>854234071</v>
      </c>
      <c r="BE32" s="240">
        <f t="shared" si="80"/>
        <v>936173806</v>
      </c>
      <c r="BF32" s="398">
        <f t="shared" si="81"/>
        <v>81939735</v>
      </c>
      <c r="BG32" s="19">
        <f t="shared" si="82"/>
        <v>854234071</v>
      </c>
      <c r="BH32" s="19">
        <f t="shared" si="82"/>
        <v>936173806</v>
      </c>
      <c r="BI32" s="19">
        <f t="shared" si="82"/>
        <v>81939735</v>
      </c>
      <c r="BJ32" s="258">
        <v>626581</v>
      </c>
      <c r="BK32" s="259">
        <f>BJ32+2089+8501+4402+1000-699+19829</f>
        <v>661703</v>
      </c>
      <c r="BL32" s="259">
        <f>BK32+2089+8501+4402+1000-699+19829</f>
        <v>696825</v>
      </c>
      <c r="BM32" s="260">
        <f t="shared" si="83"/>
        <v>35122</v>
      </c>
      <c r="BN32" s="261">
        <v>98506</v>
      </c>
      <c r="BO32" s="259">
        <f>BN32+1100+7615</f>
        <v>107221</v>
      </c>
      <c r="BP32" s="259">
        <f>BO32+1100+7615</f>
        <v>115936</v>
      </c>
      <c r="BQ32" s="260">
        <f>BO32-BN32</f>
        <v>8715</v>
      </c>
      <c r="BR32" s="258">
        <v>19530</v>
      </c>
      <c r="BS32" s="259">
        <f t="shared" si="84"/>
        <v>19530</v>
      </c>
      <c r="BT32" s="259">
        <f t="shared" si="84"/>
        <v>19530</v>
      </c>
      <c r="BU32" s="260">
        <f>BS32-BR32</f>
        <v>0</v>
      </c>
      <c r="BV32" s="226"/>
      <c r="BW32" s="227">
        <f t="shared" si="85"/>
        <v>788454</v>
      </c>
    </row>
    <row r="33" spans="1:75" s="9" customFormat="1" ht="13.5">
      <c r="A33" s="66" t="s">
        <v>28</v>
      </c>
      <c r="B33" s="121"/>
      <c r="C33" s="62"/>
      <c r="D33" s="257">
        <f t="shared" si="57"/>
        <v>0</v>
      </c>
      <c r="E33" s="62"/>
      <c r="F33" s="62"/>
      <c r="G33" s="19">
        <f t="shared" si="58"/>
        <v>0</v>
      </c>
      <c r="H33" s="62"/>
      <c r="I33" s="62"/>
      <c r="J33" s="19">
        <f t="shared" si="59"/>
        <v>0</v>
      </c>
      <c r="K33" s="121"/>
      <c r="L33" s="249"/>
      <c r="M33" s="19">
        <f t="shared" si="60"/>
        <v>0</v>
      </c>
      <c r="N33" s="121"/>
      <c r="O33" s="249"/>
      <c r="P33" s="19">
        <f t="shared" si="61"/>
        <v>0</v>
      </c>
      <c r="Q33" s="121"/>
      <c r="R33" s="249"/>
      <c r="S33" s="19">
        <f t="shared" si="62"/>
        <v>0</v>
      </c>
      <c r="T33" s="121"/>
      <c r="U33" s="249"/>
      <c r="V33" s="19">
        <f t="shared" si="63"/>
        <v>0</v>
      </c>
      <c r="W33" s="121"/>
      <c r="X33" s="249"/>
      <c r="Y33" s="19">
        <f t="shared" si="64"/>
        <v>0</v>
      </c>
      <c r="Z33" s="121"/>
      <c r="AA33" s="249"/>
      <c r="AB33" s="19">
        <f t="shared" si="65"/>
        <v>0</v>
      </c>
      <c r="AC33" s="121"/>
      <c r="AD33" s="249"/>
      <c r="AE33" s="19">
        <f t="shared" si="66"/>
        <v>0</v>
      </c>
      <c r="AF33" s="250">
        <f t="shared" si="67"/>
        <v>0</v>
      </c>
      <c r="AG33" s="251">
        <f t="shared" si="68"/>
        <v>0</v>
      </c>
      <c r="AH33" s="252">
        <f t="shared" si="69"/>
        <v>0</v>
      </c>
      <c r="AI33" s="121"/>
      <c r="AJ33" s="249"/>
      <c r="AK33" s="19">
        <f t="shared" si="70"/>
        <v>0</v>
      </c>
      <c r="AL33" s="121"/>
      <c r="AM33" s="249"/>
      <c r="AN33" s="19">
        <f t="shared" si="71"/>
        <v>0</v>
      </c>
      <c r="AO33" s="121"/>
      <c r="AP33" s="249"/>
      <c r="AQ33" s="19">
        <f t="shared" si="72"/>
        <v>0</v>
      </c>
      <c r="AR33" s="121"/>
      <c r="AS33" s="249"/>
      <c r="AT33" s="19">
        <f t="shared" si="73"/>
        <v>0</v>
      </c>
      <c r="AU33" s="253">
        <f t="shared" si="74"/>
        <v>0</v>
      </c>
      <c r="AV33" s="254">
        <f t="shared" si="75"/>
        <v>0</v>
      </c>
      <c r="AW33" s="255">
        <f t="shared" si="76"/>
        <v>0</v>
      </c>
      <c r="AX33" s="214">
        <f t="shared" si="77"/>
        <v>0</v>
      </c>
      <c r="AY33" s="247">
        <f t="shared" si="77"/>
        <v>0</v>
      </c>
      <c r="AZ33" s="398">
        <f t="shared" si="78"/>
        <v>0</v>
      </c>
      <c r="BA33" s="121">
        <v>24500000</v>
      </c>
      <c r="BB33" s="256">
        <v>24500000</v>
      </c>
      <c r="BC33" s="19">
        <f t="shared" si="79"/>
        <v>0</v>
      </c>
      <c r="BD33" s="239">
        <f t="shared" si="80"/>
        <v>24500000</v>
      </c>
      <c r="BE33" s="240">
        <f t="shared" si="80"/>
        <v>24500000</v>
      </c>
      <c r="BF33" s="398">
        <f t="shared" si="81"/>
        <v>0</v>
      </c>
      <c r="BG33" s="19">
        <f t="shared" si="82"/>
        <v>24500000</v>
      </c>
      <c r="BH33" s="19">
        <f t="shared" si="82"/>
        <v>24500000</v>
      </c>
      <c r="BI33" s="19">
        <f t="shared" si="82"/>
        <v>0</v>
      </c>
      <c r="BJ33" s="258">
        <v>26800</v>
      </c>
      <c r="BK33" s="259">
        <f>BJ33</f>
        <v>26800</v>
      </c>
      <c r="BL33" s="259">
        <f>BK33</f>
        <v>26800</v>
      </c>
      <c r="BM33" s="260">
        <f t="shared" si="83"/>
        <v>0</v>
      </c>
      <c r="BN33" s="261"/>
      <c r="BO33" s="259">
        <f>BN33</f>
        <v>0</v>
      </c>
      <c r="BP33" s="259">
        <f>BO33</f>
        <v>0</v>
      </c>
      <c r="BQ33" s="260">
        <f>BO33-BN33</f>
        <v>0</v>
      </c>
      <c r="BR33" s="258"/>
      <c r="BS33" s="259">
        <f t="shared" si="84"/>
        <v>0</v>
      </c>
      <c r="BT33" s="259">
        <f t="shared" si="84"/>
        <v>0</v>
      </c>
      <c r="BU33" s="260">
        <f>BS33-BR33</f>
        <v>0</v>
      </c>
      <c r="BV33" s="226"/>
      <c r="BW33" s="227">
        <f t="shared" si="85"/>
        <v>26800</v>
      </c>
    </row>
    <row r="34" spans="1:75" s="9" customFormat="1" ht="13.5">
      <c r="A34" s="66" t="s">
        <v>118</v>
      </c>
      <c r="B34" s="121">
        <f>SUM(B35:B38)</f>
        <v>0</v>
      </c>
      <c r="C34" s="62">
        <f>SUM(C35:C38)</f>
        <v>0</v>
      </c>
      <c r="D34" s="257">
        <f t="shared" si="57"/>
        <v>0</v>
      </c>
      <c r="E34" s="62">
        <f>SUM(E35:E38)</f>
        <v>0</v>
      </c>
      <c r="F34" s="62">
        <f>SUM(F35:F38)</f>
        <v>3887187</v>
      </c>
      <c r="G34" s="19">
        <f t="shared" si="58"/>
        <v>3887187</v>
      </c>
      <c r="H34" s="62">
        <f>SUM(H35:H38)</f>
        <v>0</v>
      </c>
      <c r="I34" s="62">
        <f>SUM(I35:I38)</f>
        <v>400000</v>
      </c>
      <c r="J34" s="19">
        <f t="shared" si="59"/>
        <v>400000</v>
      </c>
      <c r="K34" s="121">
        <f>SUM(K35:K38)</f>
        <v>0</v>
      </c>
      <c r="L34" s="249">
        <f>SUM(L35:L38)</f>
        <v>74138</v>
      </c>
      <c r="M34" s="19">
        <f t="shared" si="60"/>
        <v>74138</v>
      </c>
      <c r="N34" s="121">
        <f>SUM(N35:N38)</f>
        <v>0</v>
      </c>
      <c r="O34" s="249">
        <f>SUM(O35:O38)</f>
        <v>3551964</v>
      </c>
      <c r="P34" s="19">
        <f t="shared" si="61"/>
        <v>3551964</v>
      </c>
      <c r="Q34" s="121">
        <f>SUM(Q35:Q38)</f>
        <v>0</v>
      </c>
      <c r="R34" s="249">
        <f>SUM(R35:R38)</f>
        <v>1236890</v>
      </c>
      <c r="S34" s="19">
        <f t="shared" si="62"/>
        <v>1236890</v>
      </c>
      <c r="T34" s="121">
        <f>SUM(T35:T38)</f>
        <v>0</v>
      </c>
      <c r="U34" s="249">
        <f>SUM(U35:U38)</f>
        <v>734531</v>
      </c>
      <c r="V34" s="19">
        <f t="shared" si="63"/>
        <v>734531</v>
      </c>
      <c r="W34" s="121">
        <f>SUM(W35:W38)</f>
        <v>0</v>
      </c>
      <c r="X34" s="249">
        <f>SUM(X35:X38)</f>
        <v>2176882</v>
      </c>
      <c r="Y34" s="19">
        <f t="shared" si="64"/>
        <v>2176882</v>
      </c>
      <c r="Z34" s="121">
        <f>SUM(Z35:Z38)</f>
        <v>0</v>
      </c>
      <c r="AA34" s="249">
        <f>SUM(AA35:AA38)</f>
        <v>0</v>
      </c>
      <c r="AB34" s="19">
        <f t="shared" si="65"/>
        <v>0</v>
      </c>
      <c r="AC34" s="314">
        <f>SUM(AC35:AC38)</f>
        <v>0</v>
      </c>
      <c r="AD34" s="249">
        <f>SUM(AD35:AD38)</f>
        <v>1386492</v>
      </c>
      <c r="AE34" s="19">
        <f t="shared" si="66"/>
        <v>1386492</v>
      </c>
      <c r="AF34" s="250">
        <f t="shared" si="67"/>
        <v>0</v>
      </c>
      <c r="AG34" s="251">
        <f t="shared" si="68"/>
        <v>5534795</v>
      </c>
      <c r="AH34" s="252">
        <f t="shared" si="69"/>
        <v>5534795</v>
      </c>
      <c r="AI34" s="314">
        <f>SUM(AI35:AI38)</f>
        <v>0</v>
      </c>
      <c r="AJ34" s="249">
        <f>SUM(AJ35:AJ38)</f>
        <v>0</v>
      </c>
      <c r="AK34" s="19">
        <f t="shared" si="70"/>
        <v>0</v>
      </c>
      <c r="AL34" s="314">
        <f>SUM(AL35:AL38)</f>
        <v>0</v>
      </c>
      <c r="AM34" s="62">
        <f>SUM(AM35:AM38)</f>
        <v>0</v>
      </c>
      <c r="AN34" s="19">
        <f t="shared" si="71"/>
        <v>0</v>
      </c>
      <c r="AO34" s="314">
        <f>SUM(AO35:AO38)</f>
        <v>0</v>
      </c>
      <c r="AP34" s="62">
        <f>SUM(AP35:AP38)</f>
        <v>1180425</v>
      </c>
      <c r="AQ34" s="19">
        <f t="shared" si="72"/>
        <v>1180425</v>
      </c>
      <c r="AR34" s="314">
        <f>SUM(AR35:AR38)</f>
        <v>0</v>
      </c>
      <c r="AS34" s="62">
        <f>SUM(AS35:AS38)</f>
        <v>759947</v>
      </c>
      <c r="AT34" s="19">
        <f t="shared" si="73"/>
        <v>759947</v>
      </c>
      <c r="AU34" s="253">
        <f t="shared" si="74"/>
        <v>0</v>
      </c>
      <c r="AV34" s="254">
        <f t="shared" si="75"/>
        <v>1940372</v>
      </c>
      <c r="AW34" s="255">
        <f t="shared" si="76"/>
        <v>1940372</v>
      </c>
      <c r="AX34" s="236">
        <f>SUM(AX35:AX38)</f>
        <v>0</v>
      </c>
      <c r="AY34" s="247">
        <f>SUM(AY35:AY38)</f>
        <v>15388456</v>
      </c>
      <c r="AZ34" s="398">
        <f t="shared" si="78"/>
        <v>15388456</v>
      </c>
      <c r="BA34" s="121">
        <f>SUM(BA35:BA38)</f>
        <v>88986530</v>
      </c>
      <c r="BB34" s="121">
        <f>SUM(BB35:BB38)</f>
        <v>133178541</v>
      </c>
      <c r="BC34" s="19">
        <f t="shared" si="79"/>
        <v>44192011</v>
      </c>
      <c r="BD34" s="239">
        <f>SUM(BD35:BD38)</f>
        <v>88986530</v>
      </c>
      <c r="BE34" s="275">
        <f>SUM(BE35:BE38)</f>
        <v>148566997</v>
      </c>
      <c r="BF34" s="398">
        <f t="shared" si="81"/>
        <v>59580467</v>
      </c>
      <c r="BG34" s="19">
        <f aca="true" t="shared" si="86" ref="BG34:BL34">SUM(BG35:BG38)</f>
        <v>88986530</v>
      </c>
      <c r="BH34" s="19">
        <f t="shared" si="86"/>
        <v>148566997</v>
      </c>
      <c r="BI34" s="19">
        <f t="shared" si="86"/>
        <v>59580467</v>
      </c>
      <c r="BJ34" s="258">
        <f t="shared" si="86"/>
        <v>335706</v>
      </c>
      <c r="BK34" s="259">
        <f t="shared" si="86"/>
        <v>358841</v>
      </c>
      <c r="BL34" s="259">
        <f t="shared" si="86"/>
        <v>381976</v>
      </c>
      <c r="BM34" s="260">
        <f t="shared" si="83"/>
        <v>23135</v>
      </c>
      <c r="BN34" s="261">
        <f aca="true" t="shared" si="87" ref="BN34:BU34">SUM(BN35:BN38)</f>
        <v>59243</v>
      </c>
      <c r="BO34" s="259">
        <f t="shared" si="87"/>
        <v>58131</v>
      </c>
      <c r="BP34" s="259">
        <f t="shared" si="87"/>
        <v>57019</v>
      </c>
      <c r="BQ34" s="260">
        <f t="shared" si="87"/>
        <v>-1112</v>
      </c>
      <c r="BR34" s="258">
        <f t="shared" si="87"/>
        <v>0</v>
      </c>
      <c r="BS34" s="259">
        <f t="shared" si="87"/>
        <v>0</v>
      </c>
      <c r="BT34" s="259">
        <f t="shared" si="87"/>
        <v>0</v>
      </c>
      <c r="BU34" s="260">
        <f t="shared" si="87"/>
        <v>0</v>
      </c>
      <c r="BV34" s="226"/>
      <c r="BW34" s="227">
        <f t="shared" si="85"/>
        <v>416972</v>
      </c>
    </row>
    <row r="35" spans="1:75" s="9" customFormat="1" ht="13.5">
      <c r="A35" s="76" t="s">
        <v>104</v>
      </c>
      <c r="B35" s="120"/>
      <c r="C35" s="79"/>
      <c r="D35" s="241">
        <f t="shared" si="57"/>
        <v>0</v>
      </c>
      <c r="E35" s="79"/>
      <c r="F35" s="79">
        <v>3887187</v>
      </c>
      <c r="G35" s="77">
        <f t="shared" si="58"/>
        <v>3887187</v>
      </c>
      <c r="H35" s="79"/>
      <c r="I35" s="79">
        <v>400000</v>
      </c>
      <c r="J35" s="77">
        <f t="shared" si="59"/>
        <v>400000</v>
      </c>
      <c r="K35" s="120"/>
      <c r="L35" s="229"/>
      <c r="M35" s="77">
        <f t="shared" si="60"/>
        <v>0</v>
      </c>
      <c r="N35" s="120"/>
      <c r="O35" s="229">
        <v>3551964</v>
      </c>
      <c r="P35" s="77">
        <f t="shared" si="61"/>
        <v>3551964</v>
      </c>
      <c r="Q35" s="120"/>
      <c r="R35" s="229">
        <v>1236890</v>
      </c>
      <c r="S35" s="77">
        <f t="shared" si="62"/>
        <v>1236890</v>
      </c>
      <c r="T35" s="120"/>
      <c r="U35" s="229">
        <v>734531</v>
      </c>
      <c r="V35" s="77">
        <f t="shared" si="63"/>
        <v>734531</v>
      </c>
      <c r="W35" s="120"/>
      <c r="X35" s="229">
        <v>2176882</v>
      </c>
      <c r="Y35" s="77">
        <f t="shared" si="64"/>
        <v>2176882</v>
      </c>
      <c r="Z35" s="120"/>
      <c r="AA35" s="229"/>
      <c r="AB35" s="77">
        <f t="shared" si="65"/>
        <v>0</v>
      </c>
      <c r="AC35" s="120"/>
      <c r="AD35" s="229">
        <v>1386492</v>
      </c>
      <c r="AE35" s="77">
        <f t="shared" si="66"/>
        <v>1386492</v>
      </c>
      <c r="AF35" s="230">
        <f t="shared" si="67"/>
        <v>0</v>
      </c>
      <c r="AG35" s="231">
        <f t="shared" si="68"/>
        <v>5534795</v>
      </c>
      <c r="AH35" s="232">
        <f t="shared" si="69"/>
        <v>5534795</v>
      </c>
      <c r="AI35" s="120"/>
      <c r="AJ35" s="229"/>
      <c r="AK35" s="77">
        <f t="shared" si="70"/>
        <v>0</v>
      </c>
      <c r="AL35" s="120"/>
      <c r="AM35" s="229"/>
      <c r="AN35" s="77">
        <f t="shared" si="71"/>
        <v>0</v>
      </c>
      <c r="AO35" s="120"/>
      <c r="AP35" s="229">
        <v>1180425</v>
      </c>
      <c r="AQ35" s="77">
        <f t="shared" si="72"/>
        <v>1180425</v>
      </c>
      <c r="AR35" s="120"/>
      <c r="AS35" s="229">
        <v>759947</v>
      </c>
      <c r="AT35" s="77">
        <f t="shared" si="73"/>
        <v>759947</v>
      </c>
      <c r="AU35" s="233">
        <f t="shared" si="74"/>
        <v>0</v>
      </c>
      <c r="AV35" s="234">
        <f t="shared" si="75"/>
        <v>1940372</v>
      </c>
      <c r="AW35" s="235">
        <f t="shared" si="76"/>
        <v>1940372</v>
      </c>
      <c r="AX35" s="236">
        <f aca="true" t="shared" si="88" ref="AX35:AY38">B35+E35+H35+K35+N35+AU35+AF35</f>
        <v>0</v>
      </c>
      <c r="AY35" s="247">
        <f t="shared" si="88"/>
        <v>15314318</v>
      </c>
      <c r="AZ35" s="399">
        <f t="shared" si="78"/>
        <v>15314318</v>
      </c>
      <c r="BA35" s="120">
        <v>0</v>
      </c>
      <c r="BB35" s="79">
        <v>703568</v>
      </c>
      <c r="BC35" s="77">
        <f t="shared" si="79"/>
        <v>703568</v>
      </c>
      <c r="BD35" s="400">
        <f aca="true" t="shared" si="89" ref="BD35:BE38">BA35+AX35</f>
        <v>0</v>
      </c>
      <c r="BE35" s="240">
        <f t="shared" si="89"/>
        <v>16017886</v>
      </c>
      <c r="BF35" s="401">
        <f t="shared" si="81"/>
        <v>16017886</v>
      </c>
      <c r="BG35" s="77">
        <f aca="true" t="shared" si="90" ref="BG35:BI38">BD35</f>
        <v>0</v>
      </c>
      <c r="BH35" s="77">
        <f t="shared" si="90"/>
        <v>16017886</v>
      </c>
      <c r="BI35" s="77">
        <f t="shared" si="90"/>
        <v>16017886</v>
      </c>
      <c r="BJ35" s="242">
        <v>0</v>
      </c>
      <c r="BK35" s="243">
        <f>BJ35+485</f>
        <v>485</v>
      </c>
      <c r="BL35" s="243">
        <f>BK35+485</f>
        <v>970</v>
      </c>
      <c r="BM35" s="244">
        <f t="shared" si="83"/>
        <v>485</v>
      </c>
      <c r="BN35" s="245"/>
      <c r="BO35" s="243">
        <f>BN35</f>
        <v>0</v>
      </c>
      <c r="BP35" s="243">
        <f>BO35</f>
        <v>0</v>
      </c>
      <c r="BQ35" s="244">
        <f>BO35-BN35</f>
        <v>0</v>
      </c>
      <c r="BR35" s="242"/>
      <c r="BS35" s="243">
        <f aca="true" t="shared" si="91" ref="BS35:BT38">BR35</f>
        <v>0</v>
      </c>
      <c r="BT35" s="243">
        <f t="shared" si="91"/>
        <v>0</v>
      </c>
      <c r="BU35" s="244">
        <f>BS35-BR35</f>
        <v>0</v>
      </c>
      <c r="BV35" s="246"/>
      <c r="BW35" s="227">
        <f t="shared" si="85"/>
        <v>485</v>
      </c>
    </row>
    <row r="36" spans="1:75" s="9" customFormat="1" ht="13.5">
      <c r="A36" s="76" t="s">
        <v>123</v>
      </c>
      <c r="B36" s="120"/>
      <c r="C36" s="79"/>
      <c r="D36" s="241">
        <f t="shared" si="57"/>
        <v>0</v>
      </c>
      <c r="E36" s="79"/>
      <c r="F36" s="79"/>
      <c r="G36" s="77">
        <f t="shared" si="58"/>
        <v>0</v>
      </c>
      <c r="H36" s="79"/>
      <c r="I36" s="79"/>
      <c r="J36" s="77">
        <f t="shared" si="59"/>
        <v>0</v>
      </c>
      <c r="K36" s="120"/>
      <c r="L36" s="229">
        <v>59618</v>
      </c>
      <c r="M36" s="77">
        <f t="shared" si="60"/>
        <v>59618</v>
      </c>
      <c r="N36" s="120"/>
      <c r="O36" s="229">
        <v>0</v>
      </c>
      <c r="P36" s="77">
        <f t="shared" si="61"/>
        <v>0</v>
      </c>
      <c r="Q36" s="120"/>
      <c r="R36" s="229"/>
      <c r="S36" s="77">
        <f t="shared" si="62"/>
        <v>0</v>
      </c>
      <c r="T36" s="120"/>
      <c r="U36" s="229">
        <v>0</v>
      </c>
      <c r="V36" s="77">
        <f t="shared" si="63"/>
        <v>0</v>
      </c>
      <c r="W36" s="120"/>
      <c r="X36" s="229"/>
      <c r="Y36" s="77">
        <f t="shared" si="64"/>
        <v>0</v>
      </c>
      <c r="Z36" s="120"/>
      <c r="AA36" s="229">
        <v>0</v>
      </c>
      <c r="AB36" s="77">
        <f t="shared" si="65"/>
        <v>0</v>
      </c>
      <c r="AC36" s="120"/>
      <c r="AD36" s="229">
        <v>0</v>
      </c>
      <c r="AE36" s="77">
        <f t="shared" si="66"/>
        <v>0</v>
      </c>
      <c r="AF36" s="230">
        <f t="shared" si="67"/>
        <v>0</v>
      </c>
      <c r="AG36" s="231">
        <f t="shared" si="68"/>
        <v>0</v>
      </c>
      <c r="AH36" s="232">
        <f t="shared" si="69"/>
        <v>0</v>
      </c>
      <c r="AI36" s="120"/>
      <c r="AJ36" s="229"/>
      <c r="AK36" s="77">
        <f t="shared" si="70"/>
        <v>0</v>
      </c>
      <c r="AL36" s="120"/>
      <c r="AM36" s="229">
        <v>0</v>
      </c>
      <c r="AN36" s="77">
        <f t="shared" si="71"/>
        <v>0</v>
      </c>
      <c r="AO36" s="120"/>
      <c r="AP36" s="229">
        <v>0</v>
      </c>
      <c r="AQ36" s="77">
        <f t="shared" si="72"/>
        <v>0</v>
      </c>
      <c r="AR36" s="120"/>
      <c r="AS36" s="229">
        <v>0</v>
      </c>
      <c r="AT36" s="77">
        <f t="shared" si="73"/>
        <v>0</v>
      </c>
      <c r="AU36" s="233">
        <f t="shared" si="74"/>
        <v>0</v>
      </c>
      <c r="AV36" s="234">
        <f t="shared" si="75"/>
        <v>0</v>
      </c>
      <c r="AW36" s="235">
        <f t="shared" si="76"/>
        <v>0</v>
      </c>
      <c r="AX36" s="236">
        <f t="shared" si="88"/>
        <v>0</v>
      </c>
      <c r="AY36" s="247">
        <f t="shared" si="88"/>
        <v>59618</v>
      </c>
      <c r="AZ36" s="399">
        <f t="shared" si="78"/>
        <v>59618</v>
      </c>
      <c r="BA36" s="120">
        <v>4103300</v>
      </c>
      <c r="BB36" s="79">
        <v>4103300</v>
      </c>
      <c r="BC36" s="77">
        <f t="shared" si="79"/>
        <v>0</v>
      </c>
      <c r="BD36" s="239">
        <f t="shared" si="89"/>
        <v>4103300</v>
      </c>
      <c r="BE36" s="220">
        <f t="shared" si="89"/>
        <v>4162918</v>
      </c>
      <c r="BF36" s="399">
        <f t="shared" si="81"/>
        <v>59618</v>
      </c>
      <c r="BG36" s="77">
        <f t="shared" si="90"/>
        <v>4103300</v>
      </c>
      <c r="BH36" s="77">
        <f t="shared" si="90"/>
        <v>4162918</v>
      </c>
      <c r="BI36" s="77">
        <f t="shared" si="90"/>
        <v>59618</v>
      </c>
      <c r="BJ36" s="242">
        <v>314406</v>
      </c>
      <c r="BK36" s="243">
        <f>BJ36+1001+1579+2997</f>
        <v>319983</v>
      </c>
      <c r="BL36" s="243">
        <f>BK36+1001+1579+2997</f>
        <v>325560</v>
      </c>
      <c r="BM36" s="244">
        <f t="shared" si="83"/>
        <v>5577</v>
      </c>
      <c r="BN36" s="245">
        <v>1800</v>
      </c>
      <c r="BO36" s="243">
        <f>BN36</f>
        <v>1800</v>
      </c>
      <c r="BP36" s="243">
        <f>BO36</f>
        <v>1800</v>
      </c>
      <c r="BQ36" s="244">
        <f>BO36-BN36</f>
        <v>0</v>
      </c>
      <c r="BR36" s="242"/>
      <c r="BS36" s="243">
        <f t="shared" si="91"/>
        <v>0</v>
      </c>
      <c r="BT36" s="243">
        <f t="shared" si="91"/>
        <v>0</v>
      </c>
      <c r="BU36" s="244">
        <f>BS36-BR36</f>
        <v>0</v>
      </c>
      <c r="BV36" s="246"/>
      <c r="BW36" s="227">
        <f t="shared" si="85"/>
        <v>321783</v>
      </c>
    </row>
    <row r="37" spans="1:75" s="9" customFormat="1" ht="13.5">
      <c r="A37" s="76" t="s">
        <v>124</v>
      </c>
      <c r="B37" s="120"/>
      <c r="C37" s="79"/>
      <c r="D37" s="241">
        <f t="shared" si="57"/>
        <v>0</v>
      </c>
      <c r="E37" s="79"/>
      <c r="F37" s="79"/>
      <c r="G37" s="77">
        <f t="shared" si="58"/>
        <v>0</v>
      </c>
      <c r="H37" s="79"/>
      <c r="I37" s="79"/>
      <c r="J37" s="77">
        <f t="shared" si="59"/>
        <v>0</v>
      </c>
      <c r="K37" s="120"/>
      <c r="L37" s="229">
        <v>14520</v>
      </c>
      <c r="M37" s="77">
        <f t="shared" si="60"/>
        <v>14520</v>
      </c>
      <c r="N37" s="120"/>
      <c r="O37" s="229"/>
      <c r="P37" s="77">
        <f t="shared" si="61"/>
        <v>0</v>
      </c>
      <c r="Q37" s="120"/>
      <c r="R37" s="229"/>
      <c r="S37" s="77">
        <f t="shared" si="62"/>
        <v>0</v>
      </c>
      <c r="T37" s="120"/>
      <c r="U37" s="229"/>
      <c r="V37" s="77">
        <f t="shared" si="63"/>
        <v>0</v>
      </c>
      <c r="W37" s="120"/>
      <c r="X37" s="229"/>
      <c r="Y37" s="77">
        <f t="shared" si="64"/>
        <v>0</v>
      </c>
      <c r="Z37" s="120"/>
      <c r="AA37" s="229"/>
      <c r="AB37" s="77">
        <f t="shared" si="65"/>
        <v>0</v>
      </c>
      <c r="AC37" s="120"/>
      <c r="AD37" s="229"/>
      <c r="AE37" s="77">
        <f t="shared" si="66"/>
        <v>0</v>
      </c>
      <c r="AF37" s="230">
        <f t="shared" si="67"/>
        <v>0</v>
      </c>
      <c r="AG37" s="231">
        <f t="shared" si="68"/>
        <v>0</v>
      </c>
      <c r="AH37" s="232">
        <f t="shared" si="69"/>
        <v>0</v>
      </c>
      <c r="AI37" s="120"/>
      <c r="AJ37" s="229"/>
      <c r="AK37" s="77">
        <f t="shared" si="70"/>
        <v>0</v>
      </c>
      <c r="AL37" s="120"/>
      <c r="AM37" s="229"/>
      <c r="AN37" s="77">
        <f t="shared" si="71"/>
        <v>0</v>
      </c>
      <c r="AO37" s="120"/>
      <c r="AP37" s="229"/>
      <c r="AQ37" s="77">
        <f t="shared" si="72"/>
        <v>0</v>
      </c>
      <c r="AR37" s="120"/>
      <c r="AS37" s="229"/>
      <c r="AT37" s="77">
        <f t="shared" si="73"/>
        <v>0</v>
      </c>
      <c r="AU37" s="233">
        <f t="shared" si="74"/>
        <v>0</v>
      </c>
      <c r="AV37" s="234">
        <f t="shared" si="75"/>
        <v>0</v>
      </c>
      <c r="AW37" s="235">
        <f t="shared" si="76"/>
        <v>0</v>
      </c>
      <c r="AX37" s="236">
        <f t="shared" si="88"/>
        <v>0</v>
      </c>
      <c r="AY37" s="247">
        <f t="shared" si="88"/>
        <v>14520</v>
      </c>
      <c r="AZ37" s="399">
        <f t="shared" si="78"/>
        <v>14520</v>
      </c>
      <c r="BA37" s="120">
        <v>53083516</v>
      </c>
      <c r="BB37" s="79">
        <v>55783516</v>
      </c>
      <c r="BC37" s="77">
        <f t="shared" si="79"/>
        <v>2700000</v>
      </c>
      <c r="BD37" s="239">
        <f t="shared" si="89"/>
        <v>53083516</v>
      </c>
      <c r="BE37" s="240">
        <f t="shared" si="89"/>
        <v>55798036</v>
      </c>
      <c r="BF37" s="399">
        <f t="shared" si="81"/>
        <v>2714520</v>
      </c>
      <c r="BG37" s="77">
        <f t="shared" si="90"/>
        <v>53083516</v>
      </c>
      <c r="BH37" s="77">
        <f t="shared" si="90"/>
        <v>55798036</v>
      </c>
      <c r="BI37" s="77">
        <f t="shared" si="90"/>
        <v>2714520</v>
      </c>
      <c r="BJ37" s="242">
        <v>17800</v>
      </c>
      <c r="BK37" s="243">
        <f>BJ37</f>
        <v>17800</v>
      </c>
      <c r="BL37" s="243">
        <f>BK37</f>
        <v>17800</v>
      </c>
      <c r="BM37" s="244">
        <f t="shared" si="83"/>
        <v>0</v>
      </c>
      <c r="BN37" s="245">
        <v>25779</v>
      </c>
      <c r="BO37" s="243">
        <f>BN37-592</f>
        <v>25187</v>
      </c>
      <c r="BP37" s="243">
        <f>BO37-592</f>
        <v>24595</v>
      </c>
      <c r="BQ37" s="244">
        <f>BO37-BN37</f>
        <v>-592</v>
      </c>
      <c r="BR37" s="242"/>
      <c r="BS37" s="243">
        <f t="shared" si="91"/>
        <v>0</v>
      </c>
      <c r="BT37" s="243">
        <f t="shared" si="91"/>
        <v>0</v>
      </c>
      <c r="BU37" s="244">
        <f>BS37-BR37</f>
        <v>0</v>
      </c>
      <c r="BV37" s="246"/>
      <c r="BW37" s="227">
        <f t="shared" si="85"/>
        <v>42987</v>
      </c>
    </row>
    <row r="38" spans="1:75" s="9" customFormat="1" ht="14.25" thickBot="1">
      <c r="A38" s="76" t="s">
        <v>119</v>
      </c>
      <c r="B38" s="129"/>
      <c r="C38" s="130"/>
      <c r="D38" s="376">
        <f t="shared" si="57"/>
        <v>0</v>
      </c>
      <c r="E38" s="130"/>
      <c r="F38" s="130"/>
      <c r="G38" s="20">
        <f t="shared" si="58"/>
        <v>0</v>
      </c>
      <c r="H38" s="130"/>
      <c r="I38" s="130"/>
      <c r="J38" s="20">
        <f t="shared" si="59"/>
        <v>0</v>
      </c>
      <c r="K38" s="129"/>
      <c r="L38" s="362"/>
      <c r="M38" s="20">
        <f t="shared" si="60"/>
        <v>0</v>
      </c>
      <c r="N38" s="129"/>
      <c r="O38" s="362"/>
      <c r="P38" s="20">
        <f t="shared" si="61"/>
        <v>0</v>
      </c>
      <c r="Q38" s="129"/>
      <c r="R38" s="362"/>
      <c r="S38" s="20">
        <f t="shared" si="62"/>
        <v>0</v>
      </c>
      <c r="T38" s="129"/>
      <c r="U38" s="362"/>
      <c r="V38" s="20">
        <f t="shared" si="63"/>
        <v>0</v>
      </c>
      <c r="W38" s="129"/>
      <c r="X38" s="362"/>
      <c r="Y38" s="20">
        <f t="shared" si="64"/>
        <v>0</v>
      </c>
      <c r="Z38" s="129"/>
      <c r="AA38" s="362"/>
      <c r="AB38" s="20">
        <f t="shared" si="65"/>
        <v>0</v>
      </c>
      <c r="AC38" s="129"/>
      <c r="AD38" s="362"/>
      <c r="AE38" s="20">
        <f t="shared" si="66"/>
        <v>0</v>
      </c>
      <c r="AF38" s="363">
        <f t="shared" si="67"/>
        <v>0</v>
      </c>
      <c r="AG38" s="364">
        <f t="shared" si="68"/>
        <v>0</v>
      </c>
      <c r="AH38" s="365">
        <f t="shared" si="69"/>
        <v>0</v>
      </c>
      <c r="AI38" s="129"/>
      <c r="AJ38" s="362"/>
      <c r="AK38" s="20">
        <f t="shared" si="70"/>
        <v>0</v>
      </c>
      <c r="AL38" s="129"/>
      <c r="AM38" s="362"/>
      <c r="AN38" s="20">
        <f t="shared" si="71"/>
        <v>0</v>
      </c>
      <c r="AO38" s="129"/>
      <c r="AP38" s="362"/>
      <c r="AQ38" s="20">
        <f t="shared" si="72"/>
        <v>0</v>
      </c>
      <c r="AR38" s="129"/>
      <c r="AS38" s="362"/>
      <c r="AT38" s="20">
        <f t="shared" si="73"/>
        <v>0</v>
      </c>
      <c r="AU38" s="366">
        <f t="shared" si="74"/>
        <v>0</v>
      </c>
      <c r="AV38" s="367">
        <f t="shared" si="75"/>
        <v>0</v>
      </c>
      <c r="AW38" s="368">
        <f t="shared" si="76"/>
        <v>0</v>
      </c>
      <c r="AX38" s="236">
        <f t="shared" si="88"/>
        <v>0</v>
      </c>
      <c r="AY38" s="370">
        <f t="shared" si="88"/>
        <v>0</v>
      </c>
      <c r="AZ38" s="402">
        <f t="shared" si="78"/>
        <v>0</v>
      </c>
      <c r="BA38" s="129">
        <v>31799714</v>
      </c>
      <c r="BB38" s="80">
        <v>72588157</v>
      </c>
      <c r="BC38" s="20">
        <f t="shared" si="79"/>
        <v>40788443</v>
      </c>
      <c r="BD38" s="374">
        <f t="shared" si="89"/>
        <v>31799714</v>
      </c>
      <c r="BE38" s="375">
        <f t="shared" si="89"/>
        <v>72588157</v>
      </c>
      <c r="BF38" s="402">
        <f t="shared" si="81"/>
        <v>40788443</v>
      </c>
      <c r="BG38" s="20">
        <f t="shared" si="90"/>
        <v>31799714</v>
      </c>
      <c r="BH38" s="20">
        <f t="shared" si="90"/>
        <v>72588157</v>
      </c>
      <c r="BI38" s="20">
        <f t="shared" si="90"/>
        <v>40788443</v>
      </c>
      <c r="BJ38" s="377">
        <v>3500</v>
      </c>
      <c r="BK38" s="378">
        <f>BJ38+17073</f>
        <v>20573</v>
      </c>
      <c r="BL38" s="378">
        <f>BK38+17073</f>
        <v>37646</v>
      </c>
      <c r="BM38" s="379">
        <f t="shared" si="83"/>
        <v>17073</v>
      </c>
      <c r="BN38" s="380">
        <v>31664</v>
      </c>
      <c r="BO38" s="378">
        <f>BN38-520</f>
        <v>31144</v>
      </c>
      <c r="BP38" s="378">
        <f>BO38-520</f>
        <v>30624</v>
      </c>
      <c r="BQ38" s="379">
        <f>BO38-BN38</f>
        <v>-520</v>
      </c>
      <c r="BR38" s="377"/>
      <c r="BS38" s="378">
        <f t="shared" si="91"/>
        <v>0</v>
      </c>
      <c r="BT38" s="378">
        <f t="shared" si="91"/>
        <v>0</v>
      </c>
      <c r="BU38" s="379">
        <f>BS38-BR38</f>
        <v>0</v>
      </c>
      <c r="BV38" s="226"/>
      <c r="BW38" s="227">
        <f t="shared" si="85"/>
        <v>51717</v>
      </c>
    </row>
    <row r="39" spans="1:75" s="9" customFormat="1" ht="14.25" thickBot="1">
      <c r="A39" s="403" t="s">
        <v>110</v>
      </c>
      <c r="B39" s="282">
        <f>B30+B31+B32+B33+B34</f>
        <v>43398470</v>
      </c>
      <c r="C39" s="282">
        <f>C30+C31+C32+C33+C34</f>
        <v>46463256</v>
      </c>
      <c r="D39" s="298">
        <f t="shared" si="57"/>
        <v>3064786</v>
      </c>
      <c r="E39" s="285">
        <f>E30+E31+E32+E33+E34</f>
        <v>176309548</v>
      </c>
      <c r="F39" s="285">
        <f>F30+F31+F32+F33+F34</f>
        <v>204864579</v>
      </c>
      <c r="G39" s="283">
        <f t="shared" si="58"/>
        <v>28555031</v>
      </c>
      <c r="H39" s="285">
        <f>H30+H31+H32+H33+H34</f>
        <v>49450543</v>
      </c>
      <c r="I39" s="285">
        <f>I30+I31+I32+I33+I34</f>
        <v>54903277</v>
      </c>
      <c r="J39" s="283">
        <f t="shared" si="59"/>
        <v>5452734</v>
      </c>
      <c r="K39" s="282">
        <f>K30+K31+K32+K33+K34</f>
        <v>327180037</v>
      </c>
      <c r="L39" s="284">
        <f>L30+L31+L32+L33+L34</f>
        <v>330497690</v>
      </c>
      <c r="M39" s="283">
        <f t="shared" si="60"/>
        <v>3317653</v>
      </c>
      <c r="N39" s="282">
        <f>N30+N31+N32+N33+N34</f>
        <v>232120847</v>
      </c>
      <c r="O39" s="284">
        <f>O30+O31+O32+O33+O34</f>
        <v>251397612</v>
      </c>
      <c r="P39" s="283">
        <f t="shared" si="61"/>
        <v>19276765</v>
      </c>
      <c r="Q39" s="282">
        <f>Q30+Q31+Q32+Q33+Q34</f>
        <v>85486981</v>
      </c>
      <c r="R39" s="284">
        <f>R30+R31+R32+R33+R34</f>
        <v>88306005</v>
      </c>
      <c r="S39" s="283">
        <f t="shared" si="62"/>
        <v>2819024</v>
      </c>
      <c r="T39" s="282">
        <f>T30+T31+T32+T33+T34</f>
        <v>27371589</v>
      </c>
      <c r="U39" s="284">
        <f>U30+U31+U32+U33+U34</f>
        <v>28236566</v>
      </c>
      <c r="V39" s="283">
        <f t="shared" si="63"/>
        <v>864977</v>
      </c>
      <c r="W39" s="282">
        <f>W30+W31+W32+W33+W34</f>
        <v>51936936</v>
      </c>
      <c r="X39" s="284">
        <f>X30+X31+X32+X33+X34</f>
        <v>55441880</v>
      </c>
      <c r="Y39" s="283">
        <f t="shared" si="64"/>
        <v>3504944</v>
      </c>
      <c r="Z39" s="282">
        <f>Z30+Z31+Z32+Z33+Z34</f>
        <v>19334953</v>
      </c>
      <c r="AA39" s="284">
        <f>AA30+AA31+AA32+AA33+AA34</f>
        <v>19484126</v>
      </c>
      <c r="AB39" s="283">
        <f t="shared" si="65"/>
        <v>149173</v>
      </c>
      <c r="AC39" s="282">
        <f>AC30+AC31+AC32+AC33+AC34</f>
        <v>14208750</v>
      </c>
      <c r="AD39" s="284">
        <f>AD30+AD31+AD32+AD33+AD34</f>
        <v>15663684</v>
      </c>
      <c r="AE39" s="283">
        <f t="shared" si="66"/>
        <v>1454934</v>
      </c>
      <c r="AF39" s="286">
        <f t="shared" si="67"/>
        <v>198339209</v>
      </c>
      <c r="AG39" s="287">
        <f t="shared" si="68"/>
        <v>207132261</v>
      </c>
      <c r="AH39" s="288">
        <f t="shared" si="69"/>
        <v>8793052</v>
      </c>
      <c r="AI39" s="282">
        <f>AI30+AI31+AI32+AI33+AI34</f>
        <v>83525714</v>
      </c>
      <c r="AJ39" s="284">
        <f>AJ30+AJ31+AJ32+AJ33+AJ34</f>
        <v>87676057</v>
      </c>
      <c r="AK39" s="283">
        <f t="shared" si="70"/>
        <v>4150343</v>
      </c>
      <c r="AL39" s="282">
        <f>AL30+AL31+AL32+AL33+AL34</f>
        <v>22648244</v>
      </c>
      <c r="AM39" s="284">
        <f>AM30+AM31+AM32+AM33+AM34</f>
        <v>23648159</v>
      </c>
      <c r="AN39" s="283">
        <f t="shared" si="71"/>
        <v>999915</v>
      </c>
      <c r="AO39" s="282">
        <f>AO30+AO31+AO32+AO33+AO34</f>
        <v>0</v>
      </c>
      <c r="AP39" s="284">
        <f>AP30+AP31+AP32+AP33+AP34</f>
        <v>1180425</v>
      </c>
      <c r="AQ39" s="283">
        <f t="shared" si="72"/>
        <v>1180425</v>
      </c>
      <c r="AR39" s="282">
        <f>AR30+AR31+AR32+AR33+AR34</f>
        <v>15012577</v>
      </c>
      <c r="AS39" s="284">
        <f>AS30+AS31+AS32+AS33+AS34</f>
        <v>16072524</v>
      </c>
      <c r="AT39" s="283">
        <f t="shared" si="73"/>
        <v>1059947</v>
      </c>
      <c r="AU39" s="289">
        <f t="shared" si="74"/>
        <v>121186535</v>
      </c>
      <c r="AV39" s="290">
        <f t="shared" si="75"/>
        <v>128577165</v>
      </c>
      <c r="AW39" s="291">
        <f t="shared" si="76"/>
        <v>7390630</v>
      </c>
      <c r="AX39" s="292">
        <f>AX30+AX31+AX32+AX33+AX34</f>
        <v>1147985189</v>
      </c>
      <c r="AY39" s="293">
        <f>AY30+AY31+AY32+AY33+AY34</f>
        <v>1223835840</v>
      </c>
      <c r="AZ39" s="283">
        <f t="shared" si="78"/>
        <v>75850651</v>
      </c>
      <c r="BA39" s="282">
        <f>BA30+BA31+BA32+BA33+BA34</f>
        <v>719583172</v>
      </c>
      <c r="BB39" s="295">
        <f>BB30+BB31+BB32+BB33+BB34</f>
        <v>822204573</v>
      </c>
      <c r="BC39" s="296">
        <f t="shared" si="79"/>
        <v>102621401</v>
      </c>
      <c r="BD39" s="297">
        <f>BD30+BD31+BD32+BD33+BD34</f>
        <v>1867568361</v>
      </c>
      <c r="BE39" s="295">
        <f>BE30+BE31+BE32+BE33+BE34</f>
        <v>2046040413</v>
      </c>
      <c r="BF39" s="296">
        <f t="shared" si="81"/>
        <v>178472052</v>
      </c>
      <c r="BG39" s="283">
        <f aca="true" t="shared" si="92" ref="BG39:BL39">BG30+BG31+BG32+BG33+BG34</f>
        <v>1867568361</v>
      </c>
      <c r="BH39" s="283">
        <f t="shared" si="92"/>
        <v>2046040413</v>
      </c>
      <c r="BI39" s="283">
        <f t="shared" si="92"/>
        <v>178472052</v>
      </c>
      <c r="BJ39" s="299">
        <f t="shared" si="92"/>
        <v>1427309</v>
      </c>
      <c r="BK39" s="300">
        <f t="shared" si="92"/>
        <v>1514937</v>
      </c>
      <c r="BL39" s="300">
        <f t="shared" si="92"/>
        <v>1602565</v>
      </c>
      <c r="BM39" s="301">
        <f t="shared" si="83"/>
        <v>87628</v>
      </c>
      <c r="BN39" s="302">
        <f aca="true" t="shared" si="93" ref="BN39:BU39">BN30+BN31+BN32+BN33+BN34</f>
        <v>188606</v>
      </c>
      <c r="BO39" s="300">
        <f t="shared" si="93"/>
        <v>197974</v>
      </c>
      <c r="BP39" s="300">
        <f t="shared" si="93"/>
        <v>207342</v>
      </c>
      <c r="BQ39" s="301">
        <f t="shared" si="93"/>
        <v>9368</v>
      </c>
      <c r="BR39" s="299">
        <f t="shared" si="93"/>
        <v>89503</v>
      </c>
      <c r="BS39" s="300">
        <f t="shared" si="93"/>
        <v>89503</v>
      </c>
      <c r="BT39" s="300">
        <f t="shared" si="93"/>
        <v>89503</v>
      </c>
      <c r="BU39" s="301">
        <f t="shared" si="93"/>
        <v>0</v>
      </c>
      <c r="BV39" s="303"/>
      <c r="BW39" s="227">
        <f t="shared" si="85"/>
        <v>1802414</v>
      </c>
    </row>
    <row r="40" spans="1:75" s="9" customFormat="1" ht="13.5">
      <c r="A40" s="57" t="s">
        <v>58</v>
      </c>
      <c r="B40" s="121"/>
      <c r="C40" s="62">
        <v>189103</v>
      </c>
      <c r="D40" s="257">
        <f t="shared" si="57"/>
        <v>189103</v>
      </c>
      <c r="E40" s="62">
        <v>2732431</v>
      </c>
      <c r="F40" s="62">
        <v>4732431</v>
      </c>
      <c r="G40" s="19">
        <f t="shared" si="58"/>
        <v>2000000</v>
      </c>
      <c r="H40" s="62"/>
      <c r="I40" s="62">
        <v>520000</v>
      </c>
      <c r="J40" s="19">
        <f t="shared" si="59"/>
        <v>520000</v>
      </c>
      <c r="K40" s="121">
        <v>2000000</v>
      </c>
      <c r="L40" s="249">
        <v>2670610</v>
      </c>
      <c r="M40" s="19">
        <f t="shared" si="60"/>
        <v>670610</v>
      </c>
      <c r="N40" s="121">
        <v>890000</v>
      </c>
      <c r="O40" s="249">
        <v>890000</v>
      </c>
      <c r="P40" s="19">
        <f t="shared" si="61"/>
        <v>0</v>
      </c>
      <c r="Q40" s="121">
        <v>550000</v>
      </c>
      <c r="R40" s="249">
        <v>1864900</v>
      </c>
      <c r="S40" s="19">
        <f t="shared" si="62"/>
        <v>1314900</v>
      </c>
      <c r="T40" s="121">
        <v>150000</v>
      </c>
      <c r="U40" s="249">
        <v>150000</v>
      </c>
      <c r="V40" s="19">
        <f t="shared" si="63"/>
        <v>0</v>
      </c>
      <c r="W40" s="121"/>
      <c r="X40" s="249"/>
      <c r="Y40" s="19">
        <f t="shared" si="64"/>
        <v>0</v>
      </c>
      <c r="Z40" s="121">
        <v>0</v>
      </c>
      <c r="AA40" s="249">
        <v>1779992</v>
      </c>
      <c r="AB40" s="19">
        <f t="shared" si="65"/>
        <v>1779992</v>
      </c>
      <c r="AC40" s="121"/>
      <c r="AD40" s="249"/>
      <c r="AE40" s="19">
        <f t="shared" si="66"/>
        <v>0</v>
      </c>
      <c r="AF40" s="250">
        <f t="shared" si="67"/>
        <v>700000</v>
      </c>
      <c r="AG40" s="251">
        <f t="shared" si="68"/>
        <v>3794892</v>
      </c>
      <c r="AH40" s="252">
        <f t="shared" si="69"/>
        <v>3094892</v>
      </c>
      <c r="AI40" s="121">
        <v>1000000</v>
      </c>
      <c r="AJ40" s="249">
        <v>1000000</v>
      </c>
      <c r="AK40" s="19">
        <f t="shared" si="70"/>
        <v>0</v>
      </c>
      <c r="AL40" s="121">
        <v>200000</v>
      </c>
      <c r="AM40" s="249">
        <v>200000</v>
      </c>
      <c r="AN40" s="19">
        <f t="shared" si="71"/>
        <v>0</v>
      </c>
      <c r="AO40" s="121"/>
      <c r="AP40" s="249"/>
      <c r="AQ40" s="19">
        <f t="shared" si="72"/>
        <v>0</v>
      </c>
      <c r="AR40" s="121"/>
      <c r="AS40" s="249"/>
      <c r="AT40" s="19">
        <f t="shared" si="73"/>
        <v>0</v>
      </c>
      <c r="AU40" s="253">
        <f t="shared" si="74"/>
        <v>1200000</v>
      </c>
      <c r="AV40" s="254">
        <f t="shared" si="75"/>
        <v>1200000</v>
      </c>
      <c r="AW40" s="255">
        <f t="shared" si="76"/>
        <v>0</v>
      </c>
      <c r="AX40" s="236">
        <f>B40+E40+H40+K40+N40+AU40+AF40</f>
        <v>7522431</v>
      </c>
      <c r="AY40" s="247">
        <f>C40+F40+I40+L40+O40+AV40+AG40</f>
        <v>13997036</v>
      </c>
      <c r="AZ40" s="398">
        <f t="shared" si="78"/>
        <v>6474605</v>
      </c>
      <c r="BA40" s="121">
        <v>1277708888</v>
      </c>
      <c r="BB40" s="256">
        <v>1302626387</v>
      </c>
      <c r="BC40" s="19">
        <f t="shared" si="79"/>
        <v>24917499</v>
      </c>
      <c r="BD40" s="239">
        <f aca="true" t="shared" si="94" ref="BD40:BE45">BA40+AX40</f>
        <v>1285231319</v>
      </c>
      <c r="BE40" s="240">
        <f t="shared" si="94"/>
        <v>1316623423</v>
      </c>
      <c r="BF40" s="398">
        <f t="shared" si="81"/>
        <v>31392104</v>
      </c>
      <c r="BG40" s="19">
        <f aca="true" t="shared" si="95" ref="BG40:BI41">BD40</f>
        <v>1285231319</v>
      </c>
      <c r="BH40" s="19">
        <f t="shared" si="95"/>
        <v>1316623423</v>
      </c>
      <c r="BI40" s="19">
        <f t="shared" si="95"/>
        <v>31392104</v>
      </c>
      <c r="BJ40" s="258">
        <v>138500</v>
      </c>
      <c r="BK40" s="259">
        <f>BJ40+618+75+5177+2500+699+430785</f>
        <v>578354</v>
      </c>
      <c r="BL40" s="259">
        <f>BK40+618+75+5177+2500+699+430785</f>
        <v>1018208</v>
      </c>
      <c r="BM40" s="260">
        <f t="shared" si="83"/>
        <v>439854</v>
      </c>
      <c r="BN40" s="261">
        <v>21680</v>
      </c>
      <c r="BO40" s="259">
        <f>BN40</f>
        <v>21680</v>
      </c>
      <c r="BP40" s="259">
        <f>BO40</f>
        <v>21680</v>
      </c>
      <c r="BQ40" s="260">
        <f aca="true" t="shared" si="96" ref="BQ40:BQ45">BO40-BN40</f>
        <v>0</v>
      </c>
      <c r="BR40" s="258"/>
      <c r="BS40" s="259">
        <f aca="true" t="shared" si="97" ref="BS40:BT45">BR40</f>
        <v>0</v>
      </c>
      <c r="BT40" s="259">
        <f t="shared" si="97"/>
        <v>0</v>
      </c>
      <c r="BU40" s="260">
        <f aca="true" t="shared" si="98" ref="BU40:BU45">BS40-BR40</f>
        <v>0</v>
      </c>
      <c r="BV40" s="226"/>
      <c r="BW40" s="227">
        <f t="shared" si="85"/>
        <v>600034</v>
      </c>
    </row>
    <row r="41" spans="1:75" s="9" customFormat="1" ht="13.5">
      <c r="A41" s="75" t="s">
        <v>17</v>
      </c>
      <c r="B41" s="123"/>
      <c r="C41" s="124"/>
      <c r="D41" s="221">
        <f t="shared" si="57"/>
        <v>0</v>
      </c>
      <c r="E41" s="124">
        <v>190500</v>
      </c>
      <c r="F41" s="124">
        <v>2888500</v>
      </c>
      <c r="G41" s="18">
        <f t="shared" si="58"/>
        <v>2698000</v>
      </c>
      <c r="H41" s="124">
        <v>381000</v>
      </c>
      <c r="I41" s="124">
        <v>2301000</v>
      </c>
      <c r="J41" s="18">
        <f t="shared" si="59"/>
        <v>1920000</v>
      </c>
      <c r="K41" s="123"/>
      <c r="L41" s="304"/>
      <c r="M41" s="18">
        <f t="shared" si="60"/>
        <v>0</v>
      </c>
      <c r="N41" s="123">
        <v>1267206</v>
      </c>
      <c r="O41" s="304">
        <v>1267206</v>
      </c>
      <c r="P41" s="18">
        <f t="shared" si="61"/>
        <v>0</v>
      </c>
      <c r="Q41" s="123"/>
      <c r="R41" s="304"/>
      <c r="S41" s="18">
        <f t="shared" si="62"/>
        <v>0</v>
      </c>
      <c r="T41" s="123"/>
      <c r="U41" s="304"/>
      <c r="V41" s="18">
        <f t="shared" si="63"/>
        <v>0</v>
      </c>
      <c r="W41" s="123"/>
      <c r="X41" s="304"/>
      <c r="Y41" s="18">
        <f t="shared" si="64"/>
        <v>0</v>
      </c>
      <c r="Z41" s="123"/>
      <c r="AA41" s="304"/>
      <c r="AB41" s="18">
        <f t="shared" si="65"/>
        <v>0</v>
      </c>
      <c r="AC41" s="123"/>
      <c r="AD41" s="304"/>
      <c r="AE41" s="18">
        <f t="shared" si="66"/>
        <v>0</v>
      </c>
      <c r="AF41" s="208">
        <f t="shared" si="67"/>
        <v>0</v>
      </c>
      <c r="AG41" s="305">
        <f t="shared" si="68"/>
        <v>0</v>
      </c>
      <c r="AH41" s="210">
        <f t="shared" si="69"/>
        <v>0</v>
      </c>
      <c r="AI41" s="123"/>
      <c r="AJ41" s="304"/>
      <c r="AK41" s="18">
        <f t="shared" si="70"/>
        <v>0</v>
      </c>
      <c r="AL41" s="123">
        <v>127000</v>
      </c>
      <c r="AM41" s="304">
        <v>127000</v>
      </c>
      <c r="AN41" s="18">
        <f t="shared" si="71"/>
        <v>0</v>
      </c>
      <c r="AO41" s="123"/>
      <c r="AP41" s="304"/>
      <c r="AQ41" s="18">
        <f t="shared" si="72"/>
        <v>0</v>
      </c>
      <c r="AR41" s="123"/>
      <c r="AS41" s="304"/>
      <c r="AT41" s="18">
        <f t="shared" si="73"/>
        <v>0</v>
      </c>
      <c r="AU41" s="211">
        <f t="shared" si="74"/>
        <v>127000</v>
      </c>
      <c r="AV41" s="306">
        <f t="shared" si="75"/>
        <v>127000</v>
      </c>
      <c r="AW41" s="213">
        <f t="shared" si="76"/>
        <v>0</v>
      </c>
      <c r="AX41" s="236">
        <f>B41+E41+H41+K41+N41+AU41+AF41</f>
        <v>1965706</v>
      </c>
      <c r="AY41" s="215">
        <f>C41+F41+I41+L41+O41+AV41+AG41</f>
        <v>6583706</v>
      </c>
      <c r="AZ41" s="397">
        <f t="shared" si="78"/>
        <v>4618000</v>
      </c>
      <c r="BA41" s="123">
        <v>102455769</v>
      </c>
      <c r="BB41" s="217">
        <v>159502392</v>
      </c>
      <c r="BC41" s="18">
        <f t="shared" si="79"/>
        <v>57046623</v>
      </c>
      <c r="BD41" s="219">
        <f t="shared" si="94"/>
        <v>104421475</v>
      </c>
      <c r="BE41" s="220">
        <f t="shared" si="94"/>
        <v>166086098</v>
      </c>
      <c r="BF41" s="397">
        <f t="shared" si="81"/>
        <v>61664623</v>
      </c>
      <c r="BG41" s="18">
        <f t="shared" si="95"/>
        <v>104421475</v>
      </c>
      <c r="BH41" s="18">
        <f t="shared" si="95"/>
        <v>166086098</v>
      </c>
      <c r="BI41" s="18">
        <f t="shared" si="95"/>
        <v>61664623</v>
      </c>
      <c r="BJ41" s="222">
        <v>69453</v>
      </c>
      <c r="BK41" s="225">
        <f>BJ41+243149</f>
        <v>312602</v>
      </c>
      <c r="BL41" s="225">
        <f>BK41+243149</f>
        <v>555751</v>
      </c>
      <c r="BM41" s="224">
        <f t="shared" si="83"/>
        <v>243149</v>
      </c>
      <c r="BN41" s="223">
        <v>3800</v>
      </c>
      <c r="BO41" s="225">
        <f>BN41-3800</f>
        <v>0</v>
      </c>
      <c r="BP41" s="225">
        <f>BO41-3800</f>
        <v>-3800</v>
      </c>
      <c r="BQ41" s="224">
        <f t="shared" si="96"/>
        <v>-3800</v>
      </c>
      <c r="BR41" s="222"/>
      <c r="BS41" s="225">
        <f t="shared" si="97"/>
        <v>0</v>
      </c>
      <c r="BT41" s="225">
        <f t="shared" si="97"/>
        <v>0</v>
      </c>
      <c r="BU41" s="224">
        <f t="shared" si="98"/>
        <v>0</v>
      </c>
      <c r="BV41" s="226"/>
      <c r="BW41" s="227">
        <f t="shared" si="85"/>
        <v>312602</v>
      </c>
    </row>
    <row r="42" spans="1:75" s="9" customFormat="1" ht="13.5">
      <c r="A42" s="66" t="s">
        <v>87</v>
      </c>
      <c r="B42" s="121">
        <f>SUM(B43:B45)</f>
        <v>0</v>
      </c>
      <c r="C42" s="121">
        <f>SUM(C43:C45)</f>
        <v>0</v>
      </c>
      <c r="D42" s="257">
        <f t="shared" si="57"/>
        <v>0</v>
      </c>
      <c r="E42" s="62">
        <f>SUM(E43:E45)</f>
        <v>0</v>
      </c>
      <c r="F42" s="62">
        <f>SUM(F43:F45)</f>
        <v>0</v>
      </c>
      <c r="G42" s="19">
        <f t="shared" si="58"/>
        <v>0</v>
      </c>
      <c r="H42" s="62">
        <f>SUM(H43:H45)</f>
        <v>0</v>
      </c>
      <c r="I42" s="62">
        <f>SUM(I43:I45)</f>
        <v>0</v>
      </c>
      <c r="J42" s="19">
        <f t="shared" si="59"/>
        <v>0</v>
      </c>
      <c r="K42" s="121">
        <f>SUM(K43:K45)</f>
        <v>0</v>
      </c>
      <c r="L42" s="121">
        <f>SUM(L43:L45)</f>
        <v>0</v>
      </c>
      <c r="M42" s="19">
        <f t="shared" si="60"/>
        <v>0</v>
      </c>
      <c r="N42" s="121">
        <f>SUM(N43:N45)</f>
        <v>0</v>
      </c>
      <c r="O42" s="121">
        <f>SUM(O43:O45)</f>
        <v>0</v>
      </c>
      <c r="P42" s="19">
        <f t="shared" si="61"/>
        <v>0</v>
      </c>
      <c r="Q42" s="121">
        <f>SUM(Q43:Q45)</f>
        <v>0</v>
      </c>
      <c r="R42" s="249">
        <f>Q42</f>
        <v>0</v>
      </c>
      <c r="S42" s="19">
        <f t="shared" si="62"/>
        <v>0</v>
      </c>
      <c r="T42" s="121">
        <f>SUM(T43:T45)</f>
        <v>0</v>
      </c>
      <c r="U42" s="121">
        <f>SUM(U43:U45)</f>
        <v>0</v>
      </c>
      <c r="V42" s="19">
        <f t="shared" si="63"/>
        <v>0</v>
      </c>
      <c r="W42" s="121">
        <f>SUM(W43:W45)</f>
        <v>0</v>
      </c>
      <c r="X42" s="249">
        <f>W42</f>
        <v>0</v>
      </c>
      <c r="Y42" s="19">
        <f t="shared" si="64"/>
        <v>0</v>
      </c>
      <c r="Z42" s="314">
        <f>SUM(Z43:Z45)</f>
        <v>0</v>
      </c>
      <c r="AA42" s="62">
        <f>SUM(AA43:AA45)</f>
        <v>0</v>
      </c>
      <c r="AB42" s="19">
        <f t="shared" si="65"/>
        <v>0</v>
      </c>
      <c r="AC42" s="314">
        <f>SUM(AC43:AC45)</f>
        <v>0</v>
      </c>
      <c r="AD42" s="249">
        <f>SUM(AD43:AD45)</f>
        <v>0</v>
      </c>
      <c r="AE42" s="19">
        <f t="shared" si="66"/>
        <v>0</v>
      </c>
      <c r="AF42" s="250">
        <f t="shared" si="67"/>
        <v>0</v>
      </c>
      <c r="AG42" s="251">
        <f t="shared" si="68"/>
        <v>0</v>
      </c>
      <c r="AH42" s="252">
        <f t="shared" si="69"/>
        <v>0</v>
      </c>
      <c r="AI42" s="314">
        <f>SUM(AI43:AI45)</f>
        <v>0</v>
      </c>
      <c r="AJ42" s="62">
        <f>SUM(AJ43:AJ45)</f>
        <v>0</v>
      </c>
      <c r="AK42" s="19">
        <f t="shared" si="70"/>
        <v>0</v>
      </c>
      <c r="AL42" s="314">
        <f>SUM(AL43:AL45)</f>
        <v>0</v>
      </c>
      <c r="AM42" s="62">
        <f>SUM(AM43:AM45)</f>
        <v>0</v>
      </c>
      <c r="AN42" s="19">
        <f t="shared" si="71"/>
        <v>0</v>
      </c>
      <c r="AO42" s="314">
        <f>SUM(AO43:AO45)</f>
        <v>0</v>
      </c>
      <c r="AP42" s="62">
        <f>SUM(AP43:AP45)</f>
        <v>0</v>
      </c>
      <c r="AQ42" s="19">
        <f t="shared" si="72"/>
        <v>0</v>
      </c>
      <c r="AR42" s="314">
        <f>SUM(AR43:AR45)</f>
        <v>0</v>
      </c>
      <c r="AS42" s="62">
        <f>SUM(AS43:AS45)</f>
        <v>0</v>
      </c>
      <c r="AT42" s="19">
        <f t="shared" si="73"/>
        <v>0</v>
      </c>
      <c r="AU42" s="253">
        <f t="shared" si="74"/>
        <v>0</v>
      </c>
      <c r="AV42" s="254">
        <f t="shared" si="75"/>
        <v>0</v>
      </c>
      <c r="AW42" s="255">
        <f t="shared" si="76"/>
        <v>0</v>
      </c>
      <c r="AX42" s="236">
        <f>B42+E42+H42+K42+N42+Q42+AU42</f>
        <v>0</v>
      </c>
      <c r="AY42" s="247">
        <f>C42+F42+I42+L42+O42+R42+AV42</f>
        <v>0</v>
      </c>
      <c r="AZ42" s="398">
        <f t="shared" si="78"/>
        <v>0</v>
      </c>
      <c r="BA42" s="121">
        <f>SUM(BA43:BA45)</f>
        <v>12434057</v>
      </c>
      <c r="BB42" s="256">
        <f>SUM(BB43:BB45)</f>
        <v>12434057</v>
      </c>
      <c r="BC42" s="19">
        <f t="shared" si="79"/>
        <v>0</v>
      </c>
      <c r="BD42" s="239">
        <f t="shared" si="94"/>
        <v>12434057</v>
      </c>
      <c r="BE42" s="240">
        <f t="shared" si="94"/>
        <v>12434057</v>
      </c>
      <c r="BF42" s="398">
        <f t="shared" si="81"/>
        <v>0</v>
      </c>
      <c r="BG42" s="19">
        <f aca="true" t="shared" si="99" ref="BG42:BL42">SUM(BG43:BG45)</f>
        <v>12434057</v>
      </c>
      <c r="BH42" s="19">
        <f t="shared" si="99"/>
        <v>12434057</v>
      </c>
      <c r="BI42" s="19">
        <f t="shared" si="99"/>
        <v>0</v>
      </c>
      <c r="BJ42" s="258">
        <f t="shared" si="99"/>
        <v>5992</v>
      </c>
      <c r="BK42" s="258">
        <f t="shared" si="99"/>
        <v>16391</v>
      </c>
      <c r="BL42" s="258">
        <f t="shared" si="99"/>
        <v>26790</v>
      </c>
      <c r="BM42" s="260">
        <f t="shared" si="83"/>
        <v>10399</v>
      </c>
      <c r="BN42" s="261">
        <f>SUM(BN43:BN45)</f>
        <v>2988</v>
      </c>
      <c r="BO42" s="259">
        <f>SUM(BO43:BO45)</f>
        <v>4438</v>
      </c>
      <c r="BP42" s="259">
        <f>SUM(BP43:BP45)</f>
        <v>5888</v>
      </c>
      <c r="BQ42" s="260">
        <f t="shared" si="96"/>
        <v>1450</v>
      </c>
      <c r="BR42" s="258">
        <f>SUM(BR43:BR45)</f>
        <v>0</v>
      </c>
      <c r="BS42" s="259">
        <f t="shared" si="97"/>
        <v>0</v>
      </c>
      <c r="BT42" s="259">
        <f t="shared" si="97"/>
        <v>0</v>
      </c>
      <c r="BU42" s="260">
        <f t="shared" si="98"/>
        <v>0</v>
      </c>
      <c r="BV42" s="226"/>
      <c r="BW42" s="227">
        <f t="shared" si="85"/>
        <v>20829</v>
      </c>
    </row>
    <row r="43" spans="1:75" s="9" customFormat="1" ht="13.5">
      <c r="A43" s="76" t="s">
        <v>130</v>
      </c>
      <c r="B43" s="120"/>
      <c r="C43" s="79"/>
      <c r="D43" s="241">
        <f t="shared" si="57"/>
        <v>0</v>
      </c>
      <c r="E43" s="79"/>
      <c r="F43" s="79"/>
      <c r="G43" s="77">
        <f t="shared" si="58"/>
        <v>0</v>
      </c>
      <c r="H43" s="79"/>
      <c r="I43" s="79"/>
      <c r="J43" s="77">
        <f t="shared" si="59"/>
        <v>0</v>
      </c>
      <c r="K43" s="120"/>
      <c r="L43" s="229"/>
      <c r="M43" s="77">
        <f t="shared" si="60"/>
        <v>0</v>
      </c>
      <c r="N43" s="120"/>
      <c r="O43" s="229"/>
      <c r="P43" s="77">
        <f t="shared" si="61"/>
        <v>0</v>
      </c>
      <c r="Q43" s="120"/>
      <c r="R43" s="229"/>
      <c r="S43" s="77">
        <f t="shared" si="62"/>
        <v>0</v>
      </c>
      <c r="T43" s="120"/>
      <c r="U43" s="229"/>
      <c r="V43" s="77">
        <f t="shared" si="63"/>
        <v>0</v>
      </c>
      <c r="W43" s="120"/>
      <c r="X43" s="229"/>
      <c r="Y43" s="77">
        <f t="shared" si="64"/>
        <v>0</v>
      </c>
      <c r="Z43" s="120"/>
      <c r="AA43" s="229"/>
      <c r="AB43" s="77">
        <f t="shared" si="65"/>
        <v>0</v>
      </c>
      <c r="AC43" s="120"/>
      <c r="AD43" s="229"/>
      <c r="AE43" s="77">
        <f t="shared" si="66"/>
        <v>0</v>
      </c>
      <c r="AF43" s="230">
        <f t="shared" si="67"/>
        <v>0</v>
      </c>
      <c r="AG43" s="231">
        <f t="shared" si="68"/>
        <v>0</v>
      </c>
      <c r="AH43" s="232">
        <f t="shared" si="69"/>
        <v>0</v>
      </c>
      <c r="AI43" s="120"/>
      <c r="AJ43" s="229"/>
      <c r="AK43" s="77">
        <f t="shared" si="70"/>
        <v>0</v>
      </c>
      <c r="AL43" s="120"/>
      <c r="AM43" s="229"/>
      <c r="AN43" s="77">
        <f t="shared" si="71"/>
        <v>0</v>
      </c>
      <c r="AO43" s="120"/>
      <c r="AP43" s="229"/>
      <c r="AQ43" s="77">
        <f t="shared" si="72"/>
        <v>0</v>
      </c>
      <c r="AR43" s="120"/>
      <c r="AS43" s="229"/>
      <c r="AT43" s="77">
        <f t="shared" si="73"/>
        <v>0</v>
      </c>
      <c r="AU43" s="233">
        <f t="shared" si="74"/>
        <v>0</v>
      </c>
      <c r="AV43" s="234">
        <f t="shared" si="75"/>
        <v>0</v>
      </c>
      <c r="AW43" s="235">
        <f t="shared" si="76"/>
        <v>0</v>
      </c>
      <c r="AX43" s="236">
        <f aca="true" t="shared" si="100" ref="AX43:AY45">B43+E43+H43+K43+N43+AU43+AF43</f>
        <v>0</v>
      </c>
      <c r="AY43" s="247">
        <f t="shared" si="100"/>
        <v>0</v>
      </c>
      <c r="AZ43" s="399">
        <f t="shared" si="78"/>
        <v>0</v>
      </c>
      <c r="BA43" s="120">
        <v>1165207</v>
      </c>
      <c r="BB43" s="79">
        <v>1165207</v>
      </c>
      <c r="BC43" s="77">
        <f t="shared" si="79"/>
        <v>0</v>
      </c>
      <c r="BD43" s="239">
        <f t="shared" si="94"/>
        <v>1165207</v>
      </c>
      <c r="BE43" s="240">
        <f t="shared" si="94"/>
        <v>1165207</v>
      </c>
      <c r="BF43" s="399">
        <f t="shared" si="81"/>
        <v>0</v>
      </c>
      <c r="BG43" s="77">
        <f aca="true" t="shared" si="101" ref="BG43:BI45">BD43</f>
        <v>1165207</v>
      </c>
      <c r="BH43" s="77">
        <f t="shared" si="101"/>
        <v>1165207</v>
      </c>
      <c r="BI43" s="77">
        <f t="shared" si="101"/>
        <v>0</v>
      </c>
      <c r="BJ43" s="242"/>
      <c r="BK43" s="243">
        <f>BJ43</f>
        <v>0</v>
      </c>
      <c r="BL43" s="243">
        <f>BK43</f>
        <v>0</v>
      </c>
      <c r="BM43" s="244">
        <f t="shared" si="83"/>
        <v>0</v>
      </c>
      <c r="BN43" s="245">
        <v>1358</v>
      </c>
      <c r="BO43" s="243">
        <f>BN43</f>
        <v>1358</v>
      </c>
      <c r="BP43" s="243">
        <f>BO43</f>
        <v>1358</v>
      </c>
      <c r="BQ43" s="244">
        <f t="shared" si="96"/>
        <v>0</v>
      </c>
      <c r="BR43" s="242"/>
      <c r="BS43" s="243">
        <f t="shared" si="97"/>
        <v>0</v>
      </c>
      <c r="BT43" s="243">
        <f t="shared" si="97"/>
        <v>0</v>
      </c>
      <c r="BU43" s="244">
        <f t="shared" si="98"/>
        <v>0</v>
      </c>
      <c r="BV43" s="246"/>
      <c r="BW43" s="227">
        <f t="shared" si="85"/>
        <v>1358</v>
      </c>
    </row>
    <row r="44" spans="1:75" s="9" customFormat="1" ht="13.5">
      <c r="A44" s="76" t="s">
        <v>131</v>
      </c>
      <c r="B44" s="120"/>
      <c r="C44" s="79"/>
      <c r="D44" s="241">
        <f t="shared" si="57"/>
        <v>0</v>
      </c>
      <c r="E44" s="79"/>
      <c r="F44" s="79"/>
      <c r="G44" s="77">
        <f t="shared" si="58"/>
        <v>0</v>
      </c>
      <c r="H44" s="79"/>
      <c r="I44" s="79"/>
      <c r="J44" s="77">
        <f t="shared" si="59"/>
        <v>0</v>
      </c>
      <c r="K44" s="120"/>
      <c r="L44" s="229"/>
      <c r="M44" s="77">
        <f t="shared" si="60"/>
        <v>0</v>
      </c>
      <c r="N44" s="120"/>
      <c r="O44" s="229"/>
      <c r="P44" s="77">
        <f t="shared" si="61"/>
        <v>0</v>
      </c>
      <c r="Q44" s="120"/>
      <c r="R44" s="229"/>
      <c r="S44" s="77">
        <f t="shared" si="62"/>
        <v>0</v>
      </c>
      <c r="T44" s="120"/>
      <c r="U44" s="229"/>
      <c r="V44" s="77">
        <f t="shared" si="63"/>
        <v>0</v>
      </c>
      <c r="W44" s="120"/>
      <c r="X44" s="229"/>
      <c r="Y44" s="77">
        <f t="shared" si="64"/>
        <v>0</v>
      </c>
      <c r="Z44" s="120"/>
      <c r="AA44" s="229"/>
      <c r="AB44" s="77">
        <f t="shared" si="65"/>
        <v>0</v>
      </c>
      <c r="AC44" s="120"/>
      <c r="AD44" s="229"/>
      <c r="AE44" s="77">
        <f t="shared" si="66"/>
        <v>0</v>
      </c>
      <c r="AF44" s="230">
        <f t="shared" si="67"/>
        <v>0</v>
      </c>
      <c r="AG44" s="231">
        <f t="shared" si="68"/>
        <v>0</v>
      </c>
      <c r="AH44" s="232">
        <f t="shared" si="69"/>
        <v>0</v>
      </c>
      <c r="AI44" s="120"/>
      <c r="AJ44" s="229"/>
      <c r="AK44" s="77">
        <f t="shared" si="70"/>
        <v>0</v>
      </c>
      <c r="AL44" s="120"/>
      <c r="AM44" s="229"/>
      <c r="AN44" s="77">
        <f t="shared" si="71"/>
        <v>0</v>
      </c>
      <c r="AO44" s="120"/>
      <c r="AP44" s="229"/>
      <c r="AQ44" s="77">
        <f t="shared" si="72"/>
        <v>0</v>
      </c>
      <c r="AR44" s="120"/>
      <c r="AS44" s="229"/>
      <c r="AT44" s="77">
        <f t="shared" si="73"/>
        <v>0</v>
      </c>
      <c r="AU44" s="233">
        <f t="shared" si="74"/>
        <v>0</v>
      </c>
      <c r="AV44" s="234">
        <f t="shared" si="75"/>
        <v>0</v>
      </c>
      <c r="AW44" s="235">
        <f t="shared" si="76"/>
        <v>0</v>
      </c>
      <c r="AX44" s="236">
        <f t="shared" si="100"/>
        <v>0</v>
      </c>
      <c r="AY44" s="247">
        <f t="shared" si="100"/>
        <v>0</v>
      </c>
      <c r="AZ44" s="399">
        <f t="shared" si="78"/>
        <v>0</v>
      </c>
      <c r="BA44" s="120">
        <v>5802000</v>
      </c>
      <c r="BB44" s="79">
        <v>5802000</v>
      </c>
      <c r="BC44" s="77">
        <f t="shared" si="79"/>
        <v>0</v>
      </c>
      <c r="BD44" s="239">
        <f t="shared" si="94"/>
        <v>5802000</v>
      </c>
      <c r="BE44" s="240">
        <f t="shared" si="94"/>
        <v>5802000</v>
      </c>
      <c r="BF44" s="399">
        <f t="shared" si="81"/>
        <v>0</v>
      </c>
      <c r="BG44" s="77">
        <f t="shared" si="101"/>
        <v>5802000</v>
      </c>
      <c r="BH44" s="77">
        <f t="shared" si="101"/>
        <v>5802000</v>
      </c>
      <c r="BI44" s="77">
        <f t="shared" si="101"/>
        <v>0</v>
      </c>
      <c r="BJ44" s="242">
        <v>5992</v>
      </c>
      <c r="BK44" s="243">
        <f>BJ44</f>
        <v>5992</v>
      </c>
      <c r="BL44" s="243">
        <f>BK44</f>
        <v>5992</v>
      </c>
      <c r="BM44" s="244">
        <f t="shared" si="83"/>
        <v>0</v>
      </c>
      <c r="BN44" s="245"/>
      <c r="BO44" s="243">
        <f>BN44</f>
        <v>0</v>
      </c>
      <c r="BP44" s="243">
        <f>BO44</f>
        <v>0</v>
      </c>
      <c r="BQ44" s="244">
        <f t="shared" si="96"/>
        <v>0</v>
      </c>
      <c r="BR44" s="242"/>
      <c r="BS44" s="243">
        <f t="shared" si="97"/>
        <v>0</v>
      </c>
      <c r="BT44" s="243">
        <f t="shared" si="97"/>
        <v>0</v>
      </c>
      <c r="BU44" s="244">
        <f t="shared" si="98"/>
        <v>0</v>
      </c>
      <c r="BV44" s="246"/>
      <c r="BW44" s="227">
        <f t="shared" si="85"/>
        <v>5992</v>
      </c>
    </row>
    <row r="45" spans="1:75" s="9" customFormat="1" ht="14.25" thickBot="1">
      <c r="A45" s="76" t="s">
        <v>132</v>
      </c>
      <c r="B45" s="131"/>
      <c r="C45" s="80"/>
      <c r="D45" s="404">
        <f t="shared" si="57"/>
        <v>0</v>
      </c>
      <c r="E45" s="80"/>
      <c r="F45" s="80"/>
      <c r="G45" s="78">
        <f t="shared" si="58"/>
        <v>0</v>
      </c>
      <c r="H45" s="80"/>
      <c r="I45" s="80"/>
      <c r="J45" s="78">
        <f t="shared" si="59"/>
        <v>0</v>
      </c>
      <c r="K45" s="131"/>
      <c r="L45" s="405"/>
      <c r="M45" s="78">
        <f t="shared" si="60"/>
        <v>0</v>
      </c>
      <c r="N45" s="131"/>
      <c r="O45" s="405"/>
      <c r="P45" s="78">
        <f t="shared" si="61"/>
        <v>0</v>
      </c>
      <c r="Q45" s="131"/>
      <c r="R45" s="405"/>
      <c r="S45" s="78">
        <f t="shared" si="62"/>
        <v>0</v>
      </c>
      <c r="T45" s="131"/>
      <c r="U45" s="405"/>
      <c r="V45" s="78">
        <f t="shared" si="63"/>
        <v>0</v>
      </c>
      <c r="W45" s="131"/>
      <c r="X45" s="405"/>
      <c r="Y45" s="78">
        <f t="shared" si="64"/>
        <v>0</v>
      </c>
      <c r="Z45" s="131"/>
      <c r="AA45" s="405"/>
      <c r="AB45" s="78">
        <f t="shared" si="65"/>
        <v>0</v>
      </c>
      <c r="AC45" s="131"/>
      <c r="AD45" s="405"/>
      <c r="AE45" s="78">
        <f t="shared" si="66"/>
        <v>0</v>
      </c>
      <c r="AF45" s="406">
        <f t="shared" si="67"/>
        <v>0</v>
      </c>
      <c r="AG45" s="407">
        <f t="shared" si="68"/>
        <v>0</v>
      </c>
      <c r="AH45" s="408">
        <f t="shared" si="69"/>
        <v>0</v>
      </c>
      <c r="AI45" s="131"/>
      <c r="AJ45" s="405"/>
      <c r="AK45" s="78">
        <f t="shared" si="70"/>
        <v>0</v>
      </c>
      <c r="AL45" s="131"/>
      <c r="AM45" s="405"/>
      <c r="AN45" s="78">
        <f t="shared" si="71"/>
        <v>0</v>
      </c>
      <c r="AO45" s="131"/>
      <c r="AP45" s="405"/>
      <c r="AQ45" s="78">
        <f t="shared" si="72"/>
        <v>0</v>
      </c>
      <c r="AR45" s="131"/>
      <c r="AS45" s="405"/>
      <c r="AT45" s="78">
        <f t="shared" si="73"/>
        <v>0</v>
      </c>
      <c r="AU45" s="409">
        <f t="shared" si="74"/>
        <v>0</v>
      </c>
      <c r="AV45" s="410">
        <f t="shared" si="75"/>
        <v>0</v>
      </c>
      <c r="AW45" s="411">
        <f t="shared" si="76"/>
        <v>0</v>
      </c>
      <c r="AX45" s="236">
        <f t="shared" si="100"/>
        <v>0</v>
      </c>
      <c r="AY45" s="370">
        <f t="shared" si="100"/>
        <v>0</v>
      </c>
      <c r="AZ45" s="412">
        <f t="shared" si="78"/>
        <v>0</v>
      </c>
      <c r="BA45" s="131">
        <v>5466850</v>
      </c>
      <c r="BB45" s="80">
        <v>5466850</v>
      </c>
      <c r="BC45" s="78">
        <f t="shared" si="79"/>
        <v>0</v>
      </c>
      <c r="BD45" s="374">
        <f t="shared" si="94"/>
        <v>5466850</v>
      </c>
      <c r="BE45" s="375">
        <f t="shared" si="94"/>
        <v>5466850</v>
      </c>
      <c r="BF45" s="412">
        <f t="shared" si="81"/>
        <v>0</v>
      </c>
      <c r="BG45" s="78">
        <f t="shared" si="101"/>
        <v>5466850</v>
      </c>
      <c r="BH45" s="78">
        <f t="shared" si="101"/>
        <v>5466850</v>
      </c>
      <c r="BI45" s="78">
        <f t="shared" si="101"/>
        <v>0</v>
      </c>
      <c r="BJ45" s="413"/>
      <c r="BK45" s="414">
        <f>BJ45+10649-250</f>
        <v>10399</v>
      </c>
      <c r="BL45" s="414">
        <f>BK45+10649-250</f>
        <v>20798</v>
      </c>
      <c r="BM45" s="415">
        <f t="shared" si="83"/>
        <v>10399</v>
      </c>
      <c r="BN45" s="416">
        <v>1630</v>
      </c>
      <c r="BO45" s="414">
        <f>BN45+1200+250</f>
        <v>3080</v>
      </c>
      <c r="BP45" s="414">
        <f>BO45+1200+250</f>
        <v>4530</v>
      </c>
      <c r="BQ45" s="415">
        <f t="shared" si="96"/>
        <v>1450</v>
      </c>
      <c r="BR45" s="413"/>
      <c r="BS45" s="414">
        <f t="shared" si="97"/>
        <v>0</v>
      </c>
      <c r="BT45" s="414">
        <f t="shared" si="97"/>
        <v>0</v>
      </c>
      <c r="BU45" s="415">
        <f t="shared" si="98"/>
        <v>0</v>
      </c>
      <c r="BV45" s="246"/>
      <c r="BW45" s="227">
        <f t="shared" si="85"/>
        <v>13479</v>
      </c>
    </row>
    <row r="46" spans="1:75" s="9" customFormat="1" ht="14.25" thickBot="1">
      <c r="A46" s="403" t="s">
        <v>111</v>
      </c>
      <c r="B46" s="282">
        <f>B40+B41+B42</f>
        <v>0</v>
      </c>
      <c r="C46" s="282">
        <f>C40+C41+C42</f>
        <v>189103</v>
      </c>
      <c r="D46" s="298">
        <f t="shared" si="57"/>
        <v>189103</v>
      </c>
      <c r="E46" s="285">
        <f>E40+E41+E42</f>
        <v>2922931</v>
      </c>
      <c r="F46" s="285">
        <f>F40+F41+F42</f>
        <v>7620931</v>
      </c>
      <c r="G46" s="283">
        <f t="shared" si="58"/>
        <v>4698000</v>
      </c>
      <c r="H46" s="285">
        <f>H40+H41+H42</f>
        <v>381000</v>
      </c>
      <c r="I46" s="285">
        <f>I40+I41+I42</f>
        <v>2821000</v>
      </c>
      <c r="J46" s="283">
        <f t="shared" si="59"/>
        <v>2440000</v>
      </c>
      <c r="K46" s="282">
        <f>K40+K41+K42</f>
        <v>2000000</v>
      </c>
      <c r="L46" s="284">
        <f>L40+L41+L42</f>
        <v>2670610</v>
      </c>
      <c r="M46" s="283">
        <f t="shared" si="60"/>
        <v>670610</v>
      </c>
      <c r="N46" s="282">
        <f>N40+N41+N42</f>
        <v>2157206</v>
      </c>
      <c r="O46" s="284">
        <f>O40+O41+O42</f>
        <v>2157206</v>
      </c>
      <c r="P46" s="283">
        <f t="shared" si="61"/>
        <v>0</v>
      </c>
      <c r="Q46" s="282">
        <f>Q40+Q41+Q42</f>
        <v>550000</v>
      </c>
      <c r="R46" s="284">
        <f>R40+R41+R42</f>
        <v>1864900</v>
      </c>
      <c r="S46" s="283">
        <f t="shared" si="62"/>
        <v>1314900</v>
      </c>
      <c r="T46" s="282">
        <f>T40+T41+T42</f>
        <v>150000</v>
      </c>
      <c r="U46" s="284">
        <f>U40+U41+U42</f>
        <v>150000</v>
      </c>
      <c r="V46" s="283">
        <f t="shared" si="63"/>
        <v>0</v>
      </c>
      <c r="W46" s="282">
        <f>W40+W41+W42</f>
        <v>0</v>
      </c>
      <c r="X46" s="284">
        <f>X40+X41+X42</f>
        <v>0</v>
      </c>
      <c r="Y46" s="283">
        <f t="shared" si="64"/>
        <v>0</v>
      </c>
      <c r="Z46" s="282">
        <f>Z40+Z41+Z42</f>
        <v>0</v>
      </c>
      <c r="AA46" s="284">
        <f>AA40+AA41+AA42</f>
        <v>1779992</v>
      </c>
      <c r="AB46" s="283">
        <f t="shared" si="65"/>
        <v>1779992</v>
      </c>
      <c r="AC46" s="282">
        <f>AC40+AC41+AC42</f>
        <v>0</v>
      </c>
      <c r="AD46" s="284">
        <f>AD40+AD41+AD42</f>
        <v>0</v>
      </c>
      <c r="AE46" s="283">
        <f t="shared" si="66"/>
        <v>0</v>
      </c>
      <c r="AF46" s="286">
        <f t="shared" si="67"/>
        <v>700000</v>
      </c>
      <c r="AG46" s="287">
        <f t="shared" si="68"/>
        <v>3794892</v>
      </c>
      <c r="AH46" s="288">
        <f t="shared" si="69"/>
        <v>3094892</v>
      </c>
      <c r="AI46" s="282">
        <f>AI40+AI41+AI42</f>
        <v>1000000</v>
      </c>
      <c r="AJ46" s="284">
        <f>AJ40+AJ41+AJ42</f>
        <v>1000000</v>
      </c>
      <c r="AK46" s="283">
        <f t="shared" si="70"/>
        <v>0</v>
      </c>
      <c r="AL46" s="282">
        <f>AL40+AL41+AL42</f>
        <v>327000</v>
      </c>
      <c r="AM46" s="284">
        <f>AM40+AM41+AM42</f>
        <v>327000</v>
      </c>
      <c r="AN46" s="283">
        <f t="shared" si="71"/>
        <v>0</v>
      </c>
      <c r="AO46" s="282">
        <f>AO40+AO41+AO42</f>
        <v>0</v>
      </c>
      <c r="AP46" s="284">
        <f>AP40+AP41+AP42</f>
        <v>0</v>
      </c>
      <c r="AQ46" s="283">
        <f t="shared" si="72"/>
        <v>0</v>
      </c>
      <c r="AR46" s="282">
        <f>AR40+AR41+AR42</f>
        <v>0</v>
      </c>
      <c r="AS46" s="284">
        <f>AS40+AS41+AS42</f>
        <v>0</v>
      </c>
      <c r="AT46" s="283">
        <f t="shared" si="73"/>
        <v>0</v>
      </c>
      <c r="AU46" s="289">
        <f t="shared" si="74"/>
        <v>1327000</v>
      </c>
      <c r="AV46" s="290">
        <f t="shared" si="75"/>
        <v>1327000</v>
      </c>
      <c r="AW46" s="291">
        <f t="shared" si="76"/>
        <v>0</v>
      </c>
      <c r="AX46" s="292">
        <f>AX40+AX41+AX42</f>
        <v>9488137</v>
      </c>
      <c r="AY46" s="293">
        <f>AY40+AY41+AY42</f>
        <v>20580742</v>
      </c>
      <c r="AZ46" s="283">
        <f t="shared" si="78"/>
        <v>11092605</v>
      </c>
      <c r="BA46" s="282">
        <f>BA40+BA41+BA42</f>
        <v>1392598714</v>
      </c>
      <c r="BB46" s="295">
        <f>BB40+BB41+BB42</f>
        <v>1474562836</v>
      </c>
      <c r="BC46" s="296">
        <f t="shared" si="79"/>
        <v>81964122</v>
      </c>
      <c r="BD46" s="297">
        <f>BD40+BD41+BD42</f>
        <v>1402086851</v>
      </c>
      <c r="BE46" s="295">
        <f>BE40+BE41+BE42</f>
        <v>1495143578</v>
      </c>
      <c r="BF46" s="296">
        <f t="shared" si="81"/>
        <v>93056727</v>
      </c>
      <c r="BG46" s="283">
        <f aca="true" t="shared" si="102" ref="BG46:BL46">BG40+BG41+BG42</f>
        <v>1402086851</v>
      </c>
      <c r="BH46" s="283">
        <f t="shared" si="102"/>
        <v>1495143578</v>
      </c>
      <c r="BI46" s="283">
        <f t="shared" si="102"/>
        <v>93056727</v>
      </c>
      <c r="BJ46" s="299">
        <f t="shared" si="102"/>
        <v>213945</v>
      </c>
      <c r="BK46" s="300">
        <f t="shared" si="102"/>
        <v>907347</v>
      </c>
      <c r="BL46" s="300">
        <f t="shared" si="102"/>
        <v>1600749</v>
      </c>
      <c r="BM46" s="301">
        <f t="shared" si="83"/>
        <v>693402</v>
      </c>
      <c r="BN46" s="302">
        <f aca="true" t="shared" si="103" ref="BN46:BU46">BN40+BN41+BN42</f>
        <v>28468</v>
      </c>
      <c r="BO46" s="300">
        <f t="shared" si="103"/>
        <v>26118</v>
      </c>
      <c r="BP46" s="300">
        <f t="shared" si="103"/>
        <v>23768</v>
      </c>
      <c r="BQ46" s="301">
        <f t="shared" si="103"/>
        <v>-2350</v>
      </c>
      <c r="BR46" s="299">
        <f t="shared" si="103"/>
        <v>0</v>
      </c>
      <c r="BS46" s="300">
        <f t="shared" si="103"/>
        <v>0</v>
      </c>
      <c r="BT46" s="300">
        <f t="shared" si="103"/>
        <v>0</v>
      </c>
      <c r="BU46" s="301">
        <f t="shared" si="103"/>
        <v>0</v>
      </c>
      <c r="BV46" s="303"/>
      <c r="BW46" s="227">
        <f t="shared" si="85"/>
        <v>933465</v>
      </c>
    </row>
    <row r="47" spans="1:75" s="11" customFormat="1" ht="15.75" customHeight="1" thickBot="1">
      <c r="A47" s="417" t="s">
        <v>112</v>
      </c>
      <c r="B47" s="331">
        <f>B46+B39</f>
        <v>43398470</v>
      </c>
      <c r="C47" s="331">
        <f>C46+C39</f>
        <v>46652359</v>
      </c>
      <c r="D47" s="336">
        <f t="shared" si="57"/>
        <v>3253889</v>
      </c>
      <c r="E47" s="330">
        <f>E46+E39</f>
        <v>179232479</v>
      </c>
      <c r="F47" s="330">
        <f>F46+F39</f>
        <v>212485510</v>
      </c>
      <c r="G47" s="418">
        <f t="shared" si="58"/>
        <v>33253031</v>
      </c>
      <c r="H47" s="330">
        <f>H46+H39</f>
        <v>49831543</v>
      </c>
      <c r="I47" s="330">
        <f>I46+I39</f>
        <v>57724277</v>
      </c>
      <c r="J47" s="418">
        <f t="shared" si="59"/>
        <v>7892734</v>
      </c>
      <c r="K47" s="331">
        <f>K46+K39</f>
        <v>329180037</v>
      </c>
      <c r="L47" s="329">
        <f>L46+L39</f>
        <v>333168300</v>
      </c>
      <c r="M47" s="418">
        <f t="shared" si="60"/>
        <v>3988263</v>
      </c>
      <c r="N47" s="331">
        <f>N46+N39</f>
        <v>234278053</v>
      </c>
      <c r="O47" s="329">
        <f>O46+O39</f>
        <v>253554818</v>
      </c>
      <c r="P47" s="418">
        <f t="shared" si="61"/>
        <v>19276765</v>
      </c>
      <c r="Q47" s="331">
        <f>Q46+Q39</f>
        <v>86036981</v>
      </c>
      <c r="R47" s="329">
        <f>R46+R39</f>
        <v>90170905</v>
      </c>
      <c r="S47" s="418">
        <f t="shared" si="62"/>
        <v>4133924</v>
      </c>
      <c r="T47" s="331">
        <f>T46+T39</f>
        <v>27521589</v>
      </c>
      <c r="U47" s="329">
        <f>U46+U39</f>
        <v>28386566</v>
      </c>
      <c r="V47" s="418">
        <f t="shared" si="63"/>
        <v>864977</v>
      </c>
      <c r="W47" s="331">
        <f>W46+W39</f>
        <v>51936936</v>
      </c>
      <c r="X47" s="329">
        <f>X46+X39</f>
        <v>55441880</v>
      </c>
      <c r="Y47" s="418">
        <f t="shared" si="64"/>
        <v>3504944</v>
      </c>
      <c r="Z47" s="331">
        <f>Z46+Z39</f>
        <v>19334953</v>
      </c>
      <c r="AA47" s="329">
        <f>AA46+AA39</f>
        <v>21264118</v>
      </c>
      <c r="AB47" s="418">
        <f t="shared" si="65"/>
        <v>1929165</v>
      </c>
      <c r="AC47" s="331">
        <f>AC46+AC39</f>
        <v>14208750</v>
      </c>
      <c r="AD47" s="329">
        <f>AD46+AD39</f>
        <v>15663684</v>
      </c>
      <c r="AE47" s="418">
        <f t="shared" si="66"/>
        <v>1454934</v>
      </c>
      <c r="AF47" s="332">
        <f t="shared" si="67"/>
        <v>199039209</v>
      </c>
      <c r="AG47" s="419">
        <f t="shared" si="68"/>
        <v>210927153</v>
      </c>
      <c r="AH47" s="420">
        <f t="shared" si="69"/>
        <v>11887944</v>
      </c>
      <c r="AI47" s="331">
        <f>AI46+AI39</f>
        <v>84525714</v>
      </c>
      <c r="AJ47" s="329">
        <f>AJ46+AJ39</f>
        <v>88676057</v>
      </c>
      <c r="AK47" s="418">
        <f t="shared" si="70"/>
        <v>4150343</v>
      </c>
      <c r="AL47" s="331">
        <f>AL46+AL39</f>
        <v>22975244</v>
      </c>
      <c r="AM47" s="329">
        <f>AM46+AM39</f>
        <v>23975159</v>
      </c>
      <c r="AN47" s="418">
        <f t="shared" si="71"/>
        <v>999915</v>
      </c>
      <c r="AO47" s="331">
        <f>AO46+AO39</f>
        <v>0</v>
      </c>
      <c r="AP47" s="329">
        <f>AP46+AP39</f>
        <v>1180425</v>
      </c>
      <c r="AQ47" s="418">
        <f t="shared" si="72"/>
        <v>1180425</v>
      </c>
      <c r="AR47" s="331">
        <f>AR46+AR39</f>
        <v>15012577</v>
      </c>
      <c r="AS47" s="329">
        <f>AS46+AS39</f>
        <v>16072524</v>
      </c>
      <c r="AT47" s="418">
        <f t="shared" si="73"/>
        <v>1059947</v>
      </c>
      <c r="AU47" s="333">
        <f t="shared" si="74"/>
        <v>122513535</v>
      </c>
      <c r="AV47" s="421">
        <f t="shared" si="75"/>
        <v>129904165</v>
      </c>
      <c r="AW47" s="422">
        <f t="shared" si="76"/>
        <v>7390630</v>
      </c>
      <c r="AX47" s="334">
        <f>AX46+AX39</f>
        <v>1157473326</v>
      </c>
      <c r="AY47" s="423">
        <f>AY46+AY39</f>
        <v>1244416582</v>
      </c>
      <c r="AZ47" s="418">
        <f t="shared" si="78"/>
        <v>86943256</v>
      </c>
      <c r="BA47" s="331">
        <f>BA46+BA39</f>
        <v>2112181886</v>
      </c>
      <c r="BB47" s="424">
        <f>BB46+BB39</f>
        <v>2296767409</v>
      </c>
      <c r="BC47" s="425">
        <f t="shared" si="79"/>
        <v>184585523</v>
      </c>
      <c r="BD47" s="335">
        <f>BD46+BD39</f>
        <v>3269655212</v>
      </c>
      <c r="BE47" s="424">
        <f>BE46+BE39</f>
        <v>3541183991</v>
      </c>
      <c r="BF47" s="425">
        <f t="shared" si="81"/>
        <v>271528779</v>
      </c>
      <c r="BG47" s="418">
        <f aca="true" t="shared" si="104" ref="BG47:BL47">BG46+BG39</f>
        <v>3269655212</v>
      </c>
      <c r="BH47" s="418">
        <f t="shared" si="104"/>
        <v>3541183991</v>
      </c>
      <c r="BI47" s="418">
        <f t="shared" si="104"/>
        <v>271528779</v>
      </c>
      <c r="BJ47" s="337">
        <f t="shared" si="104"/>
        <v>1641254</v>
      </c>
      <c r="BK47" s="426">
        <f t="shared" si="104"/>
        <v>2422284</v>
      </c>
      <c r="BL47" s="426">
        <f t="shared" si="104"/>
        <v>3203314</v>
      </c>
      <c r="BM47" s="427">
        <f t="shared" si="83"/>
        <v>781030</v>
      </c>
      <c r="BN47" s="338">
        <f aca="true" t="shared" si="105" ref="BN47:BU47">BN46+BN39</f>
        <v>217074</v>
      </c>
      <c r="BO47" s="426">
        <f t="shared" si="105"/>
        <v>224092</v>
      </c>
      <c r="BP47" s="426">
        <f t="shared" si="105"/>
        <v>231110</v>
      </c>
      <c r="BQ47" s="427">
        <f t="shared" si="105"/>
        <v>7018</v>
      </c>
      <c r="BR47" s="337">
        <f t="shared" si="105"/>
        <v>89503</v>
      </c>
      <c r="BS47" s="426">
        <f t="shared" si="105"/>
        <v>89503</v>
      </c>
      <c r="BT47" s="426">
        <f t="shared" si="105"/>
        <v>89503</v>
      </c>
      <c r="BU47" s="427">
        <f t="shared" si="105"/>
        <v>0</v>
      </c>
      <c r="BV47" s="303"/>
      <c r="BW47" s="227">
        <f t="shared" si="85"/>
        <v>2735879</v>
      </c>
    </row>
    <row r="48" spans="1:76" s="9" customFormat="1" ht="15.75" customHeight="1" thickBot="1">
      <c r="A48" s="428" t="s">
        <v>113</v>
      </c>
      <c r="B48" s="297">
        <v>0</v>
      </c>
      <c r="C48" s="297">
        <v>0</v>
      </c>
      <c r="D48" s="429">
        <f t="shared" si="57"/>
        <v>0</v>
      </c>
      <c r="E48" s="295">
        <v>0</v>
      </c>
      <c r="F48" s="295">
        <v>0</v>
      </c>
      <c r="G48" s="296">
        <f t="shared" si="58"/>
        <v>0</v>
      </c>
      <c r="H48" s="295">
        <v>0</v>
      </c>
      <c r="I48" s="295">
        <v>0</v>
      </c>
      <c r="J48" s="296">
        <f t="shared" si="59"/>
        <v>0</v>
      </c>
      <c r="K48" s="297">
        <v>0</v>
      </c>
      <c r="L48" s="430">
        <v>0</v>
      </c>
      <c r="M48" s="296">
        <f t="shared" si="60"/>
        <v>0</v>
      </c>
      <c r="N48" s="297">
        <v>0</v>
      </c>
      <c r="O48" s="430">
        <v>0</v>
      </c>
      <c r="P48" s="296">
        <f t="shared" si="61"/>
        <v>0</v>
      </c>
      <c r="Q48" s="297">
        <v>0</v>
      </c>
      <c r="R48" s="430">
        <v>0</v>
      </c>
      <c r="S48" s="296">
        <f t="shared" si="62"/>
        <v>0</v>
      </c>
      <c r="T48" s="297">
        <v>0</v>
      </c>
      <c r="U48" s="430">
        <v>0</v>
      </c>
      <c r="V48" s="296">
        <f t="shared" si="63"/>
        <v>0</v>
      </c>
      <c r="W48" s="297">
        <v>0</v>
      </c>
      <c r="X48" s="430">
        <v>0</v>
      </c>
      <c r="Y48" s="296">
        <f t="shared" si="64"/>
        <v>0</v>
      </c>
      <c r="Z48" s="297">
        <v>0</v>
      </c>
      <c r="AA48" s="430">
        <v>0</v>
      </c>
      <c r="AB48" s="296">
        <f t="shared" si="65"/>
        <v>0</v>
      </c>
      <c r="AC48" s="297">
        <v>0</v>
      </c>
      <c r="AD48" s="430">
        <v>0</v>
      </c>
      <c r="AE48" s="296">
        <f t="shared" si="66"/>
        <v>0</v>
      </c>
      <c r="AF48" s="431">
        <f t="shared" si="67"/>
        <v>0</v>
      </c>
      <c r="AG48" s="432">
        <f t="shared" si="68"/>
        <v>0</v>
      </c>
      <c r="AH48" s="433">
        <f t="shared" si="69"/>
        <v>0</v>
      </c>
      <c r="AI48" s="297">
        <v>0</v>
      </c>
      <c r="AJ48" s="430">
        <v>0</v>
      </c>
      <c r="AK48" s="296">
        <f t="shared" si="70"/>
        <v>0</v>
      </c>
      <c r="AL48" s="297">
        <v>0</v>
      </c>
      <c r="AM48" s="430">
        <v>0</v>
      </c>
      <c r="AN48" s="296">
        <f t="shared" si="71"/>
        <v>0</v>
      </c>
      <c r="AO48" s="297">
        <v>0</v>
      </c>
      <c r="AP48" s="430">
        <v>0</v>
      </c>
      <c r="AQ48" s="296">
        <f t="shared" si="72"/>
        <v>0</v>
      </c>
      <c r="AR48" s="297">
        <v>0</v>
      </c>
      <c r="AS48" s="430">
        <v>0</v>
      </c>
      <c r="AT48" s="296">
        <f t="shared" si="73"/>
        <v>0</v>
      </c>
      <c r="AU48" s="434">
        <f t="shared" si="74"/>
        <v>0</v>
      </c>
      <c r="AV48" s="435">
        <f t="shared" si="75"/>
        <v>0</v>
      </c>
      <c r="AW48" s="436">
        <f t="shared" si="76"/>
        <v>0</v>
      </c>
      <c r="AX48" s="292">
        <f>B48+E48+H48+K48+N48+AU48+AF48</f>
        <v>0</v>
      </c>
      <c r="AY48" s="293">
        <f>C48+F48+I48+L48+O48+AV48+AG48</f>
        <v>0</v>
      </c>
      <c r="AZ48" s="296">
        <f t="shared" si="78"/>
        <v>0</v>
      </c>
      <c r="BA48" s="297">
        <f>28549927+AX24</f>
        <v>955522077</v>
      </c>
      <c r="BB48" s="295">
        <f>28549927+AY24</f>
        <v>965141535</v>
      </c>
      <c r="BC48" s="296">
        <f t="shared" si="79"/>
        <v>9619458</v>
      </c>
      <c r="BD48" s="297">
        <f>BA48+AX48</f>
        <v>955522077</v>
      </c>
      <c r="BE48" s="295">
        <f>BB48+AY48</f>
        <v>965141535</v>
      </c>
      <c r="BF48" s="296">
        <f t="shared" si="81"/>
        <v>9619458</v>
      </c>
      <c r="BG48" s="296">
        <f>BD48-AX24</f>
        <v>28549927</v>
      </c>
      <c r="BH48" s="296">
        <f>BE48-AY24</f>
        <v>28549927</v>
      </c>
      <c r="BI48" s="296">
        <f>BF48-AZ24</f>
        <v>0</v>
      </c>
      <c r="BJ48" s="437">
        <v>29068</v>
      </c>
      <c r="BK48" s="438">
        <f>BJ48</f>
        <v>29068</v>
      </c>
      <c r="BL48" s="438">
        <f>BK48</f>
        <v>29068</v>
      </c>
      <c r="BM48" s="439">
        <f t="shared" si="83"/>
        <v>0</v>
      </c>
      <c r="BN48" s="440"/>
      <c r="BO48" s="438">
        <f>BN48</f>
        <v>0</v>
      </c>
      <c r="BP48" s="438">
        <f>BO48</f>
        <v>0</v>
      </c>
      <c r="BQ48" s="439">
        <f>BO48-BN48</f>
        <v>0</v>
      </c>
      <c r="BR48" s="437"/>
      <c r="BS48" s="438">
        <f>BR48</f>
        <v>0</v>
      </c>
      <c r="BT48" s="438">
        <f>BS48</f>
        <v>0</v>
      </c>
      <c r="BU48" s="439">
        <f>BS48-BR48</f>
        <v>0</v>
      </c>
      <c r="BV48" s="441"/>
      <c r="BW48" s="227">
        <f t="shared" si="85"/>
        <v>29068</v>
      </c>
      <c r="BX48" s="24"/>
    </row>
    <row r="49" spans="1:75" s="11" customFormat="1" ht="15.75" customHeight="1" thickBot="1">
      <c r="A49" s="442" t="s">
        <v>29</v>
      </c>
      <c r="B49" s="384">
        <f>B48+B47</f>
        <v>43398470</v>
      </c>
      <c r="C49" s="384">
        <f>C48+C47</f>
        <v>46652359</v>
      </c>
      <c r="D49" s="389">
        <f t="shared" si="57"/>
        <v>3253889</v>
      </c>
      <c r="E49" s="383">
        <f>E48+E47</f>
        <v>179232479</v>
      </c>
      <c r="F49" s="383">
        <f>F48+F47</f>
        <v>212485510</v>
      </c>
      <c r="G49" s="443">
        <f t="shared" si="58"/>
        <v>33253031</v>
      </c>
      <c r="H49" s="383">
        <f>H48+H47</f>
        <v>49831543</v>
      </c>
      <c r="I49" s="383">
        <f>I48+I47</f>
        <v>57724277</v>
      </c>
      <c r="J49" s="443">
        <f t="shared" si="59"/>
        <v>7892734</v>
      </c>
      <c r="K49" s="384">
        <f>K48+K47</f>
        <v>329180037</v>
      </c>
      <c r="L49" s="382">
        <f>L48+L47</f>
        <v>333168300</v>
      </c>
      <c r="M49" s="443">
        <f t="shared" si="60"/>
        <v>3988263</v>
      </c>
      <c r="N49" s="384">
        <f>N48+N47</f>
        <v>234278053</v>
      </c>
      <c r="O49" s="382">
        <f>O48+O47</f>
        <v>253554818</v>
      </c>
      <c r="P49" s="443">
        <f t="shared" si="61"/>
        <v>19276765</v>
      </c>
      <c r="Q49" s="384">
        <f>Q48+Q47</f>
        <v>86036981</v>
      </c>
      <c r="R49" s="382">
        <f>R48+R47</f>
        <v>90170905</v>
      </c>
      <c r="S49" s="443">
        <f t="shared" si="62"/>
        <v>4133924</v>
      </c>
      <c r="T49" s="384">
        <f>T48+T47</f>
        <v>27521589</v>
      </c>
      <c r="U49" s="382">
        <f>U48+U47</f>
        <v>28386566</v>
      </c>
      <c r="V49" s="443">
        <f t="shared" si="63"/>
        <v>864977</v>
      </c>
      <c r="W49" s="384">
        <f>W48+W47</f>
        <v>51936936</v>
      </c>
      <c r="X49" s="382">
        <f>X48+X47</f>
        <v>55441880</v>
      </c>
      <c r="Y49" s="443">
        <f t="shared" si="64"/>
        <v>3504944</v>
      </c>
      <c r="Z49" s="384">
        <f>Z48+Z47</f>
        <v>19334953</v>
      </c>
      <c r="AA49" s="382">
        <f>AA48+AA47</f>
        <v>21264118</v>
      </c>
      <c r="AB49" s="443">
        <f t="shared" si="65"/>
        <v>1929165</v>
      </c>
      <c r="AC49" s="384">
        <f>AC48+AC47</f>
        <v>14208750</v>
      </c>
      <c r="AD49" s="382">
        <f>AD48+AD47</f>
        <v>15663684</v>
      </c>
      <c r="AE49" s="443">
        <f t="shared" si="66"/>
        <v>1454934</v>
      </c>
      <c r="AF49" s="385">
        <f t="shared" si="67"/>
        <v>199039209</v>
      </c>
      <c r="AG49" s="444">
        <f t="shared" si="68"/>
        <v>210927153</v>
      </c>
      <c r="AH49" s="445">
        <f t="shared" si="69"/>
        <v>11887944</v>
      </c>
      <c r="AI49" s="384">
        <f>AI48+AI47</f>
        <v>84525714</v>
      </c>
      <c r="AJ49" s="382">
        <f>AJ48+AJ47</f>
        <v>88676057</v>
      </c>
      <c r="AK49" s="443">
        <f t="shared" si="70"/>
        <v>4150343</v>
      </c>
      <c r="AL49" s="384">
        <f>AL48+AL47</f>
        <v>22975244</v>
      </c>
      <c r="AM49" s="382">
        <f>AM48+AM47</f>
        <v>23975159</v>
      </c>
      <c r="AN49" s="443">
        <f t="shared" si="71"/>
        <v>999915</v>
      </c>
      <c r="AO49" s="384">
        <f>AO48+AO47</f>
        <v>0</v>
      </c>
      <c r="AP49" s="382">
        <f>AP48+AP47</f>
        <v>1180425</v>
      </c>
      <c r="AQ49" s="443">
        <f t="shared" si="72"/>
        <v>1180425</v>
      </c>
      <c r="AR49" s="384">
        <f>AR48+AR47</f>
        <v>15012577</v>
      </c>
      <c r="AS49" s="382">
        <f>AS48+AS47</f>
        <v>16072524</v>
      </c>
      <c r="AT49" s="443">
        <f t="shared" si="73"/>
        <v>1059947</v>
      </c>
      <c r="AU49" s="386">
        <f t="shared" si="74"/>
        <v>122513535</v>
      </c>
      <c r="AV49" s="446">
        <f t="shared" si="75"/>
        <v>129904165</v>
      </c>
      <c r="AW49" s="447">
        <f t="shared" si="76"/>
        <v>7390630</v>
      </c>
      <c r="AX49" s="387">
        <f>AX48+AX47</f>
        <v>1157473326</v>
      </c>
      <c r="AY49" s="448">
        <f>AY48+AY47</f>
        <v>1244416582</v>
      </c>
      <c r="AZ49" s="443">
        <f t="shared" si="78"/>
        <v>86943256</v>
      </c>
      <c r="BA49" s="384">
        <f>BA48+BA47</f>
        <v>3067703963</v>
      </c>
      <c r="BB49" s="449">
        <f>BB48+BB47</f>
        <v>3261908944</v>
      </c>
      <c r="BC49" s="450">
        <f t="shared" si="79"/>
        <v>194204981</v>
      </c>
      <c r="BD49" s="388">
        <f>BD48+BD47</f>
        <v>4225177289</v>
      </c>
      <c r="BE49" s="449">
        <f>BE48+BE47</f>
        <v>4506325526</v>
      </c>
      <c r="BF49" s="450">
        <f t="shared" si="81"/>
        <v>281148237</v>
      </c>
      <c r="BG49" s="443">
        <f aca="true" t="shared" si="106" ref="BG49:BL49">BG48+BG47</f>
        <v>3298205139</v>
      </c>
      <c r="BH49" s="443">
        <f t="shared" si="106"/>
        <v>3569733918</v>
      </c>
      <c r="BI49" s="443">
        <f t="shared" si="106"/>
        <v>271528779</v>
      </c>
      <c r="BJ49" s="299">
        <f t="shared" si="106"/>
        <v>1670322</v>
      </c>
      <c r="BK49" s="300">
        <f t="shared" si="106"/>
        <v>2451352</v>
      </c>
      <c r="BL49" s="300">
        <f t="shared" si="106"/>
        <v>3232382</v>
      </c>
      <c r="BM49" s="301">
        <f t="shared" si="83"/>
        <v>781030</v>
      </c>
      <c r="BN49" s="302">
        <f aca="true" t="shared" si="107" ref="BN49:BU49">BN48+BN47</f>
        <v>217074</v>
      </c>
      <c r="BO49" s="300">
        <f t="shared" si="107"/>
        <v>224092</v>
      </c>
      <c r="BP49" s="300">
        <f t="shared" si="107"/>
        <v>231110</v>
      </c>
      <c r="BQ49" s="301">
        <f t="shared" si="107"/>
        <v>7018</v>
      </c>
      <c r="BR49" s="299">
        <f t="shared" si="107"/>
        <v>89503</v>
      </c>
      <c r="BS49" s="300">
        <f t="shared" si="107"/>
        <v>89503</v>
      </c>
      <c r="BT49" s="300">
        <f t="shared" si="107"/>
        <v>89503</v>
      </c>
      <c r="BU49" s="301">
        <f t="shared" si="107"/>
        <v>0</v>
      </c>
      <c r="BV49" s="303" t="s">
        <v>269</v>
      </c>
      <c r="BW49" s="227">
        <f t="shared" si="85"/>
        <v>2764947</v>
      </c>
    </row>
    <row r="50" spans="57:75" ht="9" customHeight="1" thickBot="1">
      <c r="BE50" s="88"/>
      <c r="BG50" s="4"/>
      <c r="BH50" s="4"/>
      <c r="BI50" s="4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227">
        <f t="shared" si="85"/>
        <v>0</v>
      </c>
    </row>
    <row r="51" spans="1:75" s="89" customFormat="1" ht="12.75">
      <c r="A51" s="132" t="s">
        <v>137</v>
      </c>
      <c r="B51" s="452">
        <f>SUM(B52:B53)</f>
        <v>9</v>
      </c>
      <c r="C51" s="453">
        <f>SUM(C52:C53)</f>
        <v>9</v>
      </c>
      <c r="D51" s="454">
        <f>C51-B51</f>
        <v>0</v>
      </c>
      <c r="E51" s="452">
        <v>15.5</v>
      </c>
      <c r="F51" s="452">
        <v>15.5</v>
      </c>
      <c r="G51" s="453">
        <f>F51-E51</f>
        <v>0</v>
      </c>
      <c r="H51" s="452">
        <f>SUM(H52:H53)</f>
        <v>12</v>
      </c>
      <c r="I51" s="452">
        <f>SUM(I52:I53)</f>
        <v>12</v>
      </c>
      <c r="J51" s="64">
        <f>I51-H51</f>
        <v>0</v>
      </c>
      <c r="K51" s="452">
        <f>SUM(K52:K53)</f>
        <v>54</v>
      </c>
      <c r="L51" s="452">
        <f>SUM(L52:L53)</f>
        <v>55</v>
      </c>
      <c r="M51" s="64">
        <f>L51-K51</f>
        <v>1</v>
      </c>
      <c r="N51" s="452">
        <f>SUM(N52:N53)</f>
        <v>44.75</v>
      </c>
      <c r="O51" s="452">
        <f>SUM(O52:O53)</f>
        <v>44.75</v>
      </c>
      <c r="P51" s="64">
        <f>O51-N51</f>
        <v>0</v>
      </c>
      <c r="Q51" s="452">
        <f>SUM(Q52:Q53)</f>
        <v>18.25</v>
      </c>
      <c r="R51" s="452">
        <f>SUM(R52:R53)</f>
        <v>18.25</v>
      </c>
      <c r="S51" s="453">
        <f>R51-Q51</f>
        <v>0</v>
      </c>
      <c r="T51" s="452">
        <f>SUM(T52:T53)</f>
        <v>5.5</v>
      </c>
      <c r="U51" s="452">
        <f>SUM(U52:U53)</f>
        <v>5.5</v>
      </c>
      <c r="V51" s="453">
        <f>U51-T51</f>
        <v>0</v>
      </c>
      <c r="W51" s="452">
        <f>SUM(W52:W53)</f>
        <v>10.5</v>
      </c>
      <c r="X51" s="452">
        <f>SUM(X52:X53)</f>
        <v>10.5</v>
      </c>
      <c r="Y51" s="453">
        <f>X51-W51</f>
        <v>0</v>
      </c>
      <c r="Z51" s="452">
        <f>SUM(Z52:Z53)</f>
        <v>4.5</v>
      </c>
      <c r="AA51" s="452">
        <f>SUM(AA52:AA53)</f>
        <v>4.5</v>
      </c>
      <c r="AB51" s="453">
        <f>AA51-Z51</f>
        <v>0</v>
      </c>
      <c r="AC51" s="452">
        <f>SUM(AC52:AC53)</f>
        <v>3</v>
      </c>
      <c r="AD51" s="452">
        <f>SUM(AD52:AD53)</f>
        <v>3</v>
      </c>
      <c r="AE51" s="453">
        <f>AD51-AC51</f>
        <v>0</v>
      </c>
      <c r="AF51" s="455">
        <f aca="true" t="shared" si="108" ref="AF51:AG54">Q51+T51+W51+Z51+AC51</f>
        <v>41.75</v>
      </c>
      <c r="AG51" s="456">
        <f t="shared" si="108"/>
        <v>41.75</v>
      </c>
      <c r="AH51" s="343">
        <f>AG51-AF51</f>
        <v>0</v>
      </c>
      <c r="AI51" s="452">
        <f>SUM(AI52:AI53)</f>
        <v>18.5</v>
      </c>
      <c r="AJ51" s="452">
        <f>SUM(AJ52:AJ53)</f>
        <v>19.5</v>
      </c>
      <c r="AK51" s="453">
        <f>AJ51-AI51</f>
        <v>1</v>
      </c>
      <c r="AL51" s="452">
        <f>SUM(AL52:AL53)</f>
        <v>3</v>
      </c>
      <c r="AM51" s="452">
        <f>SUM(AM52:AM53)</f>
        <v>3</v>
      </c>
      <c r="AN51" s="453">
        <f>AM51-AL51</f>
        <v>0</v>
      </c>
      <c r="AO51" s="452">
        <f>SUM(AO52:AO53)</f>
        <v>0</v>
      </c>
      <c r="AP51" s="452">
        <f>SUM(AP52:AP53)</f>
        <v>0</v>
      </c>
      <c r="AQ51" s="453">
        <f>AP51-AO51</f>
        <v>0</v>
      </c>
      <c r="AR51" s="452">
        <f>SUM(AR52:AR53)</f>
        <v>3</v>
      </c>
      <c r="AS51" s="452">
        <f>SUM(AS52:AS53)</f>
        <v>3</v>
      </c>
      <c r="AT51" s="453">
        <f>AS51-AR51</f>
        <v>0</v>
      </c>
      <c r="AU51" s="457">
        <f aca="true" t="shared" si="109" ref="AU51:AV54">AI51+AL51+AR51+AO51</f>
        <v>24.5</v>
      </c>
      <c r="AV51" s="458">
        <f t="shared" si="109"/>
        <v>25.5</v>
      </c>
      <c r="AW51" s="458">
        <f>AV51-AU51</f>
        <v>1</v>
      </c>
      <c r="AX51" s="158">
        <f aca="true" t="shared" si="110" ref="AX51:AY54">B51+E51+H51+K51+N51+AU51+AF51</f>
        <v>201.5</v>
      </c>
      <c r="AY51" s="453">
        <f t="shared" si="110"/>
        <v>203.5</v>
      </c>
      <c r="AZ51" s="453">
        <f>AY51-AX51</f>
        <v>2</v>
      </c>
      <c r="BA51" s="459">
        <f>SUM(BA52:BA53)</f>
        <v>4.75</v>
      </c>
      <c r="BB51" s="453">
        <f>BA51</f>
        <v>4.75</v>
      </c>
      <c r="BC51" s="453">
        <f>BB51-BA51</f>
        <v>0</v>
      </c>
      <c r="BD51" s="460">
        <f aca="true" t="shared" si="111" ref="BD51:BE54">BA51+AX51</f>
        <v>206.25</v>
      </c>
      <c r="BE51" s="453">
        <f t="shared" si="111"/>
        <v>208.25</v>
      </c>
      <c r="BF51" s="453">
        <f>BE51-BD51</f>
        <v>2</v>
      </c>
      <c r="BG51" s="135"/>
      <c r="BH51" s="135"/>
      <c r="BI51" s="135"/>
      <c r="BJ51" s="441"/>
      <c r="BK51" s="461"/>
      <c r="BL51" s="461"/>
      <c r="BM51" s="461"/>
      <c r="BN51" s="462"/>
      <c r="BO51" s="461"/>
      <c r="BP51" s="461"/>
      <c r="BQ51" s="461"/>
      <c r="BR51" s="462"/>
      <c r="BS51" s="461"/>
      <c r="BT51" s="461"/>
      <c r="BU51" s="461"/>
      <c r="BV51" s="461"/>
      <c r="BW51" s="463"/>
    </row>
    <row r="52" spans="1:75" s="92" customFormat="1" ht="12.75">
      <c r="A52" s="133" t="s">
        <v>133</v>
      </c>
      <c r="B52" s="464">
        <v>7</v>
      </c>
      <c r="C52" s="465">
        <v>7</v>
      </c>
      <c r="D52" s="466">
        <f>C52-B52</f>
        <v>0</v>
      </c>
      <c r="E52" s="465">
        <v>5.5</v>
      </c>
      <c r="F52" s="465">
        <v>5.5</v>
      </c>
      <c r="G52" s="465">
        <f>F52-E52</f>
        <v>0</v>
      </c>
      <c r="H52" s="465">
        <v>4</v>
      </c>
      <c r="I52" s="465">
        <v>4</v>
      </c>
      <c r="J52" s="18">
        <f>I52-H52</f>
        <v>0</v>
      </c>
      <c r="K52" s="467">
        <v>52</v>
      </c>
      <c r="L52" s="465">
        <v>53</v>
      </c>
      <c r="M52" s="18">
        <f>L52-K52</f>
        <v>1</v>
      </c>
      <c r="N52" s="467">
        <v>39.75</v>
      </c>
      <c r="O52" s="465">
        <v>39.75</v>
      </c>
      <c r="P52" s="18">
        <f>O52-N52</f>
        <v>0</v>
      </c>
      <c r="Q52" s="467">
        <v>17</v>
      </c>
      <c r="R52" s="465">
        <v>17</v>
      </c>
      <c r="S52" s="465">
        <f>R52-Q52</f>
        <v>0</v>
      </c>
      <c r="T52" s="467">
        <v>4.5</v>
      </c>
      <c r="U52" s="465">
        <v>4.5</v>
      </c>
      <c r="V52" s="465">
        <f>U52-T52</f>
        <v>0</v>
      </c>
      <c r="W52" s="467">
        <v>10</v>
      </c>
      <c r="X52" s="465">
        <v>10</v>
      </c>
      <c r="Y52" s="465">
        <f>X52-W52</f>
        <v>0</v>
      </c>
      <c r="Z52" s="467">
        <v>4</v>
      </c>
      <c r="AA52" s="465">
        <v>4</v>
      </c>
      <c r="AB52" s="465">
        <f>AA52-Z52</f>
        <v>0</v>
      </c>
      <c r="AC52" s="467">
        <v>3</v>
      </c>
      <c r="AD52" s="465">
        <v>3</v>
      </c>
      <c r="AE52" s="465">
        <f>AD52-AC52</f>
        <v>0</v>
      </c>
      <c r="AF52" s="468">
        <f t="shared" si="108"/>
        <v>38.5</v>
      </c>
      <c r="AG52" s="469">
        <f t="shared" si="108"/>
        <v>38.5</v>
      </c>
      <c r="AH52" s="210">
        <f>AG52-AF52</f>
        <v>0</v>
      </c>
      <c r="AI52" s="467">
        <v>18</v>
      </c>
      <c r="AJ52" s="465">
        <v>19</v>
      </c>
      <c r="AK52" s="465">
        <f>AJ52-AI52</f>
        <v>1</v>
      </c>
      <c r="AL52" s="467">
        <v>3</v>
      </c>
      <c r="AM52" s="465">
        <v>3</v>
      </c>
      <c r="AN52" s="465">
        <f>AM52-AL52</f>
        <v>0</v>
      </c>
      <c r="AO52" s="467">
        <v>0</v>
      </c>
      <c r="AP52" s="465">
        <v>0</v>
      </c>
      <c r="AQ52" s="465">
        <f>AP52-AO52</f>
        <v>0</v>
      </c>
      <c r="AR52" s="467">
        <v>3</v>
      </c>
      <c r="AS52" s="465">
        <v>3</v>
      </c>
      <c r="AT52" s="465">
        <f>AS52-AR52</f>
        <v>0</v>
      </c>
      <c r="AU52" s="470">
        <f t="shared" si="109"/>
        <v>24</v>
      </c>
      <c r="AV52" s="471">
        <f t="shared" si="109"/>
        <v>25</v>
      </c>
      <c r="AW52" s="471">
        <f>AV52-AU52</f>
        <v>1</v>
      </c>
      <c r="AX52" s="159">
        <f t="shared" si="110"/>
        <v>170.75</v>
      </c>
      <c r="AY52" s="465">
        <f t="shared" si="110"/>
        <v>172.75</v>
      </c>
      <c r="AZ52" s="465">
        <f>AY52-AX52</f>
        <v>2</v>
      </c>
      <c r="BA52" s="472">
        <v>3.5</v>
      </c>
      <c r="BB52" s="465">
        <f>BA52</f>
        <v>3.5</v>
      </c>
      <c r="BC52" s="465">
        <f>BB52-BA52</f>
        <v>0</v>
      </c>
      <c r="BD52" s="473">
        <f t="shared" si="111"/>
        <v>174.25</v>
      </c>
      <c r="BE52" s="465">
        <f t="shared" si="111"/>
        <v>176.25</v>
      </c>
      <c r="BF52" s="465">
        <f>BE52-BD52</f>
        <v>2</v>
      </c>
      <c r="BG52" s="117"/>
      <c r="BH52" s="117"/>
      <c r="BI52" s="117"/>
      <c r="BJ52" s="474"/>
      <c r="BK52" s="475"/>
      <c r="BL52" s="475"/>
      <c r="BM52" s="475"/>
      <c r="BN52" s="474"/>
      <c r="BO52" s="475"/>
      <c r="BP52" s="475"/>
      <c r="BQ52" s="475"/>
      <c r="BR52" s="476"/>
      <c r="BS52" s="475"/>
      <c r="BT52" s="475"/>
      <c r="BU52" s="475"/>
      <c r="BV52" s="475"/>
      <c r="BW52" s="477"/>
    </row>
    <row r="53" spans="1:75" s="92" customFormat="1" ht="12.75">
      <c r="A53" s="133" t="s">
        <v>134</v>
      </c>
      <c r="B53" s="464">
        <v>2</v>
      </c>
      <c r="C53" s="465">
        <v>2</v>
      </c>
      <c r="D53" s="466">
        <f>C53-B53</f>
        <v>0</v>
      </c>
      <c r="E53" s="465">
        <v>10</v>
      </c>
      <c r="F53" s="465">
        <v>10</v>
      </c>
      <c r="G53" s="465">
        <f>F53-E53</f>
        <v>0</v>
      </c>
      <c r="H53" s="465">
        <v>8</v>
      </c>
      <c r="I53" s="465">
        <v>8</v>
      </c>
      <c r="J53" s="18">
        <f>I53-H53</f>
        <v>0</v>
      </c>
      <c r="K53" s="467">
        <v>2</v>
      </c>
      <c r="L53" s="465">
        <v>2</v>
      </c>
      <c r="M53" s="18">
        <f>L53-K53</f>
        <v>0</v>
      </c>
      <c r="N53" s="467">
        <v>5</v>
      </c>
      <c r="O53" s="465">
        <v>5</v>
      </c>
      <c r="P53" s="18">
        <f>O53-N53</f>
        <v>0</v>
      </c>
      <c r="Q53" s="467">
        <v>1.25</v>
      </c>
      <c r="R53" s="465">
        <v>1.25</v>
      </c>
      <c r="S53" s="465">
        <f>R53-Q53</f>
        <v>0</v>
      </c>
      <c r="T53" s="467">
        <v>1</v>
      </c>
      <c r="U53" s="465">
        <v>1</v>
      </c>
      <c r="V53" s="465">
        <f>U53-T53</f>
        <v>0</v>
      </c>
      <c r="W53" s="467">
        <v>0.5</v>
      </c>
      <c r="X53" s="465">
        <v>0.5</v>
      </c>
      <c r="Y53" s="465">
        <f>X53-W53</f>
        <v>0</v>
      </c>
      <c r="Z53" s="467">
        <v>0.5</v>
      </c>
      <c r="AA53" s="465">
        <v>0.5</v>
      </c>
      <c r="AB53" s="465">
        <f>AA53-Z53</f>
        <v>0</v>
      </c>
      <c r="AC53" s="467">
        <v>0</v>
      </c>
      <c r="AD53" s="465">
        <v>0</v>
      </c>
      <c r="AE53" s="465">
        <f>AD53-AC53</f>
        <v>0</v>
      </c>
      <c r="AF53" s="468">
        <f t="shared" si="108"/>
        <v>3.25</v>
      </c>
      <c r="AG53" s="469">
        <f t="shared" si="108"/>
        <v>3.25</v>
      </c>
      <c r="AH53" s="210">
        <f>AG53-AF53</f>
        <v>0</v>
      </c>
      <c r="AI53" s="467">
        <v>0.5</v>
      </c>
      <c r="AJ53" s="465">
        <v>0.5</v>
      </c>
      <c r="AK53" s="465">
        <f>AJ53-AI53</f>
        <v>0</v>
      </c>
      <c r="AL53" s="467">
        <v>0</v>
      </c>
      <c r="AM53" s="465">
        <v>0</v>
      </c>
      <c r="AN53" s="465">
        <f>AM53-AL53</f>
        <v>0</v>
      </c>
      <c r="AO53" s="467">
        <v>0</v>
      </c>
      <c r="AP53" s="465">
        <v>0</v>
      </c>
      <c r="AQ53" s="465">
        <f>AP53-AO53</f>
        <v>0</v>
      </c>
      <c r="AR53" s="467">
        <v>0</v>
      </c>
      <c r="AS53" s="465">
        <v>0</v>
      </c>
      <c r="AT53" s="465">
        <f>AS53-AR53</f>
        <v>0</v>
      </c>
      <c r="AU53" s="470">
        <f t="shared" si="109"/>
        <v>0.5</v>
      </c>
      <c r="AV53" s="471">
        <f t="shared" si="109"/>
        <v>0.5</v>
      </c>
      <c r="AW53" s="471">
        <f>AV53-AU53</f>
        <v>0</v>
      </c>
      <c r="AX53" s="159">
        <f t="shared" si="110"/>
        <v>30.75</v>
      </c>
      <c r="AY53" s="465">
        <f t="shared" si="110"/>
        <v>30.75</v>
      </c>
      <c r="AZ53" s="465">
        <f>AY53-AX53</f>
        <v>0</v>
      </c>
      <c r="BA53" s="472">
        <v>1.25</v>
      </c>
      <c r="BB53" s="465">
        <f>BA53</f>
        <v>1.25</v>
      </c>
      <c r="BC53" s="465">
        <f>BB53-BA53</f>
        <v>0</v>
      </c>
      <c r="BD53" s="473">
        <f t="shared" si="111"/>
        <v>32</v>
      </c>
      <c r="BE53" s="465">
        <f t="shared" si="111"/>
        <v>32</v>
      </c>
      <c r="BF53" s="465">
        <f>BE53-BD53</f>
        <v>0</v>
      </c>
      <c r="BG53" s="118"/>
      <c r="BH53" s="118"/>
      <c r="BI53" s="118"/>
      <c r="BJ53" s="476"/>
      <c r="BK53" s="475"/>
      <c r="BL53" s="475"/>
      <c r="BM53" s="475"/>
      <c r="BN53" s="476"/>
      <c r="BO53" s="475"/>
      <c r="BP53" s="475"/>
      <c r="BQ53" s="475"/>
      <c r="BR53" s="476"/>
      <c r="BS53" s="475"/>
      <c r="BT53" s="475"/>
      <c r="BU53" s="475"/>
      <c r="BV53" s="475"/>
      <c r="BW53" s="477"/>
    </row>
    <row r="54" spans="1:75" s="89" customFormat="1" ht="13.5" thickBot="1">
      <c r="A54" s="134" t="s">
        <v>284</v>
      </c>
      <c r="B54" s="478">
        <v>2</v>
      </c>
      <c r="C54" s="479">
        <v>2</v>
      </c>
      <c r="D54" s="480">
        <f>C54-B54</f>
        <v>0</v>
      </c>
      <c r="E54" s="479">
        <v>1</v>
      </c>
      <c r="F54" s="479">
        <v>1</v>
      </c>
      <c r="G54" s="479">
        <f>F54-E54</f>
        <v>0</v>
      </c>
      <c r="H54" s="479">
        <v>0</v>
      </c>
      <c r="I54" s="479">
        <v>0</v>
      </c>
      <c r="J54" s="18">
        <f>I54-H54</f>
        <v>0</v>
      </c>
      <c r="K54" s="481">
        <v>1</v>
      </c>
      <c r="L54" s="479">
        <v>1</v>
      </c>
      <c r="M54" s="18">
        <f>L54-K54</f>
        <v>0</v>
      </c>
      <c r="N54" s="481">
        <v>0</v>
      </c>
      <c r="O54" s="479">
        <v>0</v>
      </c>
      <c r="P54" s="18">
        <f>O54-N54</f>
        <v>0</v>
      </c>
      <c r="Q54" s="481">
        <v>1</v>
      </c>
      <c r="R54" s="479">
        <v>1</v>
      </c>
      <c r="S54" s="479">
        <f>R54-Q54</f>
        <v>0</v>
      </c>
      <c r="T54" s="481">
        <v>1</v>
      </c>
      <c r="U54" s="479">
        <v>1</v>
      </c>
      <c r="V54" s="479">
        <f>U54-T54</f>
        <v>0</v>
      </c>
      <c r="W54" s="481">
        <v>0</v>
      </c>
      <c r="X54" s="479">
        <v>0</v>
      </c>
      <c r="Y54" s="479">
        <f>X54-W54</f>
        <v>0</v>
      </c>
      <c r="Z54" s="481">
        <v>0</v>
      </c>
      <c r="AA54" s="479">
        <f>Z54</f>
        <v>0</v>
      </c>
      <c r="AB54" s="479">
        <f>AA54-Z54</f>
        <v>0</v>
      </c>
      <c r="AC54" s="481">
        <v>1</v>
      </c>
      <c r="AD54" s="479">
        <v>1</v>
      </c>
      <c r="AE54" s="479">
        <f>AD54-AC54</f>
        <v>0</v>
      </c>
      <c r="AF54" s="482">
        <f t="shared" si="108"/>
        <v>3</v>
      </c>
      <c r="AG54" s="483">
        <f t="shared" si="108"/>
        <v>3</v>
      </c>
      <c r="AH54" s="210">
        <f>AG54-AF54</f>
        <v>0</v>
      </c>
      <c r="AI54" s="481">
        <v>0</v>
      </c>
      <c r="AJ54" s="479">
        <v>0</v>
      </c>
      <c r="AK54" s="479">
        <f>AJ54-AI54</f>
        <v>0</v>
      </c>
      <c r="AL54" s="481">
        <v>1</v>
      </c>
      <c r="AM54" s="479">
        <v>1</v>
      </c>
      <c r="AN54" s="479">
        <f>AM54-AL54</f>
        <v>0</v>
      </c>
      <c r="AO54" s="481">
        <v>0</v>
      </c>
      <c r="AP54" s="479">
        <v>0</v>
      </c>
      <c r="AQ54" s="479">
        <f>AP54-AO54</f>
        <v>0</v>
      </c>
      <c r="AR54" s="481">
        <v>0</v>
      </c>
      <c r="AS54" s="479">
        <v>0</v>
      </c>
      <c r="AT54" s="479">
        <f>AS54-AR54</f>
        <v>0</v>
      </c>
      <c r="AU54" s="484">
        <f t="shared" si="109"/>
        <v>1</v>
      </c>
      <c r="AV54" s="485">
        <f t="shared" si="109"/>
        <v>1</v>
      </c>
      <c r="AW54" s="485">
        <f>AV54-AU54</f>
        <v>0</v>
      </c>
      <c r="AX54" s="160">
        <f t="shared" si="110"/>
        <v>8</v>
      </c>
      <c r="AY54" s="479">
        <f t="shared" si="110"/>
        <v>8</v>
      </c>
      <c r="AZ54" s="479">
        <f>AY54-AX54</f>
        <v>0</v>
      </c>
      <c r="BA54" s="486">
        <v>0</v>
      </c>
      <c r="BB54" s="479">
        <v>0</v>
      </c>
      <c r="BC54" s="479">
        <f>BB54-BA54</f>
        <v>0</v>
      </c>
      <c r="BD54" s="487">
        <f t="shared" si="111"/>
        <v>8</v>
      </c>
      <c r="BE54" s="479">
        <f t="shared" si="111"/>
        <v>8</v>
      </c>
      <c r="BF54" s="479">
        <f>BE54-BD54</f>
        <v>0</v>
      </c>
      <c r="BG54" s="136"/>
      <c r="BH54" s="136"/>
      <c r="BI54" s="136"/>
      <c r="BJ54" s="462"/>
      <c r="BK54" s="461"/>
      <c r="BL54" s="461"/>
      <c r="BM54" s="461"/>
      <c r="BN54" s="462"/>
      <c r="BO54" s="461"/>
      <c r="BP54" s="461"/>
      <c r="BQ54" s="461"/>
      <c r="BR54" s="462"/>
      <c r="BS54" s="461"/>
      <c r="BT54" s="461"/>
      <c r="BU54" s="461"/>
      <c r="BV54" s="461"/>
      <c r="BW54" s="463"/>
    </row>
    <row r="55" spans="62:74" ht="15.75"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</row>
  </sheetData>
  <sheetProtection/>
  <mergeCells count="48">
    <mergeCell ref="BA28:BC28"/>
    <mergeCell ref="BD28:BF28"/>
    <mergeCell ref="BG28:BI28"/>
    <mergeCell ref="BJ28:BM28"/>
    <mergeCell ref="BN28:BQ28"/>
    <mergeCell ref="BR28:BU28"/>
    <mergeCell ref="AI28:AK28"/>
    <mergeCell ref="AL28:AN28"/>
    <mergeCell ref="AO28:AQ28"/>
    <mergeCell ref="AR28:AT28"/>
    <mergeCell ref="AU28:AW28"/>
    <mergeCell ref="AX28:AZ28"/>
    <mergeCell ref="Q28:S28"/>
    <mergeCell ref="T28:V28"/>
    <mergeCell ref="W28:Y28"/>
    <mergeCell ref="Z28:AB28"/>
    <mergeCell ref="AC28:AE28"/>
    <mergeCell ref="AF28:AH28"/>
    <mergeCell ref="A28:A29"/>
    <mergeCell ref="B28:D28"/>
    <mergeCell ref="E28:G28"/>
    <mergeCell ref="H28:J28"/>
    <mergeCell ref="K28:M28"/>
    <mergeCell ref="N28:P28"/>
    <mergeCell ref="BA4:BC4"/>
    <mergeCell ref="BD4:BF4"/>
    <mergeCell ref="BG4:BI4"/>
    <mergeCell ref="BJ4:BM4"/>
    <mergeCell ref="BN4:BQ4"/>
    <mergeCell ref="BR4:BU4"/>
    <mergeCell ref="AI4:AK4"/>
    <mergeCell ref="AL4:AN4"/>
    <mergeCell ref="AO4:AQ4"/>
    <mergeCell ref="AR4:AT4"/>
    <mergeCell ref="AU4:AW4"/>
    <mergeCell ref="AX4:AZ4"/>
    <mergeCell ref="Q4:S4"/>
    <mergeCell ref="T4:V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9" scale="47" r:id="rId1"/>
  <colBreaks count="3" manualBreakCount="3">
    <brk id="16" max="53" man="1"/>
    <brk id="34" max="53" man="1"/>
    <brk id="49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4.75390625" style="0" customWidth="1"/>
    <col min="4" max="4" width="15.00390625" style="0" customWidth="1"/>
    <col min="5" max="5" width="10.875" style="0" bestFit="1" customWidth="1"/>
    <col min="6" max="6" width="5.25390625" style="0" customWidth="1"/>
  </cols>
  <sheetData>
    <row r="1" ht="13.5">
      <c r="A1" s="85" t="s">
        <v>326</v>
      </c>
    </row>
    <row r="2" spans="1:5" s="2" customFormat="1" ht="13.5">
      <c r="A2" s="558" t="s">
        <v>303</v>
      </c>
      <c r="B2" s="558"/>
      <c r="C2" s="558"/>
      <c r="D2" s="5"/>
      <c r="E2" s="6"/>
    </row>
    <row r="3" spans="1:5" s="2" customFormat="1" ht="12.75">
      <c r="A3" s="5"/>
      <c r="B3" s="17"/>
      <c r="C3" s="6"/>
      <c r="D3" s="6"/>
      <c r="E3" s="6"/>
    </row>
    <row r="4" spans="1:5" s="2" customFormat="1" ht="16.5" customHeight="1">
      <c r="A4" s="559" t="s">
        <v>177</v>
      </c>
      <c r="B4" s="559"/>
      <c r="C4" s="559"/>
      <c r="D4" s="559"/>
      <c r="E4" s="559"/>
    </row>
    <row r="5" spans="1:5" s="2" customFormat="1" ht="16.5" customHeight="1">
      <c r="A5" s="559" t="s">
        <v>178</v>
      </c>
      <c r="B5" s="559"/>
      <c r="C5" s="559"/>
      <c r="D5" s="559"/>
      <c r="E5" s="559"/>
    </row>
    <row r="6" spans="1:5" s="2" customFormat="1" ht="45" customHeight="1">
      <c r="A6" s="1"/>
      <c r="B6" s="26"/>
      <c r="C6" s="26" t="s">
        <v>246</v>
      </c>
      <c r="D6" s="26" t="s">
        <v>304</v>
      </c>
      <c r="E6" s="26" t="s">
        <v>267</v>
      </c>
    </row>
    <row r="7" spans="1:5" s="112" customFormat="1" ht="16.5" customHeight="1">
      <c r="A7" s="111" t="s">
        <v>1</v>
      </c>
      <c r="B7" s="111" t="s">
        <v>80</v>
      </c>
      <c r="C7" s="111"/>
      <c r="D7" s="111"/>
      <c r="E7" s="111"/>
    </row>
    <row r="8" spans="1:5" s="95" customFormat="1" ht="16.5" customHeight="1">
      <c r="A8" s="25" t="s">
        <v>4</v>
      </c>
      <c r="B8" s="25" t="s">
        <v>243</v>
      </c>
      <c r="C8" s="98">
        <v>33000000</v>
      </c>
      <c r="D8" s="98">
        <v>33000000</v>
      </c>
      <c r="E8" s="166">
        <f aca="true" t="shared" si="0" ref="E8:E13">D8-C8</f>
        <v>0</v>
      </c>
    </row>
    <row r="9" spans="1:5" s="59" customFormat="1" ht="16.5" customHeight="1">
      <c r="A9" s="25" t="s">
        <v>5</v>
      </c>
      <c r="B9" s="25" t="s">
        <v>190</v>
      </c>
      <c r="C9" s="98">
        <f>35200000-1760000</f>
        <v>33440000</v>
      </c>
      <c r="D9" s="98">
        <f>35200000-1760000</f>
        <v>33440000</v>
      </c>
      <c r="E9" s="494">
        <f t="shared" si="0"/>
        <v>0</v>
      </c>
    </row>
    <row r="10" spans="1:5" s="59" customFormat="1" ht="16.5" customHeight="1">
      <c r="A10" s="25" t="s">
        <v>6</v>
      </c>
      <c r="B10" s="25" t="s">
        <v>189</v>
      </c>
      <c r="C10" s="98">
        <v>56700824</v>
      </c>
      <c r="D10" s="98">
        <v>56700824</v>
      </c>
      <c r="E10" s="494">
        <f t="shared" si="0"/>
        <v>0</v>
      </c>
    </row>
    <row r="11" spans="1:5" s="59" customFormat="1" ht="16.5" customHeight="1">
      <c r="A11" s="25" t="s">
        <v>7</v>
      </c>
      <c r="B11" s="25" t="s">
        <v>215</v>
      </c>
      <c r="C11" s="98">
        <f>45609738+7500000+4500000+4800000+1790065</f>
        <v>64199803</v>
      </c>
      <c r="D11" s="98">
        <f>45609738+7500000+4500000+4800000+1790065-10000000-11987454</f>
        <v>42212349</v>
      </c>
      <c r="E11" s="494">
        <f t="shared" si="0"/>
        <v>-21987454</v>
      </c>
    </row>
    <row r="12" spans="1:5" s="59" customFormat="1" ht="16.5" customHeight="1">
      <c r="A12" s="25" t="s">
        <v>8</v>
      </c>
      <c r="B12" s="25" t="s">
        <v>157</v>
      </c>
      <c r="C12" s="98">
        <v>18000000</v>
      </c>
      <c r="D12" s="98">
        <v>18000000</v>
      </c>
      <c r="E12" s="494">
        <f t="shared" si="0"/>
        <v>0</v>
      </c>
    </row>
    <row r="13" spans="2:5" s="58" customFormat="1" ht="16.5" customHeight="1">
      <c r="B13" s="58" t="s">
        <v>3</v>
      </c>
      <c r="C13" s="94">
        <f>SUM(C8:C12)</f>
        <v>205340627</v>
      </c>
      <c r="D13" s="94">
        <f>SUM(D8:D12)</f>
        <v>183353173</v>
      </c>
      <c r="E13" s="114">
        <f t="shared" si="0"/>
        <v>-21987454</v>
      </c>
    </row>
    <row r="14" spans="3:5" s="95" customFormat="1" ht="16.5" customHeight="1">
      <c r="C14" s="109"/>
      <c r="D14" s="109"/>
      <c r="E14" s="115"/>
    </row>
    <row r="15" spans="1:5" s="58" customFormat="1" ht="16.5" customHeight="1">
      <c r="A15" s="58" t="s">
        <v>9</v>
      </c>
      <c r="B15" s="111" t="s">
        <v>81</v>
      </c>
      <c r="C15" s="94"/>
      <c r="D15" s="94"/>
      <c r="E15" s="94"/>
    </row>
    <row r="16" spans="1:5" s="95" customFormat="1" ht="16.5" customHeight="1">
      <c r="A16" s="25" t="s">
        <v>4</v>
      </c>
      <c r="B16" s="25" t="s">
        <v>229</v>
      </c>
      <c r="C16" s="98">
        <v>72045</v>
      </c>
      <c r="D16" s="98">
        <v>72045</v>
      </c>
      <c r="E16" s="494">
        <f aca="true" t="shared" si="1" ref="E16:E22">D16-C16</f>
        <v>0</v>
      </c>
    </row>
    <row r="17" spans="1:5" s="95" customFormat="1" ht="16.5" customHeight="1">
      <c r="A17" s="25" t="s">
        <v>5</v>
      </c>
      <c r="B17" s="25" t="s">
        <v>230</v>
      </c>
      <c r="C17" s="98">
        <v>48030</v>
      </c>
      <c r="D17" s="98">
        <v>48030</v>
      </c>
      <c r="E17" s="494">
        <f t="shared" si="1"/>
        <v>0</v>
      </c>
    </row>
    <row r="18" spans="1:5" s="95" customFormat="1" ht="16.5" customHeight="1">
      <c r="A18" s="145" t="s">
        <v>6</v>
      </c>
      <c r="B18" s="145" t="s">
        <v>247</v>
      </c>
      <c r="C18" s="144">
        <v>0</v>
      </c>
      <c r="D18" s="144">
        <v>85750000</v>
      </c>
      <c r="E18" s="495">
        <f t="shared" si="1"/>
        <v>85750000</v>
      </c>
    </row>
    <row r="19" spans="1:5" s="95" customFormat="1" ht="16.5" customHeight="1">
      <c r="A19" s="145" t="s">
        <v>7</v>
      </c>
      <c r="B19" s="145" t="s">
        <v>150</v>
      </c>
      <c r="C19" s="144">
        <v>41600000</v>
      </c>
      <c r="D19" s="144">
        <f>41600000+20314443</f>
        <v>61914443</v>
      </c>
      <c r="E19" s="495">
        <f t="shared" si="1"/>
        <v>20314443</v>
      </c>
    </row>
    <row r="20" spans="1:5" s="95" customFormat="1" ht="16.5" customHeight="1">
      <c r="A20" s="145" t="s">
        <v>8</v>
      </c>
      <c r="B20" s="145" t="s">
        <v>301</v>
      </c>
      <c r="C20" s="144">
        <v>0</v>
      </c>
      <c r="D20" s="144">
        <v>10551000</v>
      </c>
      <c r="E20" s="495">
        <f t="shared" si="1"/>
        <v>10551000</v>
      </c>
    </row>
    <row r="21" spans="1:5" s="95" customFormat="1" ht="16.5" customHeight="1">
      <c r="A21" s="145" t="s">
        <v>18</v>
      </c>
      <c r="B21" s="145" t="s">
        <v>302</v>
      </c>
      <c r="C21" s="144">
        <v>0</v>
      </c>
      <c r="D21" s="144">
        <v>20000000</v>
      </c>
      <c r="E21" s="495">
        <f t="shared" si="1"/>
        <v>20000000</v>
      </c>
    </row>
    <row r="22" spans="2:5" s="58" customFormat="1" ht="16.5" customHeight="1">
      <c r="B22" s="58" t="s">
        <v>3</v>
      </c>
      <c r="C22" s="94">
        <f>SUM(C16:C21)</f>
        <v>41720075</v>
      </c>
      <c r="D22" s="94">
        <f>SUM(D16:D21)</f>
        <v>178335518</v>
      </c>
      <c r="E22" s="114">
        <f t="shared" si="1"/>
        <v>136615443</v>
      </c>
    </row>
    <row r="23" spans="2:5" s="95" customFormat="1" ht="16.5" customHeight="1">
      <c r="B23" s="112"/>
      <c r="C23" s="109"/>
      <c r="D23" s="109"/>
      <c r="E23" s="109"/>
    </row>
    <row r="24" spans="1:5" s="58" customFormat="1" ht="16.5" customHeight="1">
      <c r="A24" s="58" t="s">
        <v>10</v>
      </c>
      <c r="B24" s="111" t="s">
        <v>59</v>
      </c>
      <c r="C24" s="94"/>
      <c r="D24" s="94"/>
      <c r="E24" s="94"/>
    </row>
    <row r="25" spans="1:5" s="58" customFormat="1" ht="16.5" customHeight="1">
      <c r="A25" s="59" t="s">
        <v>4</v>
      </c>
      <c r="B25" s="102" t="s">
        <v>83</v>
      </c>
      <c r="C25" s="94"/>
      <c r="D25" s="94"/>
      <c r="E25" s="94"/>
    </row>
    <row r="26" spans="1:5" s="95" customFormat="1" ht="16.5" customHeight="1">
      <c r="A26" s="25" t="s">
        <v>4</v>
      </c>
      <c r="B26" s="25" t="s">
        <v>60</v>
      </c>
      <c r="C26" s="98">
        <v>7687716</v>
      </c>
      <c r="D26" s="98">
        <v>7687716</v>
      </c>
      <c r="E26" s="166">
        <f>D26-C26</f>
        <v>0</v>
      </c>
    </row>
    <row r="27" spans="1:5" s="107" customFormat="1" ht="16.5" customHeight="1">
      <c r="A27" s="145" t="s">
        <v>5</v>
      </c>
      <c r="B27" s="145" t="s">
        <v>11</v>
      </c>
      <c r="C27" s="144">
        <v>100448</v>
      </c>
      <c r="D27" s="144">
        <v>100448</v>
      </c>
      <c r="E27" s="168">
        <f>D27-C27</f>
        <v>0</v>
      </c>
    </row>
    <row r="28" spans="1:5" s="95" customFormat="1" ht="16.5" customHeight="1">
      <c r="A28" s="145" t="s">
        <v>6</v>
      </c>
      <c r="B28" s="145" t="s">
        <v>214</v>
      </c>
      <c r="C28" s="144">
        <v>3862557</v>
      </c>
      <c r="D28" s="144">
        <v>3862557</v>
      </c>
      <c r="E28" s="168">
        <f>D28-C28</f>
        <v>0</v>
      </c>
    </row>
    <row r="29" spans="1:5" s="95" customFormat="1" ht="16.5" customHeight="1">
      <c r="A29" s="145" t="s">
        <v>7</v>
      </c>
      <c r="B29" s="145" t="s">
        <v>12</v>
      </c>
      <c r="C29" s="144">
        <v>1165207</v>
      </c>
      <c r="D29" s="144">
        <v>1165207</v>
      </c>
      <c r="E29" s="168">
        <f>D29-C29</f>
        <v>0</v>
      </c>
    </row>
    <row r="30" spans="2:5" s="58" customFormat="1" ht="16.5" customHeight="1">
      <c r="B30" s="102" t="s">
        <v>3</v>
      </c>
      <c r="C30" s="100">
        <f>SUM(C26:C29)</f>
        <v>12815928</v>
      </c>
      <c r="D30" s="100">
        <f>SUM(D26:D29)</f>
        <v>12815928</v>
      </c>
      <c r="E30" s="94">
        <f>D30-C30</f>
        <v>0</v>
      </c>
    </row>
    <row r="31" spans="1:5" s="58" customFormat="1" ht="16.5" customHeight="1">
      <c r="A31" s="59" t="s">
        <v>5</v>
      </c>
      <c r="B31" s="102" t="s">
        <v>82</v>
      </c>
      <c r="C31" s="94"/>
      <c r="D31" s="94"/>
      <c r="E31" s="94"/>
    </row>
    <row r="32" spans="1:5" s="95" customFormat="1" ht="16.5" customHeight="1">
      <c r="A32" s="25" t="s">
        <v>4</v>
      </c>
      <c r="B32" s="25" t="s">
        <v>232</v>
      </c>
      <c r="C32" s="98">
        <v>1478431</v>
      </c>
      <c r="D32" s="98">
        <v>1478431</v>
      </c>
      <c r="E32" s="494">
        <f>D32-C32</f>
        <v>0</v>
      </c>
    </row>
    <row r="33" spans="1:5" s="95" customFormat="1" ht="16.5" customHeight="1">
      <c r="A33" s="25" t="s">
        <v>5</v>
      </c>
      <c r="B33" s="25"/>
      <c r="C33" s="98"/>
      <c r="D33" s="98"/>
      <c r="E33" s="494">
        <f>D33-C33</f>
        <v>0</v>
      </c>
    </row>
    <row r="34" spans="2:5" s="58" customFormat="1" ht="16.5" customHeight="1">
      <c r="B34" s="59" t="s">
        <v>3</v>
      </c>
      <c r="C34" s="100">
        <f>SUM(C32:C33)</f>
        <v>1478431</v>
      </c>
      <c r="D34" s="100">
        <f>SUM(D32:D33)</f>
        <v>1478431</v>
      </c>
      <c r="E34" s="114">
        <f>D34-C34</f>
        <v>0</v>
      </c>
    </row>
    <row r="35" spans="2:5" s="58" customFormat="1" ht="16.5" customHeight="1">
      <c r="B35" s="58" t="s">
        <v>3</v>
      </c>
      <c r="C35" s="94">
        <f>C30+C34</f>
        <v>14294359</v>
      </c>
      <c r="D35" s="94">
        <f>D30+D34</f>
        <v>14294359</v>
      </c>
      <c r="E35" s="114">
        <f>D35-C35</f>
        <v>0</v>
      </c>
    </row>
    <row r="36" spans="2:5" s="58" customFormat="1" ht="16.5" customHeight="1">
      <c r="B36" s="111"/>
      <c r="C36" s="94"/>
      <c r="D36" s="94"/>
      <c r="E36" s="94"/>
    </row>
    <row r="37" spans="2:5" s="58" customFormat="1" ht="28.5" customHeight="1">
      <c r="B37" s="93" t="s">
        <v>84</v>
      </c>
      <c r="C37" s="94">
        <f>C13+C22+C35</f>
        <v>261355061</v>
      </c>
      <c r="D37" s="94">
        <f>D13+D22+D35</f>
        <v>375983050</v>
      </c>
      <c r="E37" s="114">
        <f>D37-C37</f>
        <v>114627989</v>
      </c>
    </row>
    <row r="38" spans="3:5" s="58" customFormat="1" ht="16.5" customHeight="1">
      <c r="C38" s="94"/>
      <c r="D38" s="94"/>
      <c r="E38" s="114"/>
    </row>
    <row r="39" spans="1:5" s="58" customFormat="1" ht="16.5" customHeight="1">
      <c r="A39" s="58" t="s">
        <v>13</v>
      </c>
      <c r="B39" s="111" t="s">
        <v>85</v>
      </c>
      <c r="C39" s="94"/>
      <c r="D39" s="94"/>
      <c r="E39" s="94"/>
    </row>
    <row r="40" spans="1:5" s="107" customFormat="1" ht="16.5" customHeight="1">
      <c r="A40" s="25">
        <v>1</v>
      </c>
      <c r="B40" s="25" t="s">
        <v>142</v>
      </c>
      <c r="C40" s="166">
        <v>5335793</v>
      </c>
      <c r="D40" s="166">
        <v>5335793</v>
      </c>
      <c r="E40" s="494">
        <f aca="true" t="shared" si="2" ref="E40:E54">D40-C40</f>
        <v>0</v>
      </c>
    </row>
    <row r="41" spans="1:5" s="107" customFormat="1" ht="16.5" customHeight="1">
      <c r="A41" s="25">
        <v>2</v>
      </c>
      <c r="B41" s="25" t="s">
        <v>242</v>
      </c>
      <c r="C41" s="98">
        <f>11022089-1379435</f>
        <v>9642654</v>
      </c>
      <c r="D41" s="98">
        <f>11022089-1379435-1676400+419581</f>
        <v>8385835</v>
      </c>
      <c r="E41" s="494">
        <f t="shared" si="2"/>
        <v>-1256819</v>
      </c>
    </row>
    <row r="42" spans="1:5" s="107" customFormat="1" ht="16.5" customHeight="1">
      <c r="A42" s="25">
        <v>3</v>
      </c>
      <c r="B42" s="25" t="s">
        <v>220</v>
      </c>
      <c r="C42" s="98">
        <f>11503990-2500000</f>
        <v>9003990</v>
      </c>
      <c r="D42" s="98">
        <f>11503990-2500000</f>
        <v>9003990</v>
      </c>
      <c r="E42" s="494">
        <f t="shared" si="2"/>
        <v>0</v>
      </c>
    </row>
    <row r="43" spans="1:5" s="107" customFormat="1" ht="16.5" customHeight="1">
      <c r="A43" s="167">
        <v>4</v>
      </c>
      <c r="B43" s="167" t="s">
        <v>210</v>
      </c>
      <c r="C43" s="168">
        <v>72619772</v>
      </c>
      <c r="D43" s="168">
        <v>72619772</v>
      </c>
      <c r="E43" s="495">
        <f t="shared" si="2"/>
        <v>0</v>
      </c>
    </row>
    <row r="44" spans="1:5" s="107" customFormat="1" ht="16.5" customHeight="1">
      <c r="A44" s="25">
        <v>5</v>
      </c>
      <c r="B44" s="25" t="s">
        <v>211</v>
      </c>
      <c r="C44" s="98">
        <v>14000000</v>
      </c>
      <c r="D44" s="98">
        <v>14000000</v>
      </c>
      <c r="E44" s="494">
        <f t="shared" si="2"/>
        <v>0</v>
      </c>
    </row>
    <row r="45" spans="1:5" s="107" customFormat="1" ht="16.5" customHeight="1">
      <c r="A45" s="25">
        <v>6</v>
      </c>
      <c r="B45" s="25" t="s">
        <v>194</v>
      </c>
      <c r="C45" s="98">
        <v>285303085</v>
      </c>
      <c r="D45" s="98">
        <v>285303085</v>
      </c>
      <c r="E45" s="494">
        <f t="shared" si="2"/>
        <v>0</v>
      </c>
    </row>
    <row r="46" spans="1:5" s="107" customFormat="1" ht="16.5" customHeight="1">
      <c r="A46" s="25">
        <v>7</v>
      </c>
      <c r="B46" s="25" t="s">
        <v>195</v>
      </c>
      <c r="C46" s="98">
        <f>137437852-2917000</f>
        <v>134520852</v>
      </c>
      <c r="D46" s="98">
        <f>137437852-2917000</f>
        <v>134520852</v>
      </c>
      <c r="E46" s="494">
        <f t="shared" si="2"/>
        <v>0</v>
      </c>
    </row>
    <row r="47" spans="1:5" s="107" customFormat="1" ht="16.5" customHeight="1">
      <c r="A47" s="25">
        <v>8</v>
      </c>
      <c r="B47" s="25" t="s">
        <v>196</v>
      </c>
      <c r="C47" s="98">
        <v>276033587</v>
      </c>
      <c r="D47" s="98">
        <v>276033587</v>
      </c>
      <c r="E47" s="494">
        <f t="shared" si="2"/>
        <v>0</v>
      </c>
    </row>
    <row r="48" spans="1:5" s="107" customFormat="1" ht="16.5" customHeight="1">
      <c r="A48" s="25">
        <v>9</v>
      </c>
      <c r="B48" s="25" t="s">
        <v>197</v>
      </c>
      <c r="C48" s="98">
        <v>5795748</v>
      </c>
      <c r="D48" s="98">
        <v>5795748</v>
      </c>
      <c r="E48" s="494">
        <f t="shared" si="2"/>
        <v>0</v>
      </c>
    </row>
    <row r="49" spans="1:5" s="107" customFormat="1" ht="16.5" customHeight="1">
      <c r="A49" s="25">
        <v>10</v>
      </c>
      <c r="B49" s="25" t="s">
        <v>198</v>
      </c>
      <c r="C49" s="98">
        <v>98529302</v>
      </c>
      <c r="D49" s="98">
        <v>98529302</v>
      </c>
      <c r="E49" s="494">
        <f t="shared" si="2"/>
        <v>0</v>
      </c>
    </row>
    <row r="50" spans="1:5" s="107" customFormat="1" ht="16.5" customHeight="1">
      <c r="A50" s="25">
        <v>11</v>
      </c>
      <c r="B50" s="25" t="s">
        <v>199</v>
      </c>
      <c r="C50" s="98">
        <f>81319020-1385400</f>
        <v>79933620</v>
      </c>
      <c r="D50" s="98">
        <f>81319020-1385400</f>
        <v>79933620</v>
      </c>
      <c r="E50" s="494">
        <f t="shared" si="2"/>
        <v>0</v>
      </c>
    </row>
    <row r="51" spans="1:5" s="107" customFormat="1" ht="16.5" customHeight="1">
      <c r="A51" s="25">
        <v>12</v>
      </c>
      <c r="B51" s="25" t="s">
        <v>200</v>
      </c>
      <c r="C51" s="98">
        <f>55918496-715000</f>
        <v>55203496</v>
      </c>
      <c r="D51" s="98">
        <f>55918496-715000</f>
        <v>55203496</v>
      </c>
      <c r="E51" s="494">
        <f t="shared" si="2"/>
        <v>0</v>
      </c>
    </row>
    <row r="52" spans="1:5" s="107" customFormat="1" ht="16.5" customHeight="1">
      <c r="A52" s="25">
        <v>13</v>
      </c>
      <c r="B52" s="25" t="s">
        <v>201</v>
      </c>
      <c r="C52" s="98">
        <v>9689915</v>
      </c>
      <c r="D52" s="98">
        <v>9689915</v>
      </c>
      <c r="E52" s="494">
        <f t="shared" si="2"/>
        <v>0</v>
      </c>
    </row>
    <row r="53" spans="1:5" s="107" customFormat="1" ht="16.5" customHeight="1">
      <c r="A53" s="25">
        <v>14</v>
      </c>
      <c r="B53" s="165" t="s">
        <v>212</v>
      </c>
      <c r="C53" s="98">
        <v>85119976</v>
      </c>
      <c r="D53" s="98">
        <v>85119976</v>
      </c>
      <c r="E53" s="494">
        <f t="shared" si="2"/>
        <v>0</v>
      </c>
    </row>
    <row r="54" spans="2:5" s="58" customFormat="1" ht="16.5" customHeight="1">
      <c r="B54" s="102" t="s">
        <v>3</v>
      </c>
      <c r="C54" s="100">
        <f>SUM(C40:C53)</f>
        <v>1140731790</v>
      </c>
      <c r="D54" s="100">
        <f>SUM(D40:D53)</f>
        <v>1139474971</v>
      </c>
      <c r="E54" s="94">
        <f t="shared" si="2"/>
        <v>-1256819</v>
      </c>
    </row>
    <row r="55" spans="3:5" s="95" customFormat="1" ht="16.5" customHeight="1">
      <c r="C55" s="115"/>
      <c r="D55" s="115"/>
      <c r="E55" s="115"/>
    </row>
    <row r="56" spans="2:5" s="58" customFormat="1" ht="16.5" customHeight="1">
      <c r="B56" s="111" t="s">
        <v>86</v>
      </c>
      <c r="C56" s="94">
        <f>C54</f>
        <v>1140731790</v>
      </c>
      <c r="D56" s="94">
        <f>D54</f>
        <v>1139474971</v>
      </c>
      <c r="E56" s="94">
        <f>D56-C56</f>
        <v>-1256819</v>
      </c>
    </row>
    <row r="57" spans="2:5" s="58" customFormat="1" ht="16.5" customHeight="1">
      <c r="B57" s="111"/>
      <c r="C57" s="94"/>
      <c r="D57" s="94"/>
      <c r="E57" s="94"/>
    </row>
    <row r="58" spans="2:5" s="95" customFormat="1" ht="16.5" customHeight="1">
      <c r="B58" s="58" t="s">
        <v>14</v>
      </c>
      <c r="C58" s="114">
        <f>C37+C56</f>
        <v>1402086851</v>
      </c>
      <c r="D58" s="114">
        <f>D37+D56</f>
        <v>1515458021</v>
      </c>
      <c r="E58" s="115">
        <f>D58-C58</f>
        <v>113371170</v>
      </c>
    </row>
    <row r="59" spans="2:5" s="95" customFormat="1" ht="16.5" customHeight="1">
      <c r="B59" s="58" t="s">
        <v>45</v>
      </c>
      <c r="C59" s="115"/>
      <c r="D59" s="115"/>
      <c r="E59" s="115"/>
    </row>
    <row r="60" spans="2:5" s="95" customFormat="1" ht="16.5" customHeight="1">
      <c r="B60" s="108" t="s">
        <v>46</v>
      </c>
      <c r="C60" s="116">
        <f>C58-C61</f>
        <v>1282738867</v>
      </c>
      <c r="D60" s="116">
        <f>D58-D61</f>
        <v>1259494594</v>
      </c>
      <c r="E60" s="494">
        <f>D60-C60</f>
        <v>-23244273</v>
      </c>
    </row>
    <row r="61" spans="2:6" s="95" customFormat="1" ht="16.5" customHeight="1">
      <c r="B61" s="151" t="s">
        <v>44</v>
      </c>
      <c r="C61" s="148">
        <f>C29+C28+C27+C21+C18+C43+C19+C20</f>
        <v>119347984</v>
      </c>
      <c r="D61" s="148">
        <f>D29+D28+D27+D21+D18+D43+D19+D20</f>
        <v>255963427</v>
      </c>
      <c r="E61" s="495">
        <f>D61-C61</f>
        <v>136615443</v>
      </c>
      <c r="F61" s="95" t="s">
        <v>269</v>
      </c>
    </row>
    <row r="62" spans="3:5" s="95" customFormat="1" ht="12.75">
      <c r="C62" s="115"/>
      <c r="D62" s="115"/>
      <c r="E62" s="115"/>
    </row>
    <row r="64" spans="3:4" ht="12.75">
      <c r="C64" s="141"/>
      <c r="D64" s="141"/>
    </row>
  </sheetData>
  <sheetProtection/>
  <mergeCells count="3">
    <mergeCell ref="A2:C2"/>
    <mergeCell ref="A4:E4"/>
    <mergeCell ref="A5:E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5.25390625" style="0" customWidth="1"/>
    <col min="4" max="4" width="15.625" style="0" customWidth="1"/>
    <col min="5" max="5" width="10.875" style="0" bestFit="1" customWidth="1"/>
    <col min="6" max="6" width="5.625" style="0" customWidth="1"/>
  </cols>
  <sheetData>
    <row r="1" ht="13.5">
      <c r="A1" s="85" t="s">
        <v>323</v>
      </c>
    </row>
    <row r="2" spans="1:3" s="2" customFormat="1" ht="13.5" customHeight="1">
      <c r="A2" s="558" t="s">
        <v>272</v>
      </c>
      <c r="B2" s="558"/>
      <c r="C2" s="558"/>
    </row>
    <row r="3" spans="1:5" s="2" customFormat="1" ht="15" customHeight="1">
      <c r="A3" s="559" t="s">
        <v>179</v>
      </c>
      <c r="B3" s="559"/>
      <c r="C3" s="559"/>
      <c r="D3" s="559"/>
      <c r="E3" s="559"/>
    </row>
    <row r="4" spans="1:5" s="2" customFormat="1" ht="48" customHeight="1">
      <c r="A4" s="1"/>
      <c r="B4" s="1"/>
      <c r="C4" s="181" t="s">
        <v>246</v>
      </c>
      <c r="D4" s="181" t="s">
        <v>304</v>
      </c>
      <c r="E4" s="181" t="s">
        <v>262</v>
      </c>
    </row>
    <row r="5" spans="1:5" s="95" customFormat="1" ht="13.5" customHeight="1">
      <c r="A5" s="58" t="s">
        <v>1</v>
      </c>
      <c r="B5" s="93" t="s">
        <v>70</v>
      </c>
      <c r="C5" s="94"/>
      <c r="D5" s="94"/>
      <c r="E5" s="109"/>
    </row>
    <row r="6" spans="1:5" s="97" customFormat="1" ht="16.5" customHeight="1">
      <c r="A6" s="498">
        <v>1</v>
      </c>
      <c r="B6" s="499" t="s">
        <v>22</v>
      </c>
      <c r="C6" s="500">
        <v>6000000</v>
      </c>
      <c r="D6" s="500">
        <v>6000000</v>
      </c>
      <c r="E6" s="512">
        <f aca="true" t="shared" si="0" ref="E6:E37">D6-C6</f>
        <v>0</v>
      </c>
    </row>
    <row r="7" spans="1:5" s="97" customFormat="1" ht="16.5" customHeight="1">
      <c r="A7" s="498">
        <v>2</v>
      </c>
      <c r="B7" s="499" t="s">
        <v>20</v>
      </c>
      <c r="C7" s="500">
        <f>5000000+707390</f>
        <v>5707390</v>
      </c>
      <c r="D7" s="500">
        <f>5000000+707390-2866390</f>
        <v>2841000</v>
      </c>
      <c r="E7" s="166">
        <f t="shared" si="0"/>
        <v>-2866390</v>
      </c>
    </row>
    <row r="8" spans="1:5" s="97" customFormat="1" ht="16.5" customHeight="1">
      <c r="A8" s="498">
        <v>3</v>
      </c>
      <c r="B8" s="501" t="s">
        <v>125</v>
      </c>
      <c r="C8" s="166">
        <v>3000000</v>
      </c>
      <c r="D8" s="166">
        <v>3000000</v>
      </c>
      <c r="E8" s="512">
        <f t="shared" si="0"/>
        <v>0</v>
      </c>
    </row>
    <row r="9" spans="1:5" s="96" customFormat="1" ht="16.5" customHeight="1">
      <c r="A9" s="498">
        <v>4</v>
      </c>
      <c r="B9" s="501" t="s">
        <v>61</v>
      </c>
      <c r="C9" s="166">
        <v>5000000</v>
      </c>
      <c r="D9" s="166">
        <v>5000000</v>
      </c>
      <c r="E9" s="166">
        <f t="shared" si="0"/>
        <v>0</v>
      </c>
    </row>
    <row r="10" spans="1:5" s="96" customFormat="1" ht="15" customHeight="1">
      <c r="A10" s="498">
        <v>5</v>
      </c>
      <c r="B10" s="502" t="s">
        <v>191</v>
      </c>
      <c r="C10" s="166">
        <v>2500000</v>
      </c>
      <c r="D10" s="166">
        <v>2500000</v>
      </c>
      <c r="E10" s="166">
        <f t="shared" si="0"/>
        <v>0</v>
      </c>
    </row>
    <row r="11" spans="1:5" s="96" customFormat="1" ht="16.5" customHeight="1">
      <c r="A11" s="498">
        <v>6</v>
      </c>
      <c r="B11" s="502" t="s">
        <v>192</v>
      </c>
      <c r="C11" s="166">
        <v>14000000</v>
      </c>
      <c r="D11" s="166">
        <v>14000000</v>
      </c>
      <c r="E11" s="166">
        <f t="shared" si="0"/>
        <v>0</v>
      </c>
    </row>
    <row r="12" spans="1:5" s="96" customFormat="1" ht="16.5" customHeight="1">
      <c r="A12" s="498">
        <v>7</v>
      </c>
      <c r="B12" s="503" t="s">
        <v>186</v>
      </c>
      <c r="C12" s="504">
        <v>1000000</v>
      </c>
      <c r="D12" s="504">
        <v>1000000</v>
      </c>
      <c r="E12" s="166">
        <f t="shared" si="0"/>
        <v>0</v>
      </c>
    </row>
    <row r="13" spans="1:5" s="96" customFormat="1" ht="17.25" customHeight="1">
      <c r="A13" s="498">
        <v>8</v>
      </c>
      <c r="B13" s="505" t="s">
        <v>193</v>
      </c>
      <c r="C13" s="166">
        <v>6000000</v>
      </c>
      <c r="D13" s="166">
        <v>6000000</v>
      </c>
      <c r="E13" s="166">
        <f t="shared" si="0"/>
        <v>0</v>
      </c>
    </row>
    <row r="14" spans="1:5" s="96" customFormat="1" ht="15" customHeight="1">
      <c r="A14" s="498">
        <v>9</v>
      </c>
      <c r="B14" s="501" t="s">
        <v>207</v>
      </c>
      <c r="C14" s="166">
        <v>5847125</v>
      </c>
      <c r="D14" s="166">
        <v>5847125</v>
      </c>
      <c r="E14" s="166">
        <f t="shared" si="0"/>
        <v>0</v>
      </c>
    </row>
    <row r="15" spans="1:5" s="96" customFormat="1" ht="15" customHeight="1">
      <c r="A15" s="498">
        <v>10</v>
      </c>
      <c r="B15" s="503" t="s">
        <v>194</v>
      </c>
      <c r="C15" s="504">
        <v>285303085</v>
      </c>
      <c r="D15" s="504">
        <f>285303085-5840698</f>
        <v>279462387</v>
      </c>
      <c r="E15" s="166">
        <f t="shared" si="0"/>
        <v>-5840698</v>
      </c>
    </row>
    <row r="16" spans="1:5" s="96" customFormat="1" ht="15" customHeight="1">
      <c r="A16" s="498">
        <v>11</v>
      </c>
      <c r="B16" s="503" t="s">
        <v>195</v>
      </c>
      <c r="C16" s="504">
        <f>137437852-2917000</f>
        <v>134520852</v>
      </c>
      <c r="D16" s="504">
        <f>137437852-2917000-1815996</f>
        <v>132704856</v>
      </c>
      <c r="E16" s="166">
        <f t="shared" si="0"/>
        <v>-1815996</v>
      </c>
    </row>
    <row r="17" spans="1:5" s="96" customFormat="1" ht="15.75" customHeight="1">
      <c r="A17" s="498">
        <v>12</v>
      </c>
      <c r="B17" s="503" t="s">
        <v>196</v>
      </c>
      <c r="C17" s="504">
        <v>276033587</v>
      </c>
      <c r="D17" s="504">
        <f>276033587-4362988</f>
        <v>271670599</v>
      </c>
      <c r="E17" s="166">
        <f t="shared" si="0"/>
        <v>-4362988</v>
      </c>
    </row>
    <row r="18" spans="1:5" s="96" customFormat="1" ht="15.75" customHeight="1">
      <c r="A18" s="498">
        <v>13</v>
      </c>
      <c r="B18" s="503" t="s">
        <v>197</v>
      </c>
      <c r="C18" s="504">
        <v>5795748</v>
      </c>
      <c r="D18" s="504">
        <f>5795748-2247900</f>
        <v>3547848</v>
      </c>
      <c r="E18" s="166">
        <f t="shared" si="0"/>
        <v>-2247900</v>
      </c>
    </row>
    <row r="19" spans="1:5" s="96" customFormat="1" ht="12.75">
      <c r="A19" s="498">
        <v>14</v>
      </c>
      <c r="B19" s="503" t="s">
        <v>198</v>
      </c>
      <c r="C19" s="504">
        <v>98529302</v>
      </c>
      <c r="D19" s="504">
        <f>98529302-405000</f>
        <v>98124302</v>
      </c>
      <c r="E19" s="166">
        <f t="shared" si="0"/>
        <v>-405000</v>
      </c>
    </row>
    <row r="20" spans="1:5" s="96" customFormat="1" ht="12.75">
      <c r="A20" s="498">
        <v>15</v>
      </c>
      <c r="B20" s="503" t="s">
        <v>199</v>
      </c>
      <c r="C20" s="504">
        <f>81319020-1385400</f>
        <v>79933620</v>
      </c>
      <c r="D20" s="504">
        <f>81319020-1385400-1766219</f>
        <v>78167401</v>
      </c>
      <c r="E20" s="166">
        <f t="shared" si="0"/>
        <v>-1766219</v>
      </c>
    </row>
    <row r="21" spans="1:5" s="96" customFormat="1" ht="12.75">
      <c r="A21" s="498">
        <v>16</v>
      </c>
      <c r="B21" s="503" t="s">
        <v>200</v>
      </c>
      <c r="C21" s="504">
        <f>55918496-715000</f>
        <v>55203496</v>
      </c>
      <c r="D21" s="504">
        <f>55918496-715000+8000000+10041376-1436293</f>
        <v>71808579</v>
      </c>
      <c r="E21" s="166">
        <f t="shared" si="0"/>
        <v>16605083</v>
      </c>
    </row>
    <row r="22" spans="1:5" s="96" customFormat="1" ht="14.25" customHeight="1">
      <c r="A22" s="498">
        <v>17</v>
      </c>
      <c r="B22" s="503" t="s">
        <v>201</v>
      </c>
      <c r="C22" s="504">
        <v>9689915</v>
      </c>
      <c r="D22" s="504">
        <v>9689915</v>
      </c>
      <c r="E22" s="166">
        <f t="shared" si="0"/>
        <v>0</v>
      </c>
    </row>
    <row r="23" spans="1:5" s="96" customFormat="1" ht="13.5" customHeight="1">
      <c r="A23" s="498">
        <v>18</v>
      </c>
      <c r="B23" s="506" t="s">
        <v>221</v>
      </c>
      <c r="C23" s="507">
        <f>11503990-2500000</f>
        <v>9003990</v>
      </c>
      <c r="D23" s="507">
        <f>11503990-2500000</f>
        <v>9003990</v>
      </c>
      <c r="E23" s="166">
        <f t="shared" si="0"/>
        <v>0</v>
      </c>
    </row>
    <row r="24" spans="1:5" s="96" customFormat="1" ht="13.5" customHeight="1">
      <c r="A24" s="498">
        <v>19</v>
      </c>
      <c r="B24" s="506" t="s">
        <v>223</v>
      </c>
      <c r="C24" s="507">
        <f>11153745+4430631-1379435-850000</f>
        <v>13354941</v>
      </c>
      <c r="D24" s="507">
        <f>11153745+4430631-1379435-850000-10041376+10000000</f>
        <v>13313565</v>
      </c>
      <c r="E24" s="166">
        <f t="shared" si="0"/>
        <v>-41376</v>
      </c>
    </row>
    <row r="25" spans="1:5" s="96" customFormat="1" ht="14.25" customHeight="1">
      <c r="A25" s="498">
        <v>20</v>
      </c>
      <c r="B25" s="506" t="s">
        <v>244</v>
      </c>
      <c r="C25" s="507">
        <v>8000000</v>
      </c>
      <c r="D25" s="507">
        <f>8000000-8000000</f>
        <v>0</v>
      </c>
      <c r="E25" s="166">
        <f t="shared" si="0"/>
        <v>-8000000</v>
      </c>
    </row>
    <row r="26" spans="1:5" s="96" customFormat="1" ht="14.25" customHeight="1">
      <c r="A26" s="498">
        <v>21</v>
      </c>
      <c r="B26" s="506" t="s">
        <v>239</v>
      </c>
      <c r="C26" s="507">
        <v>4800000</v>
      </c>
      <c r="D26" s="507">
        <v>4800000</v>
      </c>
      <c r="E26" s="166">
        <f t="shared" si="0"/>
        <v>0</v>
      </c>
    </row>
    <row r="27" spans="1:5" s="96" customFormat="1" ht="14.25" customHeight="1">
      <c r="A27" s="498">
        <v>22</v>
      </c>
      <c r="B27" s="503" t="s">
        <v>187</v>
      </c>
      <c r="C27" s="507">
        <v>1790065</v>
      </c>
      <c r="D27" s="507">
        <v>1790065</v>
      </c>
      <c r="E27" s="166">
        <f t="shared" si="0"/>
        <v>0</v>
      </c>
    </row>
    <row r="28" spans="1:5" s="96" customFormat="1" ht="14.25" customHeight="1">
      <c r="A28" s="498">
        <v>23</v>
      </c>
      <c r="B28" s="503" t="s">
        <v>235</v>
      </c>
      <c r="C28" s="507">
        <v>850000</v>
      </c>
      <c r="D28" s="507">
        <v>850000</v>
      </c>
      <c r="E28" s="166">
        <f t="shared" si="0"/>
        <v>0</v>
      </c>
    </row>
    <row r="29" spans="1:5" s="96" customFormat="1" ht="14.25" customHeight="1">
      <c r="A29" s="498">
        <v>24</v>
      </c>
      <c r="B29" s="503" t="s">
        <v>180</v>
      </c>
      <c r="C29" s="507">
        <v>8000000</v>
      </c>
      <c r="D29" s="507">
        <f>8000000</f>
        <v>8000000</v>
      </c>
      <c r="E29" s="166">
        <f t="shared" si="0"/>
        <v>0</v>
      </c>
    </row>
    <row r="30" spans="1:5" s="96" customFormat="1" ht="14.25" customHeight="1">
      <c r="A30" s="498">
        <v>25</v>
      </c>
      <c r="B30" s="506" t="s">
        <v>233</v>
      </c>
      <c r="C30" s="507">
        <v>1478431</v>
      </c>
      <c r="D30" s="507">
        <v>1478431</v>
      </c>
      <c r="E30" s="166">
        <f t="shared" si="0"/>
        <v>0</v>
      </c>
    </row>
    <row r="31" spans="1:5" s="96" customFormat="1" ht="14.25" customHeight="1">
      <c r="A31" s="498">
        <v>26</v>
      </c>
      <c r="B31" s="506" t="s">
        <v>144</v>
      </c>
      <c r="C31" s="507">
        <v>1000000</v>
      </c>
      <c r="D31" s="507">
        <v>1000000</v>
      </c>
      <c r="E31" s="166">
        <f t="shared" si="0"/>
        <v>0</v>
      </c>
    </row>
    <row r="32" spans="1:5" s="96" customFormat="1" ht="26.25" customHeight="1">
      <c r="A32" s="498">
        <v>27</v>
      </c>
      <c r="B32" s="503" t="s">
        <v>213</v>
      </c>
      <c r="C32" s="507">
        <v>254000</v>
      </c>
      <c r="D32" s="507">
        <v>254000</v>
      </c>
      <c r="E32" s="166">
        <f t="shared" si="0"/>
        <v>0</v>
      </c>
    </row>
    <row r="33" spans="1:5" s="96" customFormat="1" ht="14.25" customHeight="1">
      <c r="A33" s="498">
        <v>28</v>
      </c>
      <c r="B33" s="506" t="s">
        <v>145</v>
      </c>
      <c r="C33" s="507">
        <v>2000000</v>
      </c>
      <c r="D33" s="507">
        <v>2000000</v>
      </c>
      <c r="E33" s="166">
        <f t="shared" si="0"/>
        <v>0</v>
      </c>
    </row>
    <row r="34" spans="1:5" s="96" customFormat="1" ht="14.25" customHeight="1">
      <c r="A34" s="498">
        <v>29</v>
      </c>
      <c r="B34" s="506" t="s">
        <v>224</v>
      </c>
      <c r="C34" s="507">
        <v>890000</v>
      </c>
      <c r="D34" s="507">
        <v>890000</v>
      </c>
      <c r="E34" s="166">
        <f t="shared" si="0"/>
        <v>0</v>
      </c>
    </row>
    <row r="35" spans="1:5" s="96" customFormat="1" ht="14.25" customHeight="1">
      <c r="A35" s="498">
        <v>30</v>
      </c>
      <c r="B35" s="506" t="s">
        <v>225</v>
      </c>
      <c r="C35" s="507">
        <v>550000</v>
      </c>
      <c r="D35" s="507">
        <v>550000</v>
      </c>
      <c r="E35" s="166">
        <f t="shared" si="0"/>
        <v>0</v>
      </c>
    </row>
    <row r="36" spans="1:5" s="96" customFormat="1" ht="14.25" customHeight="1">
      <c r="A36" s="498">
        <v>31</v>
      </c>
      <c r="B36" s="506" t="s">
        <v>226</v>
      </c>
      <c r="C36" s="507">
        <v>150000</v>
      </c>
      <c r="D36" s="507">
        <v>150000</v>
      </c>
      <c r="E36" s="166">
        <f t="shared" si="0"/>
        <v>0</v>
      </c>
    </row>
    <row r="37" spans="1:5" s="96" customFormat="1" ht="14.25" customHeight="1">
      <c r="A37" s="498">
        <v>32</v>
      </c>
      <c r="B37" s="506" t="s">
        <v>227</v>
      </c>
      <c r="C37" s="507">
        <v>1000000</v>
      </c>
      <c r="D37" s="507">
        <v>1000000</v>
      </c>
      <c r="E37" s="166">
        <f t="shared" si="0"/>
        <v>0</v>
      </c>
    </row>
    <row r="38" spans="1:5" s="96" customFormat="1" ht="14.25" customHeight="1">
      <c r="A38" s="498">
        <v>33</v>
      </c>
      <c r="B38" s="506" t="s">
        <v>228</v>
      </c>
      <c r="C38" s="507">
        <v>200000</v>
      </c>
      <c r="D38" s="507">
        <v>200000</v>
      </c>
      <c r="E38" s="166">
        <f aca="true" t="shared" si="1" ref="E38:E69">D38-C38</f>
        <v>0</v>
      </c>
    </row>
    <row r="39" spans="1:5" s="96" customFormat="1" ht="15" customHeight="1">
      <c r="A39" s="161">
        <v>34</v>
      </c>
      <c r="B39" s="162" t="s">
        <v>222</v>
      </c>
      <c r="C39" s="163">
        <v>3000000</v>
      </c>
      <c r="D39" s="163">
        <v>3000000</v>
      </c>
      <c r="E39" s="168">
        <f t="shared" si="1"/>
        <v>0</v>
      </c>
    </row>
    <row r="40" spans="1:5" s="96" customFormat="1" ht="15" customHeight="1">
      <c r="A40" s="161">
        <v>35</v>
      </c>
      <c r="B40" s="171" t="s">
        <v>204</v>
      </c>
      <c r="C40" s="163">
        <v>12000000</v>
      </c>
      <c r="D40" s="163">
        <v>12000000</v>
      </c>
      <c r="E40" s="168">
        <f t="shared" si="1"/>
        <v>0</v>
      </c>
    </row>
    <row r="41" spans="1:5" s="96" customFormat="1" ht="15" customHeight="1">
      <c r="A41" s="161">
        <v>36</v>
      </c>
      <c r="B41" s="162" t="s">
        <v>143</v>
      </c>
      <c r="C41" s="163">
        <v>72619772</v>
      </c>
      <c r="D41" s="163">
        <v>72619772</v>
      </c>
      <c r="E41" s="168">
        <f t="shared" si="1"/>
        <v>0</v>
      </c>
    </row>
    <row r="42" spans="1:5" s="96" customFormat="1" ht="15" customHeight="1">
      <c r="A42" s="161">
        <v>37</v>
      </c>
      <c r="B42" s="162" t="s">
        <v>305</v>
      </c>
      <c r="C42" s="163">
        <v>85750000</v>
      </c>
      <c r="D42" s="163">
        <f>85750000+3095865-550000-3464566-935434-670000</f>
        <v>83225865</v>
      </c>
      <c r="E42" s="168">
        <f t="shared" si="1"/>
        <v>-2524135</v>
      </c>
    </row>
    <row r="43" spans="1:5" s="96" customFormat="1" ht="16.5" customHeight="1">
      <c r="A43" s="161">
        <v>38</v>
      </c>
      <c r="B43" s="162" t="s">
        <v>216</v>
      </c>
      <c r="C43" s="163">
        <v>22876000</v>
      </c>
      <c r="D43" s="163">
        <f>22876000-3095865</f>
        <v>19780135</v>
      </c>
      <c r="E43" s="168">
        <f t="shared" si="1"/>
        <v>-3095865</v>
      </c>
    </row>
    <row r="44" spans="1:5" s="96" customFormat="1" ht="16.5" customHeight="1">
      <c r="A44" s="161">
        <v>39</v>
      </c>
      <c r="B44" s="143" t="s">
        <v>151</v>
      </c>
      <c r="C44" s="144">
        <v>16300000</v>
      </c>
      <c r="D44" s="144">
        <f>16300000-926619-2650000</f>
        <v>12723381</v>
      </c>
      <c r="E44" s="168">
        <f t="shared" si="1"/>
        <v>-3576619</v>
      </c>
    </row>
    <row r="45" spans="1:5" s="96" customFormat="1" ht="26.25" customHeight="1">
      <c r="A45" s="161">
        <v>40</v>
      </c>
      <c r="B45" s="143" t="s">
        <v>152</v>
      </c>
      <c r="C45" s="144">
        <v>3550000</v>
      </c>
      <c r="D45" s="144">
        <v>3550000</v>
      </c>
      <c r="E45" s="168">
        <f t="shared" si="1"/>
        <v>0</v>
      </c>
    </row>
    <row r="46" spans="1:5" s="96" customFormat="1" ht="26.25" customHeight="1">
      <c r="A46" s="161">
        <v>41</v>
      </c>
      <c r="B46" s="143" t="s">
        <v>153</v>
      </c>
      <c r="C46" s="144">
        <v>11000000</v>
      </c>
      <c r="D46" s="144">
        <v>11000000</v>
      </c>
      <c r="E46" s="168">
        <f t="shared" si="1"/>
        <v>0</v>
      </c>
    </row>
    <row r="47" spans="1:5" s="96" customFormat="1" ht="25.5" customHeight="1">
      <c r="A47" s="161">
        <v>42</v>
      </c>
      <c r="B47" s="143" t="s">
        <v>154</v>
      </c>
      <c r="C47" s="144">
        <v>2800000</v>
      </c>
      <c r="D47" s="144">
        <v>2800000</v>
      </c>
      <c r="E47" s="168">
        <f t="shared" si="1"/>
        <v>0</v>
      </c>
    </row>
    <row r="48" spans="1:5" s="96" customFormat="1" ht="16.5" customHeight="1">
      <c r="A48" s="161">
        <v>43</v>
      </c>
      <c r="B48" s="143" t="s">
        <v>155</v>
      </c>
      <c r="C48" s="144">
        <v>5300000</v>
      </c>
      <c r="D48" s="144">
        <f>5300000+926619</f>
        <v>6226619</v>
      </c>
      <c r="E48" s="168">
        <f t="shared" si="1"/>
        <v>926619</v>
      </c>
    </row>
    <row r="49" spans="1:5" s="96" customFormat="1" ht="16.5" customHeight="1">
      <c r="A49" s="161">
        <v>44</v>
      </c>
      <c r="B49" s="143" t="s">
        <v>202</v>
      </c>
      <c r="C49" s="144">
        <v>1750000</v>
      </c>
      <c r="D49" s="144">
        <v>1750000</v>
      </c>
      <c r="E49" s="168">
        <f t="shared" si="1"/>
        <v>0</v>
      </c>
    </row>
    <row r="50" spans="1:5" s="96" customFormat="1" ht="16.5" customHeight="1">
      <c r="A50" s="161">
        <v>45</v>
      </c>
      <c r="B50" s="143" t="s">
        <v>203</v>
      </c>
      <c r="C50" s="144">
        <v>900000</v>
      </c>
      <c r="D50" s="144">
        <v>900000</v>
      </c>
      <c r="E50" s="168">
        <f t="shared" si="1"/>
        <v>0</v>
      </c>
    </row>
    <row r="51" spans="1:5" s="96" customFormat="1" ht="16.5" customHeight="1">
      <c r="A51" s="172">
        <v>46</v>
      </c>
      <c r="B51" s="173" t="s">
        <v>249</v>
      </c>
      <c r="C51" s="174">
        <v>0</v>
      </c>
      <c r="D51" s="174">
        <v>1706450</v>
      </c>
      <c r="E51" s="174">
        <f t="shared" si="1"/>
        <v>1706450</v>
      </c>
    </row>
    <row r="52" spans="1:5" s="96" customFormat="1" ht="16.5" customHeight="1">
      <c r="A52" s="172">
        <v>47</v>
      </c>
      <c r="B52" s="173" t="s">
        <v>250</v>
      </c>
      <c r="C52" s="174">
        <v>0</v>
      </c>
      <c r="D52" s="174">
        <v>11200000</v>
      </c>
      <c r="E52" s="174">
        <f t="shared" si="1"/>
        <v>11200000</v>
      </c>
    </row>
    <row r="53" spans="1:5" s="96" customFormat="1" ht="16.5" customHeight="1">
      <c r="A53" s="172">
        <v>48</v>
      </c>
      <c r="B53" s="173" t="s">
        <v>251</v>
      </c>
      <c r="C53" s="174">
        <v>0</v>
      </c>
      <c r="D53" s="174">
        <v>2000000</v>
      </c>
      <c r="E53" s="174">
        <f t="shared" si="1"/>
        <v>2000000</v>
      </c>
    </row>
    <row r="54" spans="1:5" s="96" customFormat="1" ht="16.5" customHeight="1">
      <c r="A54" s="172">
        <v>49</v>
      </c>
      <c r="B54" s="173" t="s">
        <v>252</v>
      </c>
      <c r="C54" s="174">
        <v>0</v>
      </c>
      <c r="D54" s="174">
        <v>2538938</v>
      </c>
      <c r="E54" s="174">
        <f t="shared" si="1"/>
        <v>2538938</v>
      </c>
    </row>
    <row r="55" spans="1:5" s="96" customFormat="1" ht="16.5" customHeight="1">
      <c r="A55" s="172">
        <v>50</v>
      </c>
      <c r="B55" s="173" t="s">
        <v>253</v>
      </c>
      <c r="C55" s="174">
        <v>0</v>
      </c>
      <c r="D55" s="174">
        <v>7200000</v>
      </c>
      <c r="E55" s="174">
        <f t="shared" si="1"/>
        <v>7200000</v>
      </c>
    </row>
    <row r="56" spans="1:5" s="96" customFormat="1" ht="16.5" customHeight="1">
      <c r="A56" s="172">
        <v>51</v>
      </c>
      <c r="B56" s="173" t="s">
        <v>254</v>
      </c>
      <c r="C56" s="174">
        <v>0</v>
      </c>
      <c r="D56" s="174">
        <v>600000</v>
      </c>
      <c r="E56" s="174">
        <f t="shared" si="1"/>
        <v>600000</v>
      </c>
    </row>
    <row r="57" spans="1:5" s="96" customFormat="1" ht="16.5" customHeight="1">
      <c r="A57" s="172">
        <v>52</v>
      </c>
      <c r="B57" s="173" t="s">
        <v>256</v>
      </c>
      <c r="C57" s="174">
        <v>0</v>
      </c>
      <c r="D57" s="174">
        <v>200000</v>
      </c>
      <c r="E57" s="174">
        <f t="shared" si="1"/>
        <v>200000</v>
      </c>
    </row>
    <row r="58" spans="1:5" s="96" customFormat="1" ht="16.5" customHeight="1">
      <c r="A58" s="172">
        <v>53</v>
      </c>
      <c r="B58" s="173" t="s">
        <v>259</v>
      </c>
      <c r="C58" s="174">
        <v>0</v>
      </c>
      <c r="D58" s="174">
        <v>3710686</v>
      </c>
      <c r="E58" s="174">
        <f t="shared" si="1"/>
        <v>3710686</v>
      </c>
    </row>
    <row r="59" spans="1:5" s="96" customFormat="1" ht="16.5" customHeight="1">
      <c r="A59" s="172">
        <v>54</v>
      </c>
      <c r="B59" s="173" t="s">
        <v>261</v>
      </c>
      <c r="C59" s="174">
        <v>0</v>
      </c>
      <c r="D59" s="174">
        <v>6847423</v>
      </c>
      <c r="E59" s="174">
        <f t="shared" si="1"/>
        <v>6847423</v>
      </c>
    </row>
    <row r="60" spans="1:5" s="96" customFormat="1" ht="16.5" customHeight="1">
      <c r="A60" s="496">
        <v>55</v>
      </c>
      <c r="B60" s="497" t="s">
        <v>307</v>
      </c>
      <c r="C60" s="166">
        <v>0</v>
      </c>
      <c r="D60" s="166">
        <v>189103</v>
      </c>
      <c r="E60" s="166">
        <f t="shared" si="1"/>
        <v>189103</v>
      </c>
    </row>
    <row r="61" spans="1:6" s="96" customFormat="1" ht="16.5" customHeight="1">
      <c r="A61" s="496">
        <v>56</v>
      </c>
      <c r="B61" s="497" t="s">
        <v>320</v>
      </c>
      <c r="C61" s="166">
        <v>0</v>
      </c>
      <c r="D61" s="166">
        <v>2000000</v>
      </c>
      <c r="E61" s="166">
        <f t="shared" si="1"/>
        <v>2000000</v>
      </c>
      <c r="F61" s="95"/>
    </row>
    <row r="62" spans="1:5" s="96" customFormat="1" ht="16.5" customHeight="1">
      <c r="A62" s="496">
        <v>57</v>
      </c>
      <c r="B62" s="497" t="s">
        <v>309</v>
      </c>
      <c r="C62" s="166">
        <v>0</v>
      </c>
      <c r="D62" s="166">
        <v>520000</v>
      </c>
      <c r="E62" s="166">
        <f t="shared" si="1"/>
        <v>520000</v>
      </c>
    </row>
    <row r="63" spans="1:6" s="96" customFormat="1" ht="16.5" customHeight="1">
      <c r="A63" s="496">
        <v>58</v>
      </c>
      <c r="B63" s="497" t="s">
        <v>321</v>
      </c>
      <c r="C63" s="166">
        <v>0</v>
      </c>
      <c r="D63" s="166">
        <v>670610</v>
      </c>
      <c r="E63" s="166">
        <f t="shared" si="1"/>
        <v>670610</v>
      </c>
      <c r="F63" s="95"/>
    </row>
    <row r="64" spans="1:5" s="96" customFormat="1" ht="16.5" customHeight="1">
      <c r="A64" s="496">
        <v>59</v>
      </c>
      <c r="B64" s="497" t="s">
        <v>311</v>
      </c>
      <c r="C64" s="166">
        <v>0</v>
      </c>
      <c r="D64" s="166">
        <v>1314900</v>
      </c>
      <c r="E64" s="166">
        <f t="shared" si="1"/>
        <v>1314900</v>
      </c>
    </row>
    <row r="65" spans="1:5" s="96" customFormat="1" ht="16.5" customHeight="1">
      <c r="A65" s="496">
        <v>60</v>
      </c>
      <c r="B65" s="497" t="s">
        <v>312</v>
      </c>
      <c r="C65" s="166">
        <v>0</v>
      </c>
      <c r="D65" s="166">
        <v>1779992</v>
      </c>
      <c r="E65" s="166">
        <f t="shared" si="1"/>
        <v>1779992</v>
      </c>
    </row>
    <row r="66" spans="1:5" s="96" customFormat="1" ht="16.5" customHeight="1">
      <c r="A66" s="496">
        <v>61</v>
      </c>
      <c r="B66" s="497" t="s">
        <v>314</v>
      </c>
      <c r="C66" s="166">
        <v>0</v>
      </c>
      <c r="D66" s="166">
        <f>20000000-1676400</f>
        <v>18323600</v>
      </c>
      <c r="E66" s="166">
        <f t="shared" si="1"/>
        <v>18323600</v>
      </c>
    </row>
    <row r="67" spans="1:5" s="96" customFormat="1" ht="16.5" customHeight="1">
      <c r="A67" s="496">
        <v>62</v>
      </c>
      <c r="B67" s="499" t="s">
        <v>322</v>
      </c>
      <c r="C67" s="166">
        <v>0</v>
      </c>
      <c r="D67" s="166">
        <v>-10398114</v>
      </c>
      <c r="E67" s="166">
        <f t="shared" si="1"/>
        <v>-10398114</v>
      </c>
    </row>
    <row r="68" spans="1:5" s="96" customFormat="1" ht="12.75">
      <c r="A68" s="27"/>
      <c r="B68" s="58" t="s">
        <v>3</v>
      </c>
      <c r="C68" s="99">
        <f>SUM(C6:C67)</f>
        <v>1285231319</v>
      </c>
      <c r="D68" s="99">
        <f>SUM(D6:D67)</f>
        <v>1316623423</v>
      </c>
      <c r="E68" s="94">
        <f t="shared" si="1"/>
        <v>31392104</v>
      </c>
    </row>
    <row r="69" spans="1:5" s="96" customFormat="1" ht="12.75">
      <c r="A69" s="27"/>
      <c r="B69" s="58"/>
      <c r="C69" s="99"/>
      <c r="D69" s="99"/>
      <c r="E69" s="109"/>
    </row>
    <row r="70" spans="1:5" s="96" customFormat="1" ht="12.75">
      <c r="A70" s="27"/>
      <c r="B70" s="58"/>
      <c r="C70" s="99"/>
      <c r="D70" s="99"/>
      <c r="E70" s="109"/>
    </row>
    <row r="71" spans="1:5" s="96" customFormat="1" ht="12.75">
      <c r="A71" s="27"/>
      <c r="B71" s="58"/>
      <c r="C71" s="99"/>
      <c r="D71" s="99"/>
      <c r="E71" s="109"/>
    </row>
    <row r="72" spans="1:5" s="96" customFormat="1" ht="12.75">
      <c r="A72" s="27"/>
      <c r="B72" s="58"/>
      <c r="C72" s="99"/>
      <c r="D72" s="99"/>
      <c r="E72" s="109"/>
    </row>
    <row r="73" spans="1:5" s="96" customFormat="1" ht="12.75">
      <c r="A73" s="27"/>
      <c r="B73" s="58"/>
      <c r="C73" s="99"/>
      <c r="D73" s="99"/>
      <c r="E73" s="109"/>
    </row>
    <row r="74" spans="1:5" s="97" customFormat="1" ht="15.75">
      <c r="A74" s="58" t="s">
        <v>2</v>
      </c>
      <c r="B74" s="58" t="s">
        <v>71</v>
      </c>
      <c r="C74" s="94"/>
      <c r="D74" s="94"/>
      <c r="E74" s="511"/>
    </row>
    <row r="75" spans="1:5" s="96" customFormat="1" ht="16.5" customHeight="1">
      <c r="A75" s="496">
        <v>1</v>
      </c>
      <c r="B75" s="499" t="s">
        <v>206</v>
      </c>
      <c r="C75" s="500">
        <v>85119976</v>
      </c>
      <c r="D75" s="500">
        <f>85119976-930000-100000</f>
        <v>84089976</v>
      </c>
      <c r="E75" s="166">
        <f aca="true" t="shared" si="2" ref="E75:E114">D75-C75</f>
        <v>-1030000</v>
      </c>
    </row>
    <row r="76" spans="1:5" s="96" customFormat="1" ht="16.5" customHeight="1">
      <c r="A76" s="496">
        <v>2</v>
      </c>
      <c r="B76" s="505" t="s">
        <v>146</v>
      </c>
      <c r="C76" s="500">
        <v>5335793</v>
      </c>
      <c r="D76" s="500">
        <v>5335793</v>
      </c>
      <c r="E76" s="166">
        <f t="shared" si="2"/>
        <v>0</v>
      </c>
    </row>
    <row r="77" spans="1:5" s="58" customFormat="1" ht="12.75">
      <c r="A77" s="496">
        <v>3</v>
      </c>
      <c r="B77" s="503" t="s">
        <v>219</v>
      </c>
      <c r="C77" s="507">
        <v>7500000</v>
      </c>
      <c r="D77" s="507">
        <v>7500000</v>
      </c>
      <c r="E77" s="166">
        <f t="shared" si="2"/>
        <v>0</v>
      </c>
    </row>
    <row r="78" spans="1:5" s="58" customFormat="1" ht="12.75">
      <c r="A78" s="496">
        <v>4</v>
      </c>
      <c r="B78" s="506" t="s">
        <v>240</v>
      </c>
      <c r="C78" s="507">
        <v>190500</v>
      </c>
      <c r="D78" s="507">
        <v>190500</v>
      </c>
      <c r="E78" s="166">
        <f t="shared" si="2"/>
        <v>0</v>
      </c>
    </row>
    <row r="79" spans="1:5" s="58" customFormat="1" ht="12.75">
      <c r="A79" s="496">
        <v>5</v>
      </c>
      <c r="B79" s="506" t="s">
        <v>245</v>
      </c>
      <c r="C79" s="507">
        <v>381000</v>
      </c>
      <c r="D79" s="507">
        <v>381000</v>
      </c>
      <c r="E79" s="166">
        <f t="shared" si="2"/>
        <v>0</v>
      </c>
    </row>
    <row r="80" spans="1:5" s="58" customFormat="1" ht="12.75">
      <c r="A80" s="496">
        <v>6</v>
      </c>
      <c r="B80" s="506" t="s">
        <v>241</v>
      </c>
      <c r="C80" s="507">
        <v>127000</v>
      </c>
      <c r="D80" s="507">
        <v>127000</v>
      </c>
      <c r="E80" s="166">
        <f t="shared" si="2"/>
        <v>0</v>
      </c>
    </row>
    <row r="81" spans="1:5" s="58" customFormat="1" ht="25.5">
      <c r="A81" s="496">
        <v>7</v>
      </c>
      <c r="B81" s="503" t="s">
        <v>205</v>
      </c>
      <c r="C81" s="507">
        <v>1267206</v>
      </c>
      <c r="D81" s="507">
        <v>1267206</v>
      </c>
      <c r="E81" s="166">
        <f t="shared" si="2"/>
        <v>0</v>
      </c>
    </row>
    <row r="82" spans="1:5" s="58" customFormat="1" ht="12.75">
      <c r="A82" s="496">
        <v>8</v>
      </c>
      <c r="B82" s="506" t="s">
        <v>316</v>
      </c>
      <c r="C82" s="507">
        <v>4500000</v>
      </c>
      <c r="D82" s="507">
        <f>4500000+10551000+60730</f>
        <v>15111730</v>
      </c>
      <c r="E82" s="166">
        <f t="shared" si="2"/>
        <v>10611730</v>
      </c>
    </row>
    <row r="83" spans="1:5" s="58" customFormat="1" ht="15">
      <c r="A83" s="172">
        <v>9</v>
      </c>
      <c r="B83" s="173" t="s">
        <v>248</v>
      </c>
      <c r="C83" s="175">
        <v>0</v>
      </c>
      <c r="D83" s="175">
        <v>15594805</v>
      </c>
      <c r="E83" s="174">
        <f t="shared" si="2"/>
        <v>15594805</v>
      </c>
    </row>
    <row r="84" spans="1:5" s="58" customFormat="1" ht="15">
      <c r="A84" s="172">
        <v>10</v>
      </c>
      <c r="B84" s="173" t="s">
        <v>182</v>
      </c>
      <c r="C84" s="175">
        <v>0</v>
      </c>
      <c r="D84" s="175">
        <v>1500000</v>
      </c>
      <c r="E84" s="174">
        <f t="shared" si="2"/>
        <v>1500000</v>
      </c>
    </row>
    <row r="85" spans="1:5" s="58" customFormat="1" ht="15">
      <c r="A85" s="172">
        <v>11</v>
      </c>
      <c r="B85" s="173" t="s">
        <v>255</v>
      </c>
      <c r="C85" s="175">
        <v>0</v>
      </c>
      <c r="D85" s="175">
        <v>1000000</v>
      </c>
      <c r="E85" s="174">
        <f t="shared" si="2"/>
        <v>1000000</v>
      </c>
    </row>
    <row r="86" spans="1:5" s="58" customFormat="1" ht="15">
      <c r="A86" s="172">
        <v>12</v>
      </c>
      <c r="B86" s="173" t="s">
        <v>185</v>
      </c>
      <c r="C86" s="175">
        <v>0</v>
      </c>
      <c r="D86" s="175">
        <v>900000</v>
      </c>
      <c r="E86" s="174">
        <f t="shared" si="2"/>
        <v>900000</v>
      </c>
    </row>
    <row r="87" spans="1:5" s="58" customFormat="1" ht="15">
      <c r="A87" s="172">
        <v>13</v>
      </c>
      <c r="B87" s="173" t="s">
        <v>257</v>
      </c>
      <c r="C87" s="175">
        <v>0</v>
      </c>
      <c r="D87" s="175">
        <v>1750000</v>
      </c>
      <c r="E87" s="174">
        <f t="shared" si="2"/>
        <v>1750000</v>
      </c>
    </row>
    <row r="88" spans="1:5" s="58" customFormat="1" ht="15">
      <c r="A88" s="172">
        <v>14</v>
      </c>
      <c r="B88" s="173" t="s">
        <v>258</v>
      </c>
      <c r="C88" s="175">
        <v>0</v>
      </c>
      <c r="D88" s="175">
        <v>2000000</v>
      </c>
      <c r="E88" s="174">
        <f t="shared" si="2"/>
        <v>2000000</v>
      </c>
    </row>
    <row r="89" spans="1:5" s="58" customFormat="1" ht="15">
      <c r="A89" s="172">
        <v>15</v>
      </c>
      <c r="B89" s="173" t="s">
        <v>260</v>
      </c>
      <c r="C89" s="175">
        <v>0</v>
      </c>
      <c r="D89" s="175">
        <v>14300000</v>
      </c>
      <c r="E89" s="174">
        <f t="shared" si="2"/>
        <v>14300000</v>
      </c>
    </row>
    <row r="90" spans="1:5" s="58" customFormat="1" ht="15">
      <c r="A90" s="172">
        <v>16</v>
      </c>
      <c r="B90" s="173" t="s">
        <v>306</v>
      </c>
      <c r="C90" s="175">
        <v>0</v>
      </c>
      <c r="D90" s="175">
        <v>10001698</v>
      </c>
      <c r="E90" s="174">
        <f t="shared" si="2"/>
        <v>10001698</v>
      </c>
    </row>
    <row r="91" spans="1:5" s="58" customFormat="1" ht="15">
      <c r="A91" s="496">
        <v>17</v>
      </c>
      <c r="B91" s="497" t="s">
        <v>308</v>
      </c>
      <c r="C91" s="507">
        <v>0</v>
      </c>
      <c r="D91" s="507">
        <v>2698000</v>
      </c>
      <c r="E91" s="166">
        <f t="shared" si="2"/>
        <v>2698000</v>
      </c>
    </row>
    <row r="92" spans="1:5" s="58" customFormat="1" ht="15">
      <c r="A92" s="496">
        <v>18</v>
      </c>
      <c r="B92" s="497" t="s">
        <v>310</v>
      </c>
      <c r="C92" s="507">
        <v>0</v>
      </c>
      <c r="D92" s="507">
        <v>1920000</v>
      </c>
      <c r="E92" s="166">
        <f t="shared" si="2"/>
        <v>1920000</v>
      </c>
    </row>
    <row r="93" spans="1:5" s="58" customFormat="1" ht="15">
      <c r="A93" s="496">
        <v>19</v>
      </c>
      <c r="B93" s="497" t="s">
        <v>315</v>
      </c>
      <c r="C93" s="507">
        <v>0</v>
      </c>
      <c r="D93" s="507">
        <v>707390</v>
      </c>
      <c r="E93" s="166">
        <f t="shared" si="2"/>
        <v>707390</v>
      </c>
    </row>
    <row r="94" spans="1:5" s="58" customFormat="1" ht="15">
      <c r="A94" s="496">
        <v>20</v>
      </c>
      <c r="B94" s="497" t="s">
        <v>317</v>
      </c>
      <c r="C94" s="507">
        <v>0</v>
      </c>
      <c r="D94" s="507">
        <v>-289000</v>
      </c>
      <c r="E94" s="166">
        <f t="shared" si="2"/>
        <v>-289000</v>
      </c>
    </row>
    <row r="95" spans="1:5" s="58" customFormat="1" ht="16.5" customHeight="1">
      <c r="A95" s="95"/>
      <c r="B95" s="93" t="s">
        <v>3</v>
      </c>
      <c r="C95" s="99">
        <f>SUM(C75:C94)</f>
        <v>104421475</v>
      </c>
      <c r="D95" s="99">
        <f>SUM(D75:D94)</f>
        <v>166086098</v>
      </c>
      <c r="E95" s="94">
        <f t="shared" si="2"/>
        <v>61664623</v>
      </c>
    </row>
    <row r="96" spans="1:5" s="58" customFormat="1" ht="13.5" customHeight="1">
      <c r="A96" s="95"/>
      <c r="B96" s="93"/>
      <c r="C96" s="99"/>
      <c r="D96" s="99"/>
      <c r="E96" s="94">
        <f t="shared" si="2"/>
        <v>0</v>
      </c>
    </row>
    <row r="97" spans="1:5" s="95" customFormat="1" ht="16.5" customHeight="1">
      <c r="A97" s="58" t="s">
        <v>10</v>
      </c>
      <c r="B97" s="58" t="s">
        <v>87</v>
      </c>
      <c r="C97" s="94"/>
      <c r="D97" s="94"/>
      <c r="E97" s="109">
        <f t="shared" si="2"/>
        <v>0</v>
      </c>
    </row>
    <row r="98" spans="1:5" s="58" customFormat="1" ht="16.5" customHeight="1">
      <c r="A98" s="59" t="s">
        <v>4</v>
      </c>
      <c r="B98" s="59" t="s">
        <v>88</v>
      </c>
      <c r="C98" s="100"/>
      <c r="D98" s="100"/>
      <c r="E98" s="94">
        <f t="shared" si="2"/>
        <v>0</v>
      </c>
    </row>
    <row r="99" spans="1:5" s="58" customFormat="1" ht="16.5" customHeight="1">
      <c r="A99" s="164">
        <v>1</v>
      </c>
      <c r="B99" s="146" t="s">
        <v>12</v>
      </c>
      <c r="C99" s="147">
        <v>1165207</v>
      </c>
      <c r="D99" s="147">
        <v>1165207</v>
      </c>
      <c r="E99" s="513">
        <f t="shared" si="2"/>
        <v>0</v>
      </c>
    </row>
    <row r="100" spans="1:5" s="95" customFormat="1" ht="16.5" customHeight="1">
      <c r="A100" s="164">
        <v>2</v>
      </c>
      <c r="B100" s="146" t="s">
        <v>43</v>
      </c>
      <c r="C100" s="147">
        <v>0</v>
      </c>
      <c r="D100" s="147">
        <v>0</v>
      </c>
      <c r="E100" s="168">
        <f t="shared" si="2"/>
        <v>0</v>
      </c>
    </row>
    <row r="101" spans="1:5" s="95" customFormat="1" ht="16.5" customHeight="1">
      <c r="A101" s="58"/>
      <c r="B101" s="59" t="s">
        <v>3</v>
      </c>
      <c r="C101" s="100">
        <f>SUM(C99:C100)</f>
        <v>1165207</v>
      </c>
      <c r="D101" s="100">
        <f>SUM(D99:D100)</f>
        <v>1165207</v>
      </c>
      <c r="E101" s="109">
        <f t="shared" si="2"/>
        <v>0</v>
      </c>
    </row>
    <row r="102" spans="1:5" s="95" customFormat="1" ht="16.5" customHeight="1">
      <c r="A102" s="59" t="s">
        <v>5</v>
      </c>
      <c r="B102" s="59" t="s">
        <v>89</v>
      </c>
      <c r="C102" s="94"/>
      <c r="D102" s="94"/>
      <c r="E102" s="109">
        <f t="shared" si="2"/>
        <v>0</v>
      </c>
    </row>
    <row r="103" spans="1:5" s="58" customFormat="1" ht="16.5" customHeight="1">
      <c r="A103" s="508">
        <v>1</v>
      </c>
      <c r="B103" s="506" t="s">
        <v>218</v>
      </c>
      <c r="C103" s="504">
        <v>5802000</v>
      </c>
      <c r="D103" s="504">
        <v>5802000</v>
      </c>
      <c r="E103" s="510">
        <f t="shared" si="2"/>
        <v>0</v>
      </c>
    </row>
    <row r="104" spans="2:5" s="58" customFormat="1" ht="16.5" customHeight="1">
      <c r="B104" s="59" t="s">
        <v>3</v>
      </c>
      <c r="C104" s="100">
        <f>SUM(C103:C103)</f>
        <v>5802000</v>
      </c>
      <c r="D104" s="100">
        <f>SUM(D103:D103)</f>
        <v>5802000</v>
      </c>
      <c r="E104" s="94">
        <f t="shared" si="2"/>
        <v>0</v>
      </c>
    </row>
    <row r="105" spans="1:5" s="95" customFormat="1" ht="16.5" customHeight="1">
      <c r="A105" s="113" t="s">
        <v>6</v>
      </c>
      <c r="B105" s="59" t="s">
        <v>90</v>
      </c>
      <c r="C105" s="94"/>
      <c r="D105" s="94"/>
      <c r="E105" s="109">
        <f t="shared" si="2"/>
        <v>0</v>
      </c>
    </row>
    <row r="106" spans="1:5" s="97" customFormat="1" ht="25.5">
      <c r="A106" s="164">
        <v>1</v>
      </c>
      <c r="B106" s="170" t="s">
        <v>238</v>
      </c>
      <c r="C106" s="147">
        <v>1466850</v>
      </c>
      <c r="D106" s="147">
        <v>1466850</v>
      </c>
      <c r="E106" s="514">
        <f t="shared" si="2"/>
        <v>0</v>
      </c>
    </row>
    <row r="107" spans="1:5" s="95" customFormat="1" ht="12.75">
      <c r="A107" s="164">
        <v>2</v>
      </c>
      <c r="B107" s="146" t="s">
        <v>181</v>
      </c>
      <c r="C107" s="147">
        <v>4000000</v>
      </c>
      <c r="D107" s="147">
        <v>4000000</v>
      </c>
      <c r="E107" s="168">
        <f t="shared" si="2"/>
        <v>0</v>
      </c>
    </row>
    <row r="108" spans="2:5" s="58" customFormat="1" ht="12.75">
      <c r="B108" s="59" t="s">
        <v>3</v>
      </c>
      <c r="C108" s="100">
        <f>SUM(C106:C107)</f>
        <v>5466850</v>
      </c>
      <c r="D108" s="100">
        <f>SUM(D106:D107)</f>
        <v>5466850</v>
      </c>
      <c r="E108" s="94">
        <f t="shared" si="2"/>
        <v>0</v>
      </c>
    </row>
    <row r="109" spans="1:5" s="58" customFormat="1" ht="16.5" customHeight="1">
      <c r="A109" s="101" t="s">
        <v>7</v>
      </c>
      <c r="B109" s="102" t="s">
        <v>91</v>
      </c>
      <c r="C109" s="103"/>
      <c r="D109" s="103"/>
      <c r="E109" s="94">
        <f t="shared" si="2"/>
        <v>0</v>
      </c>
    </row>
    <row r="110" spans="1:5" s="58" customFormat="1" ht="16.5" customHeight="1">
      <c r="A110" s="142">
        <v>1</v>
      </c>
      <c r="B110" s="149" t="s">
        <v>313</v>
      </c>
      <c r="C110" s="150"/>
      <c r="D110" s="150">
        <v>20314443</v>
      </c>
      <c r="E110" s="168">
        <f t="shared" si="2"/>
        <v>20314443</v>
      </c>
    </row>
    <row r="111" spans="1:5" s="58" customFormat="1" ht="16.5" customHeight="1">
      <c r="A111" s="104"/>
      <c r="B111" s="102" t="s">
        <v>3</v>
      </c>
      <c r="C111" s="105">
        <f>SUM(C110:C110)</f>
        <v>0</v>
      </c>
      <c r="D111" s="105">
        <f>SUM(D110:D110)</f>
        <v>20314443</v>
      </c>
      <c r="E111" s="100">
        <f t="shared" si="2"/>
        <v>20314443</v>
      </c>
    </row>
    <row r="112" spans="1:5" s="58" customFormat="1" ht="16.5" customHeight="1">
      <c r="A112" s="95"/>
      <c r="B112" s="93" t="s">
        <v>3</v>
      </c>
      <c r="C112" s="99">
        <f>C111+C108+C104+C101</f>
        <v>12434057</v>
      </c>
      <c r="D112" s="99">
        <f>D111+D108+D104+D101</f>
        <v>32748500</v>
      </c>
      <c r="E112" s="94">
        <f t="shared" si="2"/>
        <v>20314443</v>
      </c>
    </row>
    <row r="113" spans="1:5" s="107" customFormat="1" ht="9.75" customHeight="1">
      <c r="A113" s="58"/>
      <c r="B113" s="58"/>
      <c r="C113" s="94"/>
      <c r="D113" s="94"/>
      <c r="E113" s="176">
        <f t="shared" si="2"/>
        <v>0</v>
      </c>
    </row>
    <row r="114" spans="2:5" s="58" customFormat="1" ht="16.5" customHeight="1">
      <c r="B114" s="93" t="s">
        <v>92</v>
      </c>
      <c r="C114" s="94">
        <f>C112+C95+C68</f>
        <v>1402086851</v>
      </c>
      <c r="D114" s="94">
        <f>D112+D95+D68</f>
        <v>1515458021</v>
      </c>
      <c r="E114" s="94">
        <f t="shared" si="2"/>
        <v>113371170</v>
      </c>
    </row>
    <row r="115" spans="1:5" s="107" customFormat="1" ht="10.5" customHeight="1">
      <c r="A115" s="58"/>
      <c r="B115" s="93"/>
      <c r="C115" s="94"/>
      <c r="D115" s="94"/>
      <c r="E115" s="176"/>
    </row>
    <row r="116" spans="1:5" s="58" customFormat="1" ht="16.5" customHeight="1">
      <c r="A116" s="58" t="s">
        <v>13</v>
      </c>
      <c r="B116" s="106" t="s">
        <v>95</v>
      </c>
      <c r="C116" s="94"/>
      <c r="D116" s="94"/>
      <c r="E116" s="94"/>
    </row>
    <row r="117" spans="1:5" s="58" customFormat="1" ht="16.5" customHeight="1">
      <c r="A117" s="508">
        <v>1</v>
      </c>
      <c r="B117" s="501" t="s">
        <v>94</v>
      </c>
      <c r="C117" s="166">
        <v>0</v>
      </c>
      <c r="D117" s="166">
        <v>0</v>
      </c>
      <c r="E117" s="510">
        <f>D117-C117</f>
        <v>0</v>
      </c>
    </row>
    <row r="118" spans="2:5" s="58" customFormat="1" ht="16.5" customHeight="1">
      <c r="B118" s="106" t="s">
        <v>3</v>
      </c>
      <c r="C118" s="94">
        <f>SUM(C117:C117)</f>
        <v>0</v>
      </c>
      <c r="D118" s="94">
        <f>SUM(D117:D117)</f>
        <v>0</v>
      </c>
      <c r="E118" s="94">
        <f>D118-C118</f>
        <v>0</v>
      </c>
    </row>
    <row r="119" spans="1:5" s="95" customFormat="1" ht="16.5" customHeight="1">
      <c r="A119" s="107"/>
      <c r="B119" s="106" t="s">
        <v>93</v>
      </c>
      <c r="C119" s="94">
        <v>0</v>
      </c>
      <c r="D119" s="94">
        <v>0</v>
      </c>
      <c r="E119" s="109">
        <f>D119-C119</f>
        <v>0</v>
      </c>
    </row>
    <row r="120" spans="2:5" s="95" customFormat="1" ht="8.25" customHeight="1">
      <c r="B120" s="58"/>
      <c r="C120" s="94"/>
      <c r="D120" s="94"/>
      <c r="E120" s="109"/>
    </row>
    <row r="121" spans="2:5" s="95" customFormat="1" ht="11.25" customHeight="1">
      <c r="B121" s="58" t="s">
        <v>14</v>
      </c>
      <c r="C121" s="94">
        <f>C114+C119</f>
        <v>1402086851</v>
      </c>
      <c r="D121" s="94">
        <f>D114+D119</f>
        <v>1515458021</v>
      </c>
      <c r="E121" s="94">
        <f>D121-C121</f>
        <v>113371170</v>
      </c>
    </row>
    <row r="122" spans="2:5" s="95" customFormat="1" ht="11.25" customHeight="1">
      <c r="B122" s="58" t="s">
        <v>45</v>
      </c>
      <c r="C122" s="94"/>
      <c r="D122" s="94"/>
      <c r="E122" s="109"/>
    </row>
    <row r="123" spans="2:5" s="95" customFormat="1" ht="23.25" customHeight="1">
      <c r="B123" s="509" t="s">
        <v>46</v>
      </c>
      <c r="C123" s="510">
        <f>C121-C124</f>
        <v>1157609022</v>
      </c>
      <c r="D123" s="510">
        <f>D121-D124</f>
        <v>1258935749</v>
      </c>
      <c r="E123" s="510">
        <f>E121-E124</f>
        <v>101326727</v>
      </c>
    </row>
    <row r="124" spans="1:5" s="95" customFormat="1" ht="11.25" customHeight="1">
      <c r="A124" s="95" t="s">
        <v>318</v>
      </c>
      <c r="B124" s="151" t="s">
        <v>44</v>
      </c>
      <c r="C124" s="152">
        <f>C110+C100+C99+C44+C45+C46+C47+C106+C49+C48+C43+C41+C107+C39+C40+C42+C50</f>
        <v>244477829</v>
      </c>
      <c r="D124" s="152">
        <f>D110+D100+D99+D44+D45+D46+D47+D106+D49+D48+D43+D41+D107+D39+D40+D42+D50</f>
        <v>256522272</v>
      </c>
      <c r="E124" s="152">
        <f>E110+E100+E99+E44+E45+E46+E47+E106+E49+E48+E43+E41+E107+E39+E40+E42+E50</f>
        <v>12044443</v>
      </c>
    </row>
    <row r="125" spans="3:5" s="95" customFormat="1" ht="11.25" customHeight="1">
      <c r="C125" s="109"/>
      <c r="D125" s="109"/>
      <c r="E125" s="109"/>
    </row>
    <row r="126" spans="1:5" s="110" customFormat="1" ht="12.75">
      <c r="A126" s="95"/>
      <c r="B126" s="58" t="s">
        <v>63</v>
      </c>
      <c r="C126" s="94">
        <f>'4. melléklet'!C58-C121</f>
        <v>0</v>
      </c>
      <c r="D126" s="94">
        <f>'4. melléklet'!D58-D121</f>
        <v>0</v>
      </c>
      <c r="E126" s="169"/>
    </row>
    <row r="127" spans="2:5" s="95" customFormat="1" ht="12.75">
      <c r="B127" s="58"/>
      <c r="C127" s="94"/>
      <c r="D127" s="94"/>
      <c r="E127" s="109"/>
    </row>
    <row r="128" spans="1:5" s="110" customFormat="1" ht="12.75">
      <c r="A128" s="95" t="s">
        <v>120</v>
      </c>
      <c r="B128" s="58" t="s">
        <v>62</v>
      </c>
      <c r="C128" s="109"/>
      <c r="D128" s="109"/>
      <c r="E128" s="169"/>
    </row>
    <row r="129" spans="1:5" s="110" customFormat="1" ht="12.75">
      <c r="A129" s="95"/>
      <c r="B129" s="140" t="s">
        <v>208</v>
      </c>
      <c r="C129" s="109">
        <v>10000000</v>
      </c>
      <c r="D129" s="109"/>
      <c r="E129" s="169"/>
    </row>
    <row r="130" spans="1:5" s="110" customFormat="1" ht="12.75">
      <c r="A130" s="95"/>
      <c r="B130" s="140" t="s">
        <v>188</v>
      </c>
      <c r="C130" s="109">
        <v>6608779</v>
      </c>
      <c r="D130" s="109"/>
      <c r="E130" s="169"/>
    </row>
    <row r="131" spans="1:5" s="110" customFormat="1" ht="12.75">
      <c r="A131" s="95"/>
      <c r="B131" s="140" t="s">
        <v>156</v>
      </c>
      <c r="C131" s="109">
        <v>8000000</v>
      </c>
      <c r="D131" s="109"/>
      <c r="E131" s="169"/>
    </row>
    <row r="132" spans="1:6" ht="12.75">
      <c r="A132" s="95"/>
      <c r="B132" s="140" t="s">
        <v>147</v>
      </c>
      <c r="C132" s="109">
        <v>2490000</v>
      </c>
      <c r="D132" s="109"/>
      <c r="E132" s="177"/>
      <c r="F132" s="137"/>
    </row>
    <row r="133" spans="1:6" ht="12.75">
      <c r="A133" s="95"/>
      <c r="B133" s="140" t="s">
        <v>149</v>
      </c>
      <c r="C133" s="139">
        <v>8636000</v>
      </c>
      <c r="D133" s="139"/>
      <c r="E133" s="177"/>
      <c r="F133" s="137"/>
    </row>
    <row r="134" spans="1:6" ht="12.75">
      <c r="A134" s="95"/>
      <c r="B134" s="138" t="s">
        <v>148</v>
      </c>
      <c r="C134" s="115">
        <v>2230000</v>
      </c>
      <c r="D134" s="115"/>
      <c r="E134" s="177"/>
      <c r="F134" s="137"/>
    </row>
    <row r="135" spans="1:6" ht="12.75">
      <c r="A135" s="95"/>
      <c r="B135" s="95" t="s">
        <v>183</v>
      </c>
      <c r="C135" s="115">
        <v>3810000</v>
      </c>
      <c r="D135" s="115"/>
      <c r="E135" s="177"/>
      <c r="F135" s="137"/>
    </row>
    <row r="136" spans="1:6" ht="12.75">
      <c r="A136" s="95"/>
      <c r="B136" s="140" t="s">
        <v>184</v>
      </c>
      <c r="C136" s="115">
        <v>41000000</v>
      </c>
      <c r="D136" s="115"/>
      <c r="E136" s="177"/>
      <c r="F136" s="137"/>
    </row>
    <row r="137" spans="1:5" ht="12.75">
      <c r="A137" s="95"/>
      <c r="B137" s="138" t="s">
        <v>236</v>
      </c>
      <c r="C137" s="139">
        <v>350000</v>
      </c>
      <c r="D137" s="139"/>
      <c r="E137" s="141"/>
    </row>
    <row r="138" spans="1:5" ht="12.75">
      <c r="A138" s="95"/>
      <c r="B138" s="138" t="s">
        <v>209</v>
      </c>
      <c r="C138" s="139">
        <v>550000</v>
      </c>
      <c r="D138" s="139"/>
      <c r="E138" s="141"/>
    </row>
    <row r="139" spans="1:5" ht="12.75">
      <c r="A139" s="95"/>
      <c r="B139" s="138" t="s">
        <v>217</v>
      </c>
      <c r="C139" s="139">
        <v>23707655</v>
      </c>
      <c r="D139" s="139"/>
      <c r="E139" s="141"/>
    </row>
    <row r="140" spans="1:5" ht="12.75">
      <c r="A140" s="95"/>
      <c r="B140" s="138" t="s">
        <v>234</v>
      </c>
      <c r="C140" s="139">
        <v>90542364</v>
      </c>
      <c r="D140" s="139"/>
      <c r="E140" s="141"/>
    </row>
    <row r="141" spans="1:6" ht="12.75">
      <c r="A141" s="58"/>
      <c r="B141" s="106" t="s">
        <v>3</v>
      </c>
      <c r="C141" s="94">
        <f>SUM(C129:C140)</f>
        <v>197924798</v>
      </c>
      <c r="D141" s="94"/>
      <c r="E141" s="141"/>
      <c r="F141" t="s">
        <v>269</v>
      </c>
    </row>
  </sheetData>
  <sheetProtection/>
  <mergeCells count="2">
    <mergeCell ref="A2:C2"/>
    <mergeCell ref="A3:E3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71" r:id="rId1"/>
  <rowBreaks count="2" manualBreakCount="2">
    <brk id="70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2018-08-15T15:20:14Z</cp:lastPrinted>
  <dcterms:created xsi:type="dcterms:W3CDTF">2007-11-15T07:32:30Z</dcterms:created>
  <dcterms:modified xsi:type="dcterms:W3CDTF">2018-10-02T12:24:49Z</dcterms:modified>
  <cp:category/>
  <cp:version/>
  <cp:contentType/>
  <cp:contentStatus/>
</cp:coreProperties>
</file>