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02" activeTab="7"/>
  </bookViews>
  <sheets>
    <sheet name="1 " sheetId="1" r:id="rId1"/>
    <sheet name="2 " sheetId="2" r:id="rId2"/>
    <sheet name="3 " sheetId="3" r:id="rId3"/>
    <sheet name="4 " sheetId="4" r:id="rId4"/>
    <sheet name="5 " sheetId="5" r:id="rId5"/>
    <sheet name="6 " sheetId="6" r:id="rId6"/>
    <sheet name="7 " sheetId="7" r:id="rId7"/>
    <sheet name="8 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 " sheetId="18" r:id="rId18"/>
    <sheet name="19" sheetId="19" r:id="rId19"/>
    <sheet name="20" sheetId="20" r:id="rId20"/>
  </sheets>
  <externalReferences>
    <externalReference r:id="rId23"/>
    <externalReference r:id="rId24"/>
  </externalReferences>
  <definedNames>
    <definedName name="_Hlk501090860" localSheetId="4">'5 '!$A$38</definedName>
    <definedName name="_Hlk505704241" localSheetId="4">'5 '!$A$40</definedName>
    <definedName name="A1">'5 '!$B$3</definedName>
    <definedName name="_xlnm.Print_Titles" localSheetId="1">'2 '!$4:$5</definedName>
    <definedName name="_xlnm.Print_Titles" localSheetId="4">'5 '!$6:$6</definedName>
    <definedName name="_xlnm.Print_Titles" localSheetId="6">'7 '!$5:$5</definedName>
    <definedName name="_xlnm.Print_Area" localSheetId="6">'7 '!$A$1:$AO$66</definedName>
  </definedNames>
  <calcPr fullCalcOnLoad="1"/>
</workbook>
</file>

<file path=xl/sharedStrings.xml><?xml version="1.0" encoding="utf-8"?>
<sst xmlns="http://schemas.openxmlformats.org/spreadsheetml/2006/main" count="1249" uniqueCount="688">
  <si>
    <t>KÖLTSÉGVETÉS MÉRLEGE</t>
  </si>
  <si>
    <t xml:space="preserve">Bevétel </t>
  </si>
  <si>
    <t>Kiadás</t>
  </si>
  <si>
    <t xml:space="preserve">Megnevezés </t>
  </si>
  <si>
    <t xml:space="preserve">B1. Működési célú támogatások államháztartáson belülről </t>
  </si>
  <si>
    <t>K1. Személyi juttatás</t>
  </si>
  <si>
    <t xml:space="preserve">B3. Közhatalmi bevételek </t>
  </si>
  <si>
    <t xml:space="preserve">K2. Munkaadót terhelő járulékok és szociális hozzájárulási adó </t>
  </si>
  <si>
    <t xml:space="preserve">B4. Működési bevételek </t>
  </si>
  <si>
    <t xml:space="preserve">K3. Dologi kiadások </t>
  </si>
  <si>
    <t>B6. Működési célú átvett pénzeszközök</t>
  </si>
  <si>
    <t>K4. Ellátottak pénzbeli juttatásai</t>
  </si>
  <si>
    <t xml:space="preserve">K5. Egyéb működési célú kiadások </t>
  </si>
  <si>
    <t xml:space="preserve">      Ebből: Általános tartalék </t>
  </si>
  <si>
    <t xml:space="preserve">                 Céltartalék </t>
  </si>
  <si>
    <t>A. MŰKÖDÉSI KÖLTSÉGVETÉSI BEVÉTELEK ÖSSZESEN (B1+B3+B4+B6)</t>
  </si>
  <si>
    <t>A. MŰKÖDÉSI KÖLTSÉGVETÉSI KIADÁSOK ÖSSZESEN (K1. …+K5.)</t>
  </si>
  <si>
    <t xml:space="preserve">B. FINANSZÍROZÁSI BEVÉTELEK (B8.) ÖSSZESEN </t>
  </si>
  <si>
    <t>B. FINASZÍROZÁSI KIADÁSOK (K9.) ÖSSZESEN</t>
  </si>
  <si>
    <t xml:space="preserve">Ebből: B813. Maradvány igénybevétele </t>
  </si>
  <si>
    <t>C. MŰKÖDÉSI BEVÉTELEK MINDÖSSZESEN (A+B)</t>
  </si>
  <si>
    <t xml:space="preserve">C. MŰKÖDÉSI KIADÁSOK MINDÖSSZESEN (A+B) </t>
  </si>
  <si>
    <t xml:space="preserve">B2. Felhalmozási célú támogatások államháztartáson belülről </t>
  </si>
  <si>
    <t xml:space="preserve">K6. Beruházások </t>
  </si>
  <si>
    <t xml:space="preserve">B5. Felhalmozási bevételek </t>
  </si>
  <si>
    <t xml:space="preserve">K7. Felújítások </t>
  </si>
  <si>
    <t xml:space="preserve">B7. Felhalmozási célú átvett pénzeszközök </t>
  </si>
  <si>
    <t xml:space="preserve">K8. Egyéb felhalmozási célú kiadások </t>
  </si>
  <si>
    <t>D. FELHALMOZÁSI KÖLTSÉGVETÉSI BEVÉTELEK ÖSSZESEN (B2.+B5.+B7.)</t>
  </si>
  <si>
    <t>D. FELHALMOZÁSI KÖLTSÉGVETÉSI KIADÁSOK ÖSSZESEN (K6. …+K8.)</t>
  </si>
  <si>
    <t xml:space="preserve">E. FINANSZÍROZÁSI BEVÉTELEK (B8.) ÖSSZESEN </t>
  </si>
  <si>
    <t>E. FINANSZÍROZÁSI KIADÁSOK (K9.) ÖSSZESEN</t>
  </si>
  <si>
    <t>F. FELHALMOZÁSI BEVÉTELEK MINDÖSSZESEN (D+E)</t>
  </si>
  <si>
    <t xml:space="preserve">F. FELHALMOZÁSI KIADÁSOK MINDÖSSZESEN (D+E) </t>
  </si>
  <si>
    <t>G. KÖLTSÉGVETÉSI BEVÉTELEK ÖSSZESEN (A+D)</t>
  </si>
  <si>
    <t>G. KÖLTSÉGVETÉSI KIADÁSOK ÖSSZESEN (A+D)</t>
  </si>
  <si>
    <t>H. FINANSZÍROZÁSI BEVÉTELEK ÖSSZESEN (B+E)</t>
  </si>
  <si>
    <t>H. FINANSZÍROZÁSI KIADÁSOK ÖSSZESEN (B+E)</t>
  </si>
  <si>
    <t>I. BEVÉTELEK MINDÖSSZESEN (C+F)</t>
  </si>
  <si>
    <t>I. KIADÁSOK MINDÖSSZESEN (C+F)</t>
  </si>
  <si>
    <t>Költségvetési</t>
  </si>
  <si>
    <t>Költségvetési cím, alcím megnevezése</t>
  </si>
  <si>
    <t>Önkormányzat</t>
  </si>
  <si>
    <t>Önkormányzat igazgatási, jogalkotási tevékenységel kapcsolatos feladatok</t>
  </si>
  <si>
    <t>Harsányi Polgármesteri Hivatal</t>
  </si>
  <si>
    <t xml:space="preserve">Igazgatási,adó- és pénzügyi feladatok </t>
  </si>
  <si>
    <t xml:space="preserve">MINDÖSSZESEN </t>
  </si>
  <si>
    <t xml:space="preserve">  BEVÉTELEK JOGCÍMEI</t>
  </si>
  <si>
    <t xml:space="preserve">Összesen </t>
  </si>
  <si>
    <t>B111. Helyi önkormányzatok működésének általános támogatása</t>
  </si>
  <si>
    <t xml:space="preserve">B112. Települési önk. egyes köznevelési támogatás </t>
  </si>
  <si>
    <t>B113. Települési önk. szociális, gyermekjóléti és gyermekétkeztetési feladatainak támogatása</t>
  </si>
  <si>
    <t xml:space="preserve">B114. Települési önk. kulturális feladatainak támogatása </t>
  </si>
  <si>
    <t xml:space="preserve">B115. Működési célú központosított előirányzatok </t>
  </si>
  <si>
    <t>B116. Helyi önkormányzatok kiegészítő támogatásai</t>
  </si>
  <si>
    <t xml:space="preserve">B13. Működési célú garancia- és kezességvállalásból származó megtérülések államháztartáson belülről </t>
  </si>
  <si>
    <t xml:space="preserve">B14. Működési célú visszatérítendő támogatások, kölcsönök visszatérülése államháztartáson belülről </t>
  </si>
  <si>
    <t xml:space="preserve">B15. Működési célú visszatérítendő támogatások, kölcsönök igénybevétele államháztartáson belülről </t>
  </si>
  <si>
    <t xml:space="preserve">B16. Egyéb működési célú támogatások bevételei államháztartáson belülről </t>
  </si>
  <si>
    <t xml:space="preserve">B1. Működési célú támogatások államázt.-on belülről összesen </t>
  </si>
  <si>
    <t>B34 Vagyoni típusú adók</t>
  </si>
  <si>
    <t>B351 értékesítési forgalmi adók</t>
  </si>
  <si>
    <t xml:space="preserve">B355. Egyéb áruhasználati és szolgáltatási adók </t>
  </si>
  <si>
    <t xml:space="preserve">B36. Egyéb közhatalmi bevételek </t>
  </si>
  <si>
    <t>B3. Közhatalmi bevételek összesen</t>
  </si>
  <si>
    <t xml:space="preserve">B401. Készletértékesítés  ellenértéke </t>
  </si>
  <si>
    <t xml:space="preserve">B402. Szolgáltatások ellenértéke </t>
  </si>
  <si>
    <t xml:space="preserve">B403. Közvetített szolgáltatások ellenértéke </t>
  </si>
  <si>
    <t xml:space="preserve">B404. Tulajdonosi bevételek </t>
  </si>
  <si>
    <t>B405. Ellátási díjak</t>
  </si>
  <si>
    <t>B406. Kiszámlázott általános forgalmi adó</t>
  </si>
  <si>
    <t xml:space="preserve">B407. Általános forgalmi adó visszatérülése </t>
  </si>
  <si>
    <t xml:space="preserve">B408. Kamatbevételek </t>
  </si>
  <si>
    <t xml:space="preserve">B409. Egyéb pénzügyi műveletek bevételei </t>
  </si>
  <si>
    <t xml:space="preserve">B4. Működési bevételek összesen </t>
  </si>
  <si>
    <t xml:space="preserve">B61. Működési célú garancia- és kezességvállalásból származó megtérülések államháztartáson kívülről </t>
  </si>
  <si>
    <t xml:space="preserve">B62. Működési célú visszatérítendő támogatások, kölcsönök visszatérülése államháztartáson kívülről </t>
  </si>
  <si>
    <t xml:space="preserve">B63. Egyéb működési célú átvett pénzeszközök </t>
  </si>
  <si>
    <t xml:space="preserve">B6. Működési célú átvett péneszközök összesen </t>
  </si>
  <si>
    <t xml:space="preserve">MŰKÖDÉSI KÖLTSÉGVETÉSI BEVÉTELEK ÖSSZESEN (B1.+B3.+B4.+B.6.) </t>
  </si>
  <si>
    <t xml:space="preserve">B811. Hitel-, és kölcsönfelvétel államháztartáson kívülről </t>
  </si>
  <si>
    <t>B812. Belföldi értékpapírok bevételei</t>
  </si>
  <si>
    <t>B813. Maradvány igénybevétele</t>
  </si>
  <si>
    <t>B814. Államháztartáson belüli megelőlegezések</t>
  </si>
  <si>
    <t xml:space="preserve">B815. Államháztartáson belüli megelőlegezések törlesztése </t>
  </si>
  <si>
    <t xml:space="preserve">B816. Központi, irányíító szervi támogatás </t>
  </si>
  <si>
    <t>B817. Betétek megszüntetése</t>
  </si>
  <si>
    <t>B8. Finanszírozási bevételek összesen (B811. … +B817.)</t>
  </si>
  <si>
    <t xml:space="preserve">MŰKÖDÉSI BEVÉTELEK MINDÖSSZESEN </t>
  </si>
  <si>
    <t>Feladatok</t>
  </si>
  <si>
    <t>Állam- igazgatási feladat</t>
  </si>
  <si>
    <t>Kötelező feladat</t>
  </si>
  <si>
    <t>Önként vállalt feladat</t>
  </si>
  <si>
    <t>Mind- összesen</t>
  </si>
  <si>
    <t>Egészségügyi ellátással kapcsolatos feladatok</t>
  </si>
  <si>
    <t>Szociális ellátással kapcsolatos feladatok</t>
  </si>
  <si>
    <t>Közmunka</t>
  </si>
  <si>
    <t>Önkormányzat összesen</t>
  </si>
  <si>
    <t>óvodai nevelés</t>
  </si>
  <si>
    <t>Mindösszesen</t>
  </si>
  <si>
    <t xml:space="preserve">KIADÁSOK JOGCÍMEI </t>
  </si>
  <si>
    <t xml:space="preserve">K2. Munkaadót terhelő járulékok és szoc. hozzájár. adó </t>
  </si>
  <si>
    <t>K3. Dologi kiadások</t>
  </si>
  <si>
    <t xml:space="preserve">K4. Ellátottak pénzbeli juttatásai </t>
  </si>
  <si>
    <t xml:space="preserve">K5. Egyéb működési kiadások összesen </t>
  </si>
  <si>
    <t xml:space="preserve">Ebből: Általános tartalék </t>
  </si>
  <si>
    <t>A. Működési költségvetési kiadásai össz. (K1. …+K5.)</t>
  </si>
  <si>
    <t xml:space="preserve">K911. Hitel-, kölcsöntörlesztés államháztartáson kívülre </t>
  </si>
  <si>
    <t>K912. Belföldi értékpapírok kiadásai</t>
  </si>
  <si>
    <t xml:space="preserve">K913. Államháztartáson belüli megelőlegezések folyóstása </t>
  </si>
  <si>
    <t>K914. Államháztartáson belüli megelőlegezések visszafizetése</t>
  </si>
  <si>
    <t xml:space="preserve">K915. Központi, irányítószervi támogatás folyósítása </t>
  </si>
  <si>
    <t xml:space="preserve">K916. Péneszközök betétként elhelyezése </t>
  </si>
  <si>
    <t xml:space="preserve">K917. Pénzügyi lízing kiadásai </t>
  </si>
  <si>
    <t xml:space="preserve">B. Finanszírozási kiadások összesen (K911. …+K917.) </t>
  </si>
  <si>
    <t xml:space="preserve">K8. Egyéb felhalmozási kiadások </t>
  </si>
  <si>
    <t>D. Felhalmozási költségvetési kiadásai össz. (K. …+K8.)</t>
  </si>
  <si>
    <t xml:space="preserve">E. Finanszírozási kiadások összesen (K911. …+K917.) </t>
  </si>
  <si>
    <t>G. KIADÁS MINDÖSSZESEN (C+F)</t>
  </si>
  <si>
    <t>Dologi kiadások</t>
  </si>
  <si>
    <t>Egyéb működési kiadások</t>
  </si>
  <si>
    <t>Tartalékok</t>
  </si>
  <si>
    <t>Költségvetési kiadás összesen</t>
  </si>
  <si>
    <t>K6. Beruházások</t>
  </si>
  <si>
    <t>Beruházási feladat</t>
  </si>
  <si>
    <t>Önkormányzat:</t>
  </si>
  <si>
    <t xml:space="preserve">K7.  Felújítások </t>
  </si>
  <si>
    <t xml:space="preserve"> Felújítási cél</t>
  </si>
  <si>
    <t>K8. Egyéb felhalmozási kiadások</t>
  </si>
  <si>
    <t>Az önkormányzat több éves kihatással járó feladatainak előirányzatai éves bontásban</t>
  </si>
  <si>
    <t xml:space="preserve">     Ezer Ft-ban</t>
  </si>
  <si>
    <t>sorszám</t>
  </si>
  <si>
    <t>Összesen</t>
  </si>
  <si>
    <t>1.</t>
  </si>
  <si>
    <t>2.</t>
  </si>
  <si>
    <t>3.</t>
  </si>
  <si>
    <t>4.</t>
  </si>
  <si>
    <t>Az önkormányzat által felvett kölcsön alakulása</t>
  </si>
  <si>
    <t>kölcsön</t>
  </si>
  <si>
    <t>kölcsön állomány január 1-én</t>
  </si>
  <si>
    <t>Hosszú lejáratú</t>
  </si>
  <si>
    <t>összesen</t>
  </si>
  <si>
    <t>Az önkormányzat kölcsön állománnyal nem rendelkezik.</t>
  </si>
  <si>
    <t>Az önkormányzat által nyújtott kölcsön alakulása</t>
  </si>
  <si>
    <t>első lakáshoz jutók támogatása</t>
  </si>
  <si>
    <t>Mukáltatói támogatás</t>
  </si>
  <si>
    <t>Rövid lejáratú</t>
  </si>
  <si>
    <t>szociális kölcsön</t>
  </si>
  <si>
    <t xml:space="preserve">KIMUTATÁS </t>
  </si>
  <si>
    <t xml:space="preserve">az adósságot keletkeztető ügyletekből eredő fizetési kötelezettségek futamidő végéig fennálló összegéről </t>
  </si>
  <si>
    <t>Adósságot keltkeztető ügylet megnevezése **</t>
  </si>
  <si>
    <t xml:space="preserve">Összeg </t>
  </si>
  <si>
    <t xml:space="preserve">Hitel felvételéből eredő aktuális tőketartozás </t>
  </si>
  <si>
    <t xml:space="preserve">Kölcsön felvételéből eredő aktuális tőketartozás </t>
  </si>
  <si>
    <t xml:space="preserve">Hitel átvállalásából eredő aktuális tőketartozás </t>
  </si>
  <si>
    <t xml:space="preserve">Kölcsön átvállalásából eredő aktuális tőketartozás </t>
  </si>
  <si>
    <t>A számvitlei törvény (SZt.) szerinti hitelviszonyt megtestesítő értékpapír forgalomba hozatal napjától a beváltás napjáig, kamatozó értékpapír esetén annak névértéke</t>
  </si>
  <si>
    <t>Egyéb értékpapír vételára</t>
  </si>
  <si>
    <t xml:space="preserve">Váltó kibocsátása a kibocsátás napjától a beváltás napjáig és a váltóval kiváltott kötelezettségell megegyező, kamatot nem tartalmazó értéke </t>
  </si>
  <si>
    <t xml:space="preserve">A Szt. szerinti pénzügyi lízing lízingbevevői félként történő megkötése a lízing futamideje alatt és a lizingszerződésben kikötött tőkerész hátralévő összege. </t>
  </si>
  <si>
    <t xml:space="preserve">A visszavásárlási kötelezettség kikötésével megkötött adásvételi szerződés eladói félként történő megkötése - ideértve a Szt. szerinti valódi penziós és óvadéki repóügyleteket is - a visszavásárlásig, és a kikötöttvisszavásárlási ár </t>
  </si>
  <si>
    <t>Szerződésben kapott, legalább háromszázhatvanöt nap időtartamú halasztott fizetés, részletfizetés, és a még ki nem fizetett ellenérték</t>
  </si>
  <si>
    <t>Külföldi hitelintézetek által, származékos műveletek különbözeteként az Államadósság Kezelő Központ Zrt.-nél elhelyezett fedezeti betétek, és azok összege</t>
  </si>
  <si>
    <t xml:space="preserve">Adósságot keletkeztető ügyletekből eredő fizetési kötelezettség  összesen </t>
  </si>
  <si>
    <t xml:space="preserve">** Magyarország gazdasági stabilitásáról szóló 2011. évi CXCIV törvény 3. §  (1) bekezdése alapján </t>
  </si>
  <si>
    <t>KIMUTATÁS</t>
  </si>
  <si>
    <t>a kezességvállalásokból a kezesség érvényesíthetőségeig fennálló kötelezettségekről</t>
  </si>
  <si>
    <t xml:space="preserve">ezer Ft </t>
  </si>
  <si>
    <t xml:space="preserve">Kezességvállalás megnevezése </t>
  </si>
  <si>
    <t xml:space="preserve">a saját bevételek összegéről </t>
  </si>
  <si>
    <t>Saját bevétel megnevezése *</t>
  </si>
  <si>
    <t>Összeg</t>
  </si>
  <si>
    <t xml:space="preserve">Helyi adóból származó bevétel </t>
  </si>
  <si>
    <t xml:space="preserve">Az önkormányzati vagyon és az önkormányzatot megillető vagyoni értékű jog értékesítéséből és hasznosításából származó bevétel </t>
  </si>
  <si>
    <t xml:space="preserve">Osztalék, koncessziós díj és hozambevétel </t>
  </si>
  <si>
    <t xml:space="preserve">Tárgyieszköz értékesítéséből származó bevétel </t>
  </si>
  <si>
    <t xml:space="preserve">Immateriális jószág értékesítéséből származó bevétel </t>
  </si>
  <si>
    <t xml:space="preserve">Részvény értékesítéséből származó bevétel </t>
  </si>
  <si>
    <t xml:space="preserve">Részesedés értékesítéséből származó bevétel </t>
  </si>
  <si>
    <t xml:space="preserve">Vállalat értékesítéséből vagy privatizációból származó bevétel </t>
  </si>
  <si>
    <t>Bírság-, pótlék- és díjbevétel</t>
  </si>
  <si>
    <t>Kezeséggel kapcsolatos megtérülés</t>
  </si>
  <si>
    <t>Saját bevétel összesen</t>
  </si>
  <si>
    <t xml:space="preserve">* Az adósságot keletkeztető ügyletekhez történő hozzájárulás részletes szabályairól szóló 353/2011. (XII.30.) Korm. rendelet 2. § alapján </t>
  </si>
  <si>
    <t>azon fejlesztési célokról, amelyek megvalósításához a Magyarország gazdasági stabilitásáról szóló 2011. évi törvény 3. § (1) szerinti adósságot keletkeztető ügylet megkötése válik vagy válhat szükségessé, az adósságot keletkeztető ügyletek várható összegé</t>
  </si>
  <si>
    <t>Adósságot keletkeztető ügylet megnevezése</t>
  </si>
  <si>
    <t>I. Fejlesztési cél, amelyek megvalósításához adósságot keletkeztető ügylet megkötése válik, vagy válhat szükségessé</t>
  </si>
  <si>
    <t>Harsány Község Önkormányzata adósságot  keletkeztető ügyletet nem tervez</t>
  </si>
  <si>
    <t>Áht. 29/A.§  szerinti középtávú tervezésre vonatkozó kimutatás</t>
  </si>
  <si>
    <t>Megnevezés</t>
  </si>
  <si>
    <t>Saját bevétel  50 %-a</t>
  </si>
  <si>
    <t>Előző években keletkezett tárgyévet terhelő fizetési kötelezettség</t>
  </si>
  <si>
    <t>Tárgyévben keletkezett, illetve keletkező tárgyévet terhelő fizetési kötelezettség</t>
  </si>
  <si>
    <t>Fizetési kötelezettség összesen</t>
  </si>
  <si>
    <t xml:space="preserve">a közvetett támogatások tervezett összegéről </t>
  </si>
  <si>
    <t xml:space="preserve">Közvetett támogatás megnevezése </t>
  </si>
  <si>
    <t>Közvetett támogatás tervezett összege</t>
  </si>
  <si>
    <t xml:space="preserve">Ellátottak térítési díjának, kártérítésének méltányossági alapon történő elengedésének összege  </t>
  </si>
  <si>
    <t xml:space="preserve">Lakosság részére lakásépítéshez, lakásfelújításhoz nyújtott kölcsönök elengedésének összege </t>
  </si>
  <si>
    <t>Helyi adónál biztosított kedvezmény összege</t>
  </si>
  <si>
    <t xml:space="preserve">Ebből: </t>
  </si>
  <si>
    <t xml:space="preserve">       - építményadó</t>
  </si>
  <si>
    <t xml:space="preserve">       - telekadó</t>
  </si>
  <si>
    <t xml:space="preserve">       - vállalkozások kommunális adója</t>
  </si>
  <si>
    <t xml:space="preserve">       - magánszemélyek kommunális adója</t>
  </si>
  <si>
    <t xml:space="preserve">       - idegenforgalmi adó tartózkodás után </t>
  </si>
  <si>
    <t xml:space="preserve">       - idegenforgalmi adó épületek után </t>
  </si>
  <si>
    <t xml:space="preserve">       - iparűzési adó állandó jelleggel végzett iparűzési tevékenység után </t>
  </si>
  <si>
    <t xml:space="preserve">       - iparűzési adó ideiglenes jelleggel végzett iparűzési tevék. után </t>
  </si>
  <si>
    <t>Gépjárműadónál biztosított kedvezmény összege</t>
  </si>
  <si>
    <t>Helyi adónál biztosított mentesség összege</t>
  </si>
  <si>
    <t>Gépjárműadónál biztosított mentesség összege</t>
  </si>
  <si>
    <t>Helyiségek, eszközök hasznosításából származó kedvezmény összege</t>
  </si>
  <si>
    <t>Helyiségek, eszközök hasznosításából származó mentesség összege</t>
  </si>
  <si>
    <t>Egyéb nyújtott kedvezmény vagy kölcsön elengedésének összege</t>
  </si>
  <si>
    <t xml:space="preserve">ÖSSZESEN </t>
  </si>
  <si>
    <t xml:space="preserve">Szöveges indokolás: </t>
  </si>
  <si>
    <t>Az önkormányzat Európai Uniós forrásból megvalósuló feladatai</t>
  </si>
  <si>
    <t xml:space="preserve">Bevételek </t>
  </si>
  <si>
    <t>A. Elszámolható költségek</t>
  </si>
  <si>
    <t>I. Saját forrás</t>
  </si>
  <si>
    <t xml:space="preserve">  I.1. támogatást igénylő hozzájárulás</t>
  </si>
  <si>
    <t xml:space="preserve">  I.2. központi támogatás EU Önereő</t>
  </si>
  <si>
    <t xml:space="preserve">  I.3. hitel</t>
  </si>
  <si>
    <t xml:space="preserve">  I.4. egyéb saját forrás</t>
  </si>
  <si>
    <t>II. Támogatás EU és hazai társfinanszírozás</t>
  </si>
  <si>
    <t>III. BM Támogatás</t>
  </si>
  <si>
    <t>B. nem elszámolható költségek</t>
  </si>
  <si>
    <t xml:space="preserve">  I.2. központi támogatás</t>
  </si>
  <si>
    <t>Bevételek összesen  A + B</t>
  </si>
  <si>
    <t xml:space="preserve">Kiadások </t>
  </si>
  <si>
    <t>I.  Elszámolható kiadások</t>
  </si>
  <si>
    <t>megvalósítási költségek</t>
  </si>
  <si>
    <t>II. Nem elszámolható költségek</t>
  </si>
  <si>
    <t>Kadások összesen (I.+II)</t>
  </si>
  <si>
    <t>Adatszolgáltatás az önkormányzat felügyelete alá tartozó</t>
  </si>
  <si>
    <t xml:space="preserve">  költségvetési szerv által elismert tartozásállományról 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</si>
  <si>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</si>
  <si>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</si>
  <si>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</si>
  <si>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</si>
  <si>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sorsz.</t>
  </si>
  <si>
    <t>........ napon túli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</si>
  <si>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</si>
  <si>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</si>
  <si>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</si>
  <si>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</si>
  <si>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</si>
  <si>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</si>
  <si>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</si>
  <si>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</si>
  <si>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</si>
  <si>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</si>
  <si>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</si>
  <si>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 xml:space="preserve">Szállítókkal szembeni tartozásállomány </t>
  </si>
  <si>
    <t>Egyéb tartozásállomány</t>
  </si>
  <si>
    <t xml:space="preserve">(x) Az önkormányzat költségvetési rendeletének 15. §-ában </t>
  </si>
  <si>
    <t>meghatározott határnapon túli tartozásállomány.</t>
  </si>
  <si>
    <t>..........................................</t>
  </si>
  <si>
    <t xml:space="preserve"> költségvetési szerv vezetője </t>
  </si>
  <si>
    <t>Január</t>
  </si>
  <si>
    <t>Február</t>
  </si>
  <si>
    <t>Március</t>
  </si>
  <si>
    <t>Április</t>
  </si>
  <si>
    <t>Május</t>
  </si>
  <si>
    <t>Június</t>
  </si>
  <si>
    <t>Július</t>
  </si>
  <si>
    <t>Összesen:</t>
  </si>
  <si>
    <t>Bevételli előirányzatok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</si>
  <si>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</si>
  <si>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</si>
  <si>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</si>
  <si>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</si>
  <si>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5.</t>
  </si>
  <si>
    <t xml:space="preserve"> Felhalmozási bevételek</t>
  </si>
  <si>
    <t>6.</t>
  </si>
  <si>
    <t xml:space="preserve"> Felhalmozási célú támogatások államháztartáson belülről</t>
  </si>
  <si>
    <t>7.</t>
  </si>
  <si>
    <t xml:space="preserve"> Felhalmozási célú átvett pénzeszközök</t>
  </si>
  <si>
    <t>8.</t>
  </si>
  <si>
    <t>Finaszírozási bevételek</t>
  </si>
  <si>
    <t>9.</t>
  </si>
  <si>
    <t>Bevételi előir. összesen:</t>
  </si>
  <si>
    <t>10.</t>
  </si>
  <si>
    <t>Kiadások</t>
  </si>
  <si>
    <t>11.</t>
  </si>
  <si>
    <t>Személyi juttatások</t>
  </si>
  <si>
    <t>12.</t>
  </si>
  <si>
    <t>Munkaadót terhelő járulékok</t>
  </si>
  <si>
    <t>13.</t>
  </si>
  <si>
    <t>14.</t>
  </si>
  <si>
    <t>ellátottak pénbeli juttatásai</t>
  </si>
  <si>
    <t>15.</t>
  </si>
  <si>
    <t>16.</t>
  </si>
  <si>
    <t>Felhalmozási kiadások</t>
  </si>
  <si>
    <t>17.</t>
  </si>
  <si>
    <t>Finanszírozási kiadások</t>
  </si>
  <si>
    <t>18.</t>
  </si>
  <si>
    <t>19.</t>
  </si>
  <si>
    <t>20.</t>
  </si>
  <si>
    <t>Kiadási előir. összesen:</t>
  </si>
  <si>
    <t xml:space="preserve"> </t>
  </si>
  <si>
    <t>egyenleg (előző havi egyenleg + tárgy havi bevételi előirányzat - tárgy havi kiadási előirányzat)</t>
  </si>
  <si>
    <t>1.1 Önkormányzatok igazgatási feladatai</t>
  </si>
  <si>
    <t>2.1. igazgatási tev.</t>
  </si>
  <si>
    <t>2. Polgármesteri Hivatal összesen</t>
  </si>
  <si>
    <t>3.1.óvodai nevelés</t>
  </si>
  <si>
    <t>3.2. élelmezési tev.</t>
  </si>
  <si>
    <t xml:space="preserve">B21. Felhalmozási célú önkormányzati támogatások </t>
  </si>
  <si>
    <t xml:space="preserve">B22. Felhalmozási célú garancia- és kezességvállalából származó megtérülések államháztartáson belülről </t>
  </si>
  <si>
    <t xml:space="preserve">B23. Felhalmozási célú visszatérítendő támogatások, kölcsönök visszatérülése államháztartáson belülről </t>
  </si>
  <si>
    <t xml:space="preserve">B24. Felhalmozási célú visszatérítendő támogatások, kölcsönök igénybevétele államháztartáson belülről </t>
  </si>
  <si>
    <t xml:space="preserve">B25. Egyéb felhalmozási célú támogatások bevételei államháztartáson belülről </t>
  </si>
  <si>
    <t xml:space="preserve">B2. Felhalmozási célú támogatások államháztartáson belülről összesen </t>
  </si>
  <si>
    <t xml:space="preserve">B51. Immateriális javak értékesítése </t>
  </si>
  <si>
    <t xml:space="preserve">B52. Ingatlanok értékesítése </t>
  </si>
  <si>
    <t xml:space="preserve">B53. Egyéb tárgyi eszközök értékesítése </t>
  </si>
  <si>
    <t xml:space="preserve">B54. Részesedések értékesítése </t>
  </si>
  <si>
    <t xml:space="preserve">B55. Részesedések megszűnéséhez kapcsolódó bevételek </t>
  </si>
  <si>
    <t xml:space="preserve">B5. Felhalmozási bevételek összesen </t>
  </si>
  <si>
    <t>B71. Felhalmozási célú garancia- és kezességvállalából származó megtérülések államháztartáson kívülről</t>
  </si>
  <si>
    <t>B72. Felhalmozási célú visszatérítendő támogatások, kölcsönök visszatérülése államháztartáson kívülről</t>
  </si>
  <si>
    <t xml:space="preserve">B73. Egyéb felhalmozási célú átvett pénzeszközök </t>
  </si>
  <si>
    <t>FELHALMOZÁSI KÖLTSÉGVETÉSI BEVÉTELEK ÖSSZESEN (B2.+B5.+B7.)</t>
  </si>
  <si>
    <t>FELHALMOZÁSI BEVÉTELEK MINDÖSSZESEN</t>
  </si>
  <si>
    <t>Tartalék</t>
  </si>
  <si>
    <t>Település és intézményüzemeltetéssel kapcsolatos feladatok</t>
  </si>
  <si>
    <t>Közművelődési és sport feladatok</t>
  </si>
  <si>
    <t>Civil szervezetek támogatása</t>
  </si>
  <si>
    <t>támogatás megelőlegezési hitel</t>
  </si>
  <si>
    <t xml:space="preserve">  I.3. Központi támogatás BM támogatás</t>
  </si>
  <si>
    <t>alcím</t>
  </si>
  <si>
    <t>Közutak, hidak, alagutak, parkolók fenntartásá-val kapcsolatos feladatok</t>
  </si>
  <si>
    <t>Közvilágítás</t>
  </si>
  <si>
    <t>Zöldterületek, fenntartásával, gondozásával kapcsolatos feladatok</t>
  </si>
  <si>
    <t>Köztemető fenntartásával kapcsolatos feladatok</t>
  </si>
  <si>
    <t>Sópince műköktetésével, üzemeltetésével kapcsolatos feladatok</t>
  </si>
  <si>
    <t>Egészségshop üzemeltetésével kapcsolatos feladatok</t>
  </si>
  <si>
    <t>Egyéb település- és intézményüzemeltetési feladatok</t>
  </si>
  <si>
    <t>Család- és növédelmi egészségügyi ellátással kapcsolatos feladatok</t>
  </si>
  <si>
    <t>Ifjúság egészségügyi gondozás</t>
  </si>
  <si>
    <t>Ügyeleti ellátás</t>
  </si>
  <si>
    <t xml:space="preserve">4. </t>
  </si>
  <si>
    <t>egyéb egészségügyi ellátsá</t>
  </si>
  <si>
    <t>Házi segítségnyújtással és jelzőrendszeres házi segítségnyújtással kapcsolatos feladatok</t>
  </si>
  <si>
    <t>Egyéb önkormányzati pénzbeni és természetbeni ellátás</t>
  </si>
  <si>
    <t>Önkormányzati feladatra nem tervezhető bevételek, kiadások</t>
  </si>
  <si>
    <t>cím</t>
  </si>
  <si>
    <t>B354 Gépjárműadó</t>
  </si>
  <si>
    <t>közösségi ház működtetésével, fenntartásával kapcsolatos feladatok</t>
  </si>
  <si>
    <t xml:space="preserve">1.2.1.Közutak, hidak, alagutak, parkolók fenntartásával kapcsolatos feladatok </t>
  </si>
  <si>
    <t>1.2.2. Közvilágítás</t>
  </si>
  <si>
    <t>1.2.3. Zöldterületek fenntartásával, gonodzásával kapcsolatos feladatok</t>
  </si>
  <si>
    <t>1.2.4. Köztemető fenntartásával kapcsolatos feladatok</t>
  </si>
  <si>
    <t>1.2.6. Sópince müködtetésével, üzemeltetéséval kapcsolatos feladatok</t>
  </si>
  <si>
    <t>1.2.7. Egészségshop üzemeltetésével kapcsolatos feladatok</t>
  </si>
  <si>
    <t>1.2. Település és intézményüzemeltetési feladatok összesen</t>
  </si>
  <si>
    <t>1.3,1. Család- és nővédelmi egészségügyi ellátással kapcsolatos feladatok</t>
  </si>
  <si>
    <t>1.3.3. Ügyeleti ellátás</t>
  </si>
  <si>
    <t>1.3.2. Ifjúság- egészségügyi gondozás</t>
  </si>
  <si>
    <t>1.3.4. Egyéb egészségügyi ellátás</t>
  </si>
  <si>
    <t>1.3. Egészségügyi ellátás összesen</t>
  </si>
  <si>
    <t>1.4.1 Szociális étkeztetés</t>
  </si>
  <si>
    <t>1.4.2. Háziségítségnyújtással és jelzőrendszeres házi segítségnyújtással kapcsolatos feladatok</t>
  </si>
  <si>
    <t xml:space="preserve">1.4.3. Lakáshoz jutást segítő támogatás </t>
  </si>
  <si>
    <t>1.4.4. Egyéb önkormányzati pénzbeni és természetbeni ellátások</t>
  </si>
  <si>
    <t>1.4.  Szociális ellátással kapcsolatos feladatok</t>
  </si>
  <si>
    <t>1.5.2.Önkormányzati rendezvényekkel kapcsolatos feladatk</t>
  </si>
  <si>
    <t>1.5.3. Sport feladatok</t>
  </si>
  <si>
    <t>1.5. Közművelődési  feladatok</t>
  </si>
  <si>
    <t>1.6. Civil szervezetek támogatása</t>
  </si>
  <si>
    <t>1.7. Közmunka</t>
  </si>
  <si>
    <t>tartalék</t>
  </si>
  <si>
    <t>1.4, Szociális ellátással kapcsolatos feladatok</t>
  </si>
  <si>
    <t>2019.</t>
  </si>
  <si>
    <t>2020.</t>
  </si>
  <si>
    <t xml:space="preserve">FELHALMOZÁSI KIADÁSOK MINDÖSSZESEN (E+F) </t>
  </si>
  <si>
    <t>Az önkormányzat várható bevételei és kiadásai tárgyévben és az azt követő 3 évben</t>
  </si>
  <si>
    <t>1.4.5. Család és gyermekjóléti szolgáltatás</t>
  </si>
  <si>
    <t>1.8 Önkormányzati feladatra nem tervezhető bevételek</t>
  </si>
  <si>
    <t>1.9. Európai Uniós forrásból megvalósuló projektek</t>
  </si>
  <si>
    <t>2021.</t>
  </si>
  <si>
    <t>Család és gyermekjóléti szolgáltatás</t>
  </si>
  <si>
    <t>Választással, népszavazással kapcsolatos feladatok</t>
  </si>
  <si>
    <t>élelmezési tevékenység (gyermekétkeztetés, szociális étkeztetés, szünidei étkeztetés, munkahelyi étkeztetés, egyéb étkeztetés)</t>
  </si>
  <si>
    <t>ÁFA</t>
  </si>
  <si>
    <t>1.8 Önkormányzati feladatra nem tervezhető kiadások</t>
  </si>
  <si>
    <t>1.9. Európai Uniós forrásból megvalósuló projektek összesen</t>
  </si>
  <si>
    <t xml:space="preserve"> Ft</t>
  </si>
  <si>
    <t>Egész életén át tartó tanuláshoz való hozzáférés biztosítása</t>
  </si>
  <si>
    <t>Humánszolgáltatások fejlesztése</t>
  </si>
  <si>
    <t>Belterületi vízrendezés</t>
  </si>
  <si>
    <t>2017 előzetes tény és előző évek</t>
  </si>
  <si>
    <t>2017. előzetes tény és előző évek</t>
  </si>
  <si>
    <t>Ft</t>
  </si>
  <si>
    <t>2022.</t>
  </si>
  <si>
    <t>Harsány belterületi vízrendezése</t>
  </si>
  <si>
    <t>Projekt azonosítója: TOP-1.1.3-15-BO1-2016-00062</t>
  </si>
  <si>
    <t>Óvoda, Bölcsőde fejlesztése Harsányban</t>
  </si>
  <si>
    <t>Projekt azonosítója: TOP-1.4.3-16-BO1-2017-00005</t>
  </si>
  <si>
    <t>Kulturális intézmények a köznevelés eredményességéért</t>
  </si>
  <si>
    <t>Projekt azonosítója: EFOP-3.3.2-2016-00337</t>
  </si>
  <si>
    <t>Turisztikai kerékpárút kialakítása Miskolc - Harsány szakaszon</t>
  </si>
  <si>
    <t>Projekt azonosítója: TOP1.2.1-16-BO1-2017-00010</t>
  </si>
  <si>
    <t>Turisztikai kerékpárút kialakítása  Harsány - Bogács  szakaszon</t>
  </si>
  <si>
    <t>Projekt azonosítója: TOP1.2.1-16-BO1-2017-00007</t>
  </si>
  <si>
    <t>Humán szolgáltatások fejlesztése</t>
  </si>
  <si>
    <t>Projekt azonosítója: EFOP-1.5.2-16-2017-00036</t>
  </si>
  <si>
    <t>Az egész életen át tartó tanuláshoz való hozzáférés biztosítása</t>
  </si>
  <si>
    <t>Projekt azonosítója: EFOP-3.7.3-16-2017-00206</t>
  </si>
  <si>
    <t>Óvoda, bölcsőde fejlesztése Harsányban</t>
  </si>
  <si>
    <t>Kulturális intézmények a köznevelés eredm.</t>
  </si>
  <si>
    <t>Turisztikai kerékpárút kialakítása Miskolc-Harsány szakaszon</t>
  </si>
  <si>
    <t>Turisztikai kerékpárút kialakítása Harsány-Bogács szakaszon</t>
  </si>
  <si>
    <t>Kulturális intézmények a köznevelés eredményességért</t>
  </si>
  <si>
    <t>Turisztikai kerékpárút kialakítása Miskolc-Harsány</t>
  </si>
  <si>
    <t>Turisztikai kerékpárút kialakítása Harsány-Bogács</t>
  </si>
  <si>
    <t xml:space="preserve">      Ft-ban</t>
  </si>
  <si>
    <t xml:space="preserve"> gép, berendezés, eszköz beszerzése</t>
  </si>
  <si>
    <t xml:space="preserve">........................ …év. ............ hó .... nap </t>
  </si>
  <si>
    <t>Mezőgazdasági tevékenység</t>
  </si>
  <si>
    <t>Önkormányzati rendezvényekkel kapcsolatos feladatok</t>
  </si>
  <si>
    <t>Sport feladatok</t>
  </si>
  <si>
    <t>Európai Uniós támogatással megvalósuló projektek</t>
  </si>
  <si>
    <t>Étkeztetéssel kapcsolatos feladatok</t>
  </si>
  <si>
    <t>Lakáshoz jutást segítő támogatás</t>
  </si>
  <si>
    <t>Helyi identitás és kohézió erősítése</t>
  </si>
  <si>
    <t>Alapellátás fejlesztése</t>
  </si>
  <si>
    <t>1.2.9. egyéb település- és intézmény üzemeltetéssel kapcsolatos feladatok</t>
  </si>
  <si>
    <t>1.4.1 Étkeztetéssel kapcsolatos feladatok</t>
  </si>
  <si>
    <t>2.2.Választással, népszavazással kapcsolatos feladatok</t>
  </si>
  <si>
    <t>1.5.1.  Közösségi ház és könyvtár fenntartásával, működtetésével kapcsolatos feladatok</t>
  </si>
  <si>
    <t>1.2.5. Mezőgazdasági tevékenységgel kapcsolatos feladatok</t>
  </si>
  <si>
    <t>1.2.9. Egyéb település- és intézmény üzemeltetéssel kapcsolatos feladatok</t>
  </si>
  <si>
    <t>1.2.5. Mezőgazdasági tevékenységek</t>
  </si>
  <si>
    <t>1.4.2. Házi segítségnyújtással és jelzőrendszeres házi segítségnyújtással kapcsolatos feladatok</t>
  </si>
  <si>
    <t>gép, berendezés, eszköz beszerzése (konyha)</t>
  </si>
  <si>
    <t xml:space="preserve">Rendezési terv </t>
  </si>
  <si>
    <t>Óvodai tornaszoba , bölcsőde építése</t>
  </si>
  <si>
    <t>Kerékpár út kialakítása Miskolc - Harsány</t>
  </si>
  <si>
    <t>Kerékpár út kialakítása  Harsány-Bogács</t>
  </si>
  <si>
    <t>2020. év</t>
  </si>
  <si>
    <t>2018 előzetes tény és előző évek</t>
  </si>
  <si>
    <t>megvalósítási költségek személyi juttatások</t>
  </si>
  <si>
    <t>2017. tény és előző évek</t>
  </si>
  <si>
    <t>2018. előzetes tény</t>
  </si>
  <si>
    <t>2017 tény és előző évek</t>
  </si>
  <si>
    <t>2017  tény és előző évek</t>
  </si>
  <si>
    <t xml:space="preserve">megvalósítási költségek </t>
  </si>
  <si>
    <t>2018. előzetes tény és előző évek</t>
  </si>
  <si>
    <t>2017.  tény és előző évek</t>
  </si>
  <si>
    <t>2017 előzetes  és előző évek</t>
  </si>
  <si>
    <t>Helyi identitás és kohézió erősítés</t>
  </si>
  <si>
    <t>Projekt azonosítója: TOP-5.3.1-16-BO1-2017-000006</t>
  </si>
  <si>
    <t>Projekt azonosítója: EFOP-1.8.2-17-2017-00051</t>
  </si>
  <si>
    <t xml:space="preserve">Költségvetési szervek engedélyezett létszáma </t>
  </si>
  <si>
    <t>Költségvetési szerv</t>
  </si>
  <si>
    <t xml:space="preserve">Engedélyezett létszám (fő) </t>
  </si>
  <si>
    <t>Önkormányzat egészségügyi feladatok</t>
  </si>
  <si>
    <t>Önkormányzat -polgármester</t>
  </si>
  <si>
    <t>Önkormányzat - asszisztens</t>
  </si>
  <si>
    <t xml:space="preserve">Közfoglalkoztatottak engedelyezett átlaglétszáma </t>
  </si>
  <si>
    <t>átlaglétszám</t>
  </si>
  <si>
    <t>8 órás</t>
  </si>
  <si>
    <t xml:space="preserve"> Önkormányzat</t>
  </si>
  <si>
    <t>Harsány Község Polgármesteri Hivatala</t>
  </si>
  <si>
    <t>Ifjúsággarancia rendszer keretében foglalkoztattak éves átlag létszáma</t>
  </si>
  <si>
    <t>Európai Unió által finanszírozott programok keretében foglalkoztatottak létszáma</t>
  </si>
  <si>
    <t>Program megnevezése</t>
  </si>
  <si>
    <t>Munkaviszony</t>
  </si>
  <si>
    <t>megbízási jogviszony</t>
  </si>
  <si>
    <t>létszám</t>
  </si>
  <si>
    <t>munkaidő</t>
  </si>
  <si>
    <t xml:space="preserve"> Óvoda, bölcsőde fejlsztése Harsányban</t>
  </si>
  <si>
    <t xml:space="preserve">5 óra/hét   </t>
  </si>
  <si>
    <t>5 óra/hét</t>
  </si>
  <si>
    <t>10óra/hét</t>
  </si>
  <si>
    <t>60óra/hét</t>
  </si>
  <si>
    <t>32 óra/hét/3fő,  havi 1 alkalom/1fő</t>
  </si>
  <si>
    <t>25óra/hét</t>
  </si>
  <si>
    <t>5óra/hét</t>
  </si>
  <si>
    <t>231óra/hét</t>
  </si>
  <si>
    <t>18óra/hét</t>
  </si>
  <si>
    <t>Önkormányzat községgazdálkodási, település üzemeltetési feladat</t>
  </si>
  <si>
    <t>Harsányi Polgármesteri Hivatal *</t>
  </si>
  <si>
    <t>Lótartás</t>
  </si>
  <si>
    <t>1.2.8. Lótartás</t>
  </si>
  <si>
    <t>Alapellátás fejleszése</t>
  </si>
  <si>
    <t xml:space="preserve">Megjegyzés: Az 1-11 pontokban lévő tételek az Európai Unió támogatásával való valósulnak meg. </t>
  </si>
  <si>
    <t>Az 1. pontnál a támogatási intenzitás 95 %-os, szükséges saját erő 280.988 forint.</t>
  </si>
  <si>
    <t>A 2. pontban nettó költségek szerepelnek, mivel az áfa levonásba helyezhető.</t>
  </si>
  <si>
    <t>Gépjárműadó esetében jogszabály alapján súlyos mozgáskorlátozottaknak, és költségvetési szerveknek adott mentesség és kedvezmény</t>
  </si>
  <si>
    <t>Egyéb: talajterhelési dj fizetése alól mentesül  Harsány Község Önkormányzata 14/2015. (IX.15.)  önkormányzati rendelete alapján:  - az egyedülálló 70 év feletti lakos, az  aki csak kerti csappal vagy lakáson belül szennyvízelhelyzés nélkül falikúttal rendelkezik,  családban élő 70 év feletti  kibocsátó, ha kibocsátók  mindegyi betöltötte a 70. életévét,  egyfőre jutó jövedelem alapján akinek egy főre jutó jövedelme nem haladja meg az öregségi nyugdíj mindenkori legkisebb összegének kétszeresét, egyedülálló esetében háromszorosát.</t>
  </si>
  <si>
    <t>Épület energetikai korszerűsítés</t>
  </si>
  <si>
    <t>Kerékpár út kialakítása Miskolc-Eger</t>
  </si>
  <si>
    <t>Esze Tamás út felújítása</t>
  </si>
  <si>
    <t>Magyar Falu Program keretében út felújítás</t>
  </si>
  <si>
    <t>Turisztikai kerékpárút kialakítása Miskolc-Eger</t>
  </si>
  <si>
    <t>Energetikai korszerűsítés Harsányban</t>
  </si>
  <si>
    <t>Támogatással megvalósuló projektek</t>
  </si>
  <si>
    <t>Magyar Falu program járdafelújítás Kossuth Lajos u. 63/20 hrsz</t>
  </si>
  <si>
    <t>Magyar Falu program Önkormányzati tulajdonú utak felújítása</t>
  </si>
  <si>
    <t>Magyar Falu progrma Óvodai eszközök beszerzése</t>
  </si>
  <si>
    <t>1.9.1. Belterületi vízrendezés</t>
  </si>
  <si>
    <t>1.9.2. óvoda, bölcsőde fejlesztése</t>
  </si>
  <si>
    <t>1.9.3 Kult.int.a köznev. ered.</t>
  </si>
  <si>
    <t>1.9.4 Kerékpárút Miskolc-Harsány</t>
  </si>
  <si>
    <t>1.9.5. Kerékpárút Harsány-Bogács</t>
  </si>
  <si>
    <t>1.9.6. Kerékpárút Miskolc-Eger</t>
  </si>
  <si>
    <t>1.9.7 Humánszolgáltatások fejl.</t>
  </si>
  <si>
    <t>1.9.8. Egész életen át tartó tan</t>
  </si>
  <si>
    <t>1.9.9. Helyi identitás és koházió erősítése</t>
  </si>
  <si>
    <t xml:space="preserve">1.9.10 Alapellátás fejlesztése </t>
  </si>
  <si>
    <t>1.9.11. Energetikai Korszerűsítés Harsányban</t>
  </si>
  <si>
    <t>1.10.1. Magyar Falu program járda felújítás Kossuth Lajos u. 63/20. hrsz</t>
  </si>
  <si>
    <t>1.10.2. Magyar Falu Program Önkormányzati tulajdonú utak felújítása</t>
  </si>
  <si>
    <t>1.10.3 Magyar Falu Program Óvodai eszközök beszerzése</t>
  </si>
  <si>
    <t>1.10. Támogatással megvalósuló projektek</t>
  </si>
  <si>
    <t xml:space="preserve">     A 2020. évi MŰKÖDÉSI BEVÉTELEK  ELŐIRÁNYZATAI</t>
  </si>
  <si>
    <t xml:space="preserve">     A 2020. évi FELHALMOZÁSI BEVÉTELEK ELŐIRÁNYZATAI</t>
  </si>
  <si>
    <t>Harsány Község Önkormányzat 2020. évi bevételi előirányzatai feladat-bontásban</t>
  </si>
  <si>
    <t xml:space="preserve">A 2020. évi MŰKÖDÉSI ÉS FELHALMOZÁSI KÖLTSÉGVETÉS KIADÁSI előirányzatai  </t>
  </si>
  <si>
    <t>Harsány Község Önkormányzat 2020. évi kiadási előirányzatai feladat-bontásban</t>
  </si>
  <si>
    <t>Az önkormányzat 2020. évi felhalmozási kiadásai</t>
  </si>
  <si>
    <t>2020. ......................... hó</t>
  </si>
  <si>
    <t>Turisztikai kerékpárút kialakítása Miskolc-Eger szakaszon</t>
  </si>
  <si>
    <t xml:space="preserve">Kummulált tény 2019 </t>
  </si>
  <si>
    <t>2021-től további évek</t>
  </si>
  <si>
    <t>Saját bevétel és adósságot keletkeztető ügyletből eredő fizetési kötelezettségek</t>
  </si>
  <si>
    <t>2019 tény</t>
  </si>
  <si>
    <t>2018  tény</t>
  </si>
  <si>
    <t>2018 tény</t>
  </si>
  <si>
    <t>Projekt azonosítója: TOP-3.2.-1-16-BO1-208-00139</t>
  </si>
  <si>
    <t>Turisztikai kerékpárút kialakítása  Miskolc - Eger  szakaszon</t>
  </si>
  <si>
    <t>Projekt azonosítója:</t>
  </si>
  <si>
    <t>11/11</t>
  </si>
  <si>
    <r>
      <t xml:space="preserve">      </t>
    </r>
    <r>
      <rPr>
        <i/>
        <sz val="8"/>
        <rFont val="Times New Roman"/>
        <family val="1"/>
      </rPr>
      <t xml:space="preserve">     Céltartalék</t>
    </r>
  </si>
  <si>
    <t>Önkormányzat összesen:</t>
  </si>
  <si>
    <t>Harsányi Polgármesteri Hivatal összesen:</t>
  </si>
  <si>
    <t>Beruházás összesen:</t>
  </si>
  <si>
    <t>Felújítás összesen:</t>
  </si>
  <si>
    <t>Egyéb felhalmozási kiadások összesen:</t>
  </si>
  <si>
    <t>Felhalmozási kiadások összesen:</t>
  </si>
  <si>
    <t>Sorszám</t>
  </si>
  <si>
    <t>Augusztus</t>
  </si>
  <si>
    <t>Szeptember</t>
  </si>
  <si>
    <t>Október</t>
  </si>
  <si>
    <t>November</t>
  </si>
  <si>
    <t>December</t>
  </si>
  <si>
    <t>Előirányzat felhasználási ütemterv 2020. évben</t>
  </si>
  <si>
    <t>Energetikai korszerűsítés</t>
  </si>
  <si>
    <t>Harsányi Hársfavirág Óvoda és Konyha</t>
  </si>
  <si>
    <t>3. Hársfavirág óvoda és Konya összesen</t>
  </si>
  <si>
    <t>3. Hársfavirág Óvoda és Konyha összesen</t>
  </si>
  <si>
    <t>Óvodai eszközök beszerzése (Magyar Falu program)</t>
  </si>
  <si>
    <t>Harsányi Hársfavirág  Óvoda és Konyha</t>
  </si>
  <si>
    <t>Harsányi Hársfavirág Óvoda és Konyha összesen:</t>
  </si>
  <si>
    <t>1. melléklet az 1/2020. (II. 20.) önkormányzati rendelethez</t>
  </si>
  <si>
    <t>2. melléklet az 1/2020. (II. 20.) önkormányzati rendelethez</t>
  </si>
  <si>
    <t>3. melléklet az 1/2020. (II. 20.) önkormányzati rendelethez</t>
  </si>
  <si>
    <t>4. melléklet az  1/2020. (II. 20.) önkormányzati rendelethez</t>
  </si>
  <si>
    <t>5. melléklet az  1/2020. (II. 20.) önkormányzati rendelethez</t>
  </si>
  <si>
    <t>6. melléklet az  1/2020. (II. 20.) önkormányzati rendelethez</t>
  </si>
  <si>
    <t>8. melléklet az  1/2020. (II. 20.) önkormányzati rendelethez</t>
  </si>
  <si>
    <t>9. melléklet az 1 /2020. (II. 20.) önkormányzati rendelethez</t>
  </si>
  <si>
    <t>10. melléklet az 1/2020. (II. 20.) önkormányzati rendelethez</t>
  </si>
  <si>
    <t>11. melléklet az  1/2020. (II. 20.) önkormányzati rendelethez</t>
  </si>
  <si>
    <t>12. melléklet az  1/2020. (II. 20.) önkormányzati rendelethez</t>
  </si>
  <si>
    <t>13. melléklet az 1/2020 . (II. 20.) önkormányzati rendelethez</t>
  </si>
  <si>
    <t>14. melléklet az  1/2020. (II. 20.) önkormányzati rendelethez</t>
  </si>
  <si>
    <t>15. melléklet az 1/2020. (II. 20.) önkormányzati rendelethez</t>
  </si>
  <si>
    <t>16. melléklet az   1/2020. (II. 20.) önkormányzati rendelethez</t>
  </si>
  <si>
    <t>17. melléklet  az 1/2020 . (II. 20.) önkormányzati rendelethez</t>
  </si>
  <si>
    <t>18. melléklet az 1/2020. (II. 20.) önkormányzati rendelethez</t>
  </si>
  <si>
    <t>19. melléklet az 1/2020. (II. 20.) önkormányzati rendelethez</t>
  </si>
  <si>
    <t>20. melléklet az 1/2020. (II. 20.) önkormányzati rendelethez</t>
  </si>
  <si>
    <t>1. melléklet az  /2020. (   .) önkormányzati rendelethez</t>
  </si>
  <si>
    <t>eredeti előirányzata</t>
  </si>
  <si>
    <t>1. módosítás</t>
  </si>
  <si>
    <t>Módosított előirányzat</t>
  </si>
  <si>
    <t>Klímastratégia</t>
  </si>
  <si>
    <t>2. melléklet az  /2020. (   .) önkormányzati rendelethez</t>
  </si>
  <si>
    <t>3. melléklet az  /2020. (   .) önkormányzati rendelethez</t>
  </si>
  <si>
    <t>Önkormányzat eredeti</t>
  </si>
  <si>
    <t>Önkormányzat 1.  módosítás</t>
  </si>
  <si>
    <t>Önkormányzat módosított</t>
  </si>
  <si>
    <t>Polgármesteri Hivatal eredeti</t>
  </si>
  <si>
    <t xml:space="preserve">Polgármesteri Hivatal 1. módosítás </t>
  </si>
  <si>
    <t>Polgármesteri Hivatal módosított</t>
  </si>
  <si>
    <t>Harsányi Hárfavirág Óvoda eredeti</t>
  </si>
  <si>
    <t xml:space="preserve">Harsányi Hárfavirág Óvoda 1. módosítás  </t>
  </si>
  <si>
    <t>Harsányi Hárfavirág Óvoda módosított</t>
  </si>
  <si>
    <t>Eredeti összesen</t>
  </si>
  <si>
    <t>Módosítás összesen</t>
  </si>
  <si>
    <t>Módosított összesen</t>
  </si>
  <si>
    <t>B112. Elvonások és befizetések bevételei</t>
  </si>
  <si>
    <t>B410. Biztosítótól kapott bevétel</t>
  </si>
  <si>
    <t xml:space="preserve">B411. Egyéb működési bevételek </t>
  </si>
  <si>
    <t>4. melléklet az  /2020. (   .) önkormányzati rendelethez</t>
  </si>
  <si>
    <t>1.9.12. Klímastartégia</t>
  </si>
  <si>
    <t>Önként vállalt feladat teljesítés</t>
  </si>
  <si>
    <t>Kötelező feladat teljesítés</t>
  </si>
  <si>
    <t>Állam- igazgatási feladat teljesítés</t>
  </si>
  <si>
    <t>Költségvetési bevétel módosított összesen</t>
  </si>
  <si>
    <t>Költségvetési bevétel 1. módosítás összesen</t>
  </si>
  <si>
    <t>Költségvetési bevétel eredeti összesen</t>
  </si>
  <si>
    <t>Felhalmozási kv.bevételei módosított összesen</t>
  </si>
  <si>
    <t>Felhalmozási kv.bevételei 1. módosítás összesen</t>
  </si>
  <si>
    <t>Felhalmozási kv.bevételei eredeti összesen</t>
  </si>
  <si>
    <t>B7 Felhalmozási célú átvett pénzeszközök módosított</t>
  </si>
  <si>
    <t>B7 Felhalmozási célú átvett pénzeszközök 1. módosítás</t>
  </si>
  <si>
    <t>B7 Felhalmozási célú átvett pénzeszközök eredeti</t>
  </si>
  <si>
    <t>B5 Felhalmozási bevételek módosított</t>
  </si>
  <si>
    <t>B5 Felhalmozási bevételek 1. módosítás</t>
  </si>
  <si>
    <t>B5 Felhalmozási bevételek eredeti</t>
  </si>
  <si>
    <t>B2 Felhalmozási célú támogatások módosított</t>
  </si>
  <si>
    <t>B2 Felhalmozási célú támogatások 1. módosítás</t>
  </si>
  <si>
    <t>B2 Felhalmozási célú támogatások eredeti</t>
  </si>
  <si>
    <t>Működési kv.bevételei módosított</t>
  </si>
  <si>
    <t>Működési kv. Bevételei 1. módosítás</t>
  </si>
  <si>
    <t>Működési kv. bevételei eredeti</t>
  </si>
  <si>
    <t>B6 Működési célú átvett pénzeszköz módosított</t>
  </si>
  <si>
    <t>B6 Működési célú átvett pénzeszköz 1. módosítás</t>
  </si>
  <si>
    <t>B6 Működési célú átvett pénzeszköz eredeti</t>
  </si>
  <si>
    <t>B4 Működési bevételek módosított</t>
  </si>
  <si>
    <t>B4 Működési bevételek 1. módosítás</t>
  </si>
  <si>
    <t>B4 Működési bevételek eredeti</t>
  </si>
  <si>
    <t>B3 Közhatalmi bevételek módosított</t>
  </si>
  <si>
    <t>B3 Közhatalmi bevételek 1. módósítás</t>
  </si>
  <si>
    <t>B3 Közhatalmi bevételek eredeti</t>
  </si>
  <si>
    <t>B1 Működési célú támogatások módosított</t>
  </si>
  <si>
    <t>B1 Működési célú 1. módosítás</t>
  </si>
  <si>
    <t>B1 Működési célú támogatások eredeti</t>
  </si>
  <si>
    <t>5. melléklet az  /2020. (   .) önkormányzati rendelethez</t>
  </si>
  <si>
    <t>6. melléklet az  /2020. (   .) önkormányzati rendelethez</t>
  </si>
  <si>
    <t>7. melléklet az   /2020. (    ) önkormányzati rendelethez</t>
  </si>
  <si>
    <t>7 melléklet az   1/2020. (II. 20.) önkormányzati rendelethez</t>
  </si>
  <si>
    <t>Személyi juttatás eredeti</t>
  </si>
  <si>
    <t>Személyi juttatás1. módosítás</t>
  </si>
  <si>
    <t>Személi juttatás módosított</t>
  </si>
  <si>
    <t>Járulékok eredeti</t>
  </si>
  <si>
    <t>Járulékok 1 módosítás</t>
  </si>
  <si>
    <t>Járulék módosított</t>
  </si>
  <si>
    <t>Dologi kiadások eredeti</t>
  </si>
  <si>
    <t>Dologi kiadások 1. módosítás</t>
  </si>
  <si>
    <t>Dologi módosított</t>
  </si>
  <si>
    <t>Ellátottak pénzbeli juttatásai eredeti</t>
  </si>
  <si>
    <t>Ellátottak pénzbeli juttatásai 1. módosítás</t>
  </si>
  <si>
    <t>Ellátottak pénzbeli juttatásai módosított</t>
  </si>
  <si>
    <t>Egyéb működési kiadások eredeti</t>
  </si>
  <si>
    <t>Egyéb működési kiadások 1. módosítás</t>
  </si>
  <si>
    <t>Egyéb működési kiadások  módosított</t>
  </si>
  <si>
    <t>Tartalék eredeti</t>
  </si>
  <si>
    <t>Tartalék módosított</t>
  </si>
  <si>
    <t>Működési kv.kiadásai eredeti összesen</t>
  </si>
  <si>
    <t>Működési kv.kiadásai 1. módosítás összesen</t>
  </si>
  <si>
    <t>Működési kv.kiadás módosított összesen</t>
  </si>
  <si>
    <t>Beruházás eredeti</t>
  </si>
  <si>
    <t>Beruházás 1. módosítás</t>
  </si>
  <si>
    <t>Beruházás módosított</t>
  </si>
  <si>
    <t>Felújítás eredeti</t>
  </si>
  <si>
    <t>Felújítás 1. módosítás</t>
  </si>
  <si>
    <t>Felújítás módosított</t>
  </si>
  <si>
    <t>Egyéb felhalmozási kiadások eredeti</t>
  </si>
  <si>
    <t>Egyéb felhalmozási kiadások 1. módosítás</t>
  </si>
  <si>
    <t>Egyéb felhalmozási kiadások módosított</t>
  </si>
  <si>
    <t>Felhalmozási kv.kiadásai eredeti</t>
  </si>
  <si>
    <t>Felhalmozási kv.kiadásai 1. módosítás</t>
  </si>
  <si>
    <t>Felhalmozási kv.kiadásai módosított</t>
  </si>
  <si>
    <t>Költségvetési kiadás eredeti</t>
  </si>
  <si>
    <t>Költségvetési kiadás módosított</t>
  </si>
  <si>
    <t>1.9.12. Klímastratégia</t>
  </si>
  <si>
    <t>1.9.13. Hűtőház</t>
  </si>
  <si>
    <t>8. melléklet az  /2020. (   .) önkormányzati rendelethez</t>
  </si>
  <si>
    <t xml:space="preserve">Előirányzat eredeti összege </t>
  </si>
  <si>
    <t>Előirányzat 1. módosítás  összege</t>
  </si>
  <si>
    <t>Előirányzat módosított összege</t>
  </si>
  <si>
    <t>Hűtőház eszköz beszerzés</t>
  </si>
  <si>
    <t>Fénymásoló berendezés</t>
  </si>
  <si>
    <t>Kisértékű tárgyi eszköz beszerzés</t>
  </si>
  <si>
    <t>Kossuth Lajos u. felújítása</t>
  </si>
  <si>
    <t>Magyar falu Program járdafelújítás</t>
  </si>
  <si>
    <t>9. melléklet az  /2020. (   .) önkormányzati rendelethez</t>
  </si>
  <si>
    <t>10. melléklet az  /2020. (   .) önkormányzati rendelethez</t>
  </si>
  <si>
    <t>Nyári diákmunka</t>
  </si>
  <si>
    <t>30óra/hét</t>
  </si>
  <si>
    <t xml:space="preserve">Klímatratégia </t>
  </si>
  <si>
    <t>1óra/hét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</si>
</sst>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mmm\ d/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</numFmts>
  <fonts count="5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Times New Roman CE"/>
      <family val="1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Arial CE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b/>
      <sz val="10"/>
      <name val="Arial CE"/>
      <family val="2"/>
    </font>
    <font>
      <i/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i/>
      <sz val="10"/>
      <name val="Arial CE"/>
      <family val="0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thin">
        <color indexed="4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DashDotDot">
        <color indexed="8"/>
      </top>
      <bottom style="mediumDashDotDot">
        <color indexed="8"/>
      </bottom>
    </border>
    <border>
      <left style="thin">
        <color indexed="8"/>
      </left>
      <right style="thin">
        <color indexed="8"/>
      </right>
      <top style="mediumDashDot">
        <color indexed="8"/>
      </top>
      <bottom style="mediumDashDot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ashDotDot">
        <color indexed="8"/>
      </top>
      <bottom style="dashDotDot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dashDotDot">
        <color indexed="8"/>
      </top>
      <bottom style="dashDotDot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ashDotDot">
        <color indexed="8"/>
      </top>
      <bottom style="dashDotDot">
        <color indexed="8"/>
      </bottom>
    </border>
    <border>
      <left style="medium"/>
      <right>
        <color indexed="63"/>
      </right>
      <top style="slantDashDot">
        <color indexed="8"/>
      </top>
      <bottom style="slantDashDot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double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double"/>
      <top style="double"/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5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4" borderId="7" applyNumberFormat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8" applyNumberFormat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17" borderId="0" applyNumberFormat="0" applyBorder="0" applyAlignment="0" applyProtection="0"/>
    <xf numFmtId="0" fontId="16" fillId="7" borderId="0" applyNumberFormat="0" applyBorder="0" applyAlignment="0" applyProtection="0"/>
    <xf numFmtId="0" fontId="17" fillId="16" borderId="1" applyNumberFormat="0" applyAlignment="0" applyProtection="0"/>
    <xf numFmtId="9" fontId="1" fillId="0" borderId="0" applyFill="0" applyBorder="0" applyAlignment="0" applyProtection="0"/>
  </cellStyleXfs>
  <cellXfs count="756">
    <xf numFmtId="0" fontId="0" fillId="0" borderId="0" xfId="0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4" fillId="0" borderId="0" xfId="59" applyProtection="1">
      <alignment/>
      <protection locked="0"/>
    </xf>
    <xf numFmtId="166" fontId="21" fillId="0" borderId="10" xfId="59" applyNumberFormat="1" applyFont="1" applyBorder="1" applyAlignment="1" applyProtection="1">
      <alignment vertical="center"/>
      <protection locked="0"/>
    </xf>
    <xf numFmtId="0" fontId="14" fillId="0" borderId="0" xfId="59" applyAlignment="1" applyProtection="1">
      <alignment vertical="center"/>
      <protection locked="0"/>
    </xf>
    <xf numFmtId="0" fontId="21" fillId="0" borderId="0" xfId="59" applyFont="1" applyProtection="1">
      <alignment/>
      <protection locked="0"/>
    </xf>
    <xf numFmtId="0" fontId="22" fillId="0" borderId="0" xfId="0" applyFont="1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/>
    </xf>
    <xf numFmtId="3" fontId="22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7" fillId="0" borderId="11" xfId="0" applyFont="1" applyBorder="1" applyAlignment="1">
      <alignment/>
    </xf>
    <xf numFmtId="0" fontId="27" fillId="0" borderId="11" xfId="0" applyFont="1" applyBorder="1" applyAlignment="1">
      <alignment wrapText="1"/>
    </xf>
    <xf numFmtId="3" fontId="27" fillId="0" borderId="11" xfId="0" applyNumberFormat="1" applyFont="1" applyBorder="1" applyAlignment="1">
      <alignment/>
    </xf>
    <xf numFmtId="0" fontId="26" fillId="0" borderId="11" xfId="0" applyFont="1" applyBorder="1" applyAlignment="1">
      <alignment/>
    </xf>
    <xf numFmtId="3" fontId="26" fillId="0" borderId="11" xfId="0" applyNumberFormat="1" applyFont="1" applyBorder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11" xfId="0" applyFont="1" applyBorder="1" applyAlignment="1">
      <alignment horizontal="center"/>
    </xf>
    <xf numFmtId="0" fontId="1" fillId="0" borderId="0" xfId="58">
      <alignment/>
      <protection/>
    </xf>
    <xf numFmtId="0" fontId="1" fillId="0" borderId="0" xfId="57">
      <alignment/>
      <protection/>
    </xf>
    <xf numFmtId="0" fontId="28" fillId="0" borderId="0" xfId="57" applyFont="1">
      <alignment/>
      <protection/>
    </xf>
    <xf numFmtId="0" fontId="22" fillId="0" borderId="0" xfId="0" applyFont="1" applyAlignment="1">
      <alignment horizontal="center"/>
    </xf>
    <xf numFmtId="0" fontId="1" fillId="0" borderId="0" xfId="56">
      <alignment/>
      <protection/>
    </xf>
    <xf numFmtId="0" fontId="28" fillId="0" borderId="0" xfId="56" applyFont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8" fillId="0" borderId="0" xfId="0" applyFont="1" applyBorder="1" applyAlignment="1">
      <alignment/>
    </xf>
    <xf numFmtId="3" fontId="28" fillId="0" borderId="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18" borderId="0" xfId="0" applyFont="1" applyFill="1" applyAlignment="1">
      <alignment vertical="center" wrapText="1"/>
    </xf>
    <xf numFmtId="0" fontId="30" fillId="0" borderId="0" xfId="0" applyFont="1" applyAlignment="1">
      <alignment/>
    </xf>
    <xf numFmtId="0" fontId="0" fillId="19" borderId="0" xfId="0" applyFill="1" applyAlignment="1">
      <alignment/>
    </xf>
    <xf numFmtId="0" fontId="31" fillId="0" borderId="0" xfId="56" applyFont="1">
      <alignment/>
      <protection/>
    </xf>
    <xf numFmtId="16" fontId="1" fillId="0" borderId="0" xfId="0" applyNumberFormat="1" applyFont="1" applyAlignment="1">
      <alignment/>
    </xf>
    <xf numFmtId="0" fontId="1" fillId="0" borderId="0" xfId="56" applyAlignment="1">
      <alignment horizontal="right"/>
      <protection/>
    </xf>
    <xf numFmtId="0" fontId="0" fillId="0" borderId="0" xfId="0" applyAlignment="1">
      <alignment wrapText="1"/>
    </xf>
    <xf numFmtId="3" fontId="32" fillId="0" borderId="11" xfId="0" applyNumberFormat="1" applyFont="1" applyBorder="1" applyAlignment="1">
      <alignment horizontal="right" wrapText="1"/>
    </xf>
    <xf numFmtId="3" fontId="32" fillId="0" borderId="11" xfId="0" applyNumberFormat="1" applyFont="1" applyBorder="1" applyAlignment="1">
      <alignment horizontal="right" vertical="center" wrapText="1"/>
    </xf>
    <xf numFmtId="3" fontId="32" fillId="0" borderId="12" xfId="0" applyNumberFormat="1" applyFont="1" applyBorder="1" applyAlignment="1">
      <alignment horizontal="right" vertical="center" wrapText="1"/>
    </xf>
    <xf numFmtId="3" fontId="32" fillId="0" borderId="11" xfId="0" applyNumberFormat="1" applyFont="1" applyBorder="1" applyAlignment="1">
      <alignment wrapText="1"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left" wrapText="1"/>
    </xf>
    <xf numFmtId="0" fontId="27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right"/>
    </xf>
    <xf numFmtId="0" fontId="27" fillId="0" borderId="11" xfId="0" applyFont="1" applyBorder="1" applyAlignment="1">
      <alignment/>
    </xf>
    <xf numFmtId="0" fontId="26" fillId="16" borderId="11" xfId="0" applyFont="1" applyFill="1" applyBorder="1" applyAlignment="1">
      <alignment/>
    </xf>
    <xf numFmtId="0" fontId="27" fillId="0" borderId="0" xfId="0" applyFont="1" applyAlignment="1">
      <alignment horizontal="right"/>
    </xf>
    <xf numFmtId="0" fontId="27" fillId="0" borderId="0" xfId="58" applyFont="1">
      <alignment/>
      <protection/>
    </xf>
    <xf numFmtId="0" fontId="27" fillId="0" borderId="0" xfId="58" applyFont="1" applyAlignment="1">
      <alignment horizontal="right"/>
      <protection/>
    </xf>
    <xf numFmtId="0" fontId="26" fillId="0" borderId="11" xfId="58" applyFont="1" applyBorder="1" applyAlignment="1">
      <alignment horizontal="center" vertical="center"/>
      <protection/>
    </xf>
    <xf numFmtId="0" fontId="29" fillId="0" borderId="11" xfId="58" applyFont="1" applyBorder="1">
      <alignment/>
      <protection/>
    </xf>
    <xf numFmtId="3" fontId="29" fillId="0" borderId="11" xfId="58" applyNumberFormat="1" applyFont="1" applyBorder="1" applyAlignment="1">
      <alignment horizontal="right"/>
      <protection/>
    </xf>
    <xf numFmtId="0" fontId="29" fillId="0" borderId="11" xfId="58" applyFont="1" applyBorder="1" applyAlignment="1">
      <alignment vertical="center" wrapText="1"/>
      <protection/>
    </xf>
    <xf numFmtId="0" fontId="33" fillId="0" borderId="11" xfId="58" applyFont="1" applyBorder="1" applyAlignment="1">
      <alignment vertical="center" wrapText="1"/>
      <protection/>
    </xf>
    <xf numFmtId="3" fontId="33" fillId="0" borderId="11" xfId="58" applyNumberFormat="1" applyFont="1" applyBorder="1" applyAlignment="1">
      <alignment horizontal="right"/>
      <protection/>
    </xf>
    <xf numFmtId="0" fontId="27" fillId="0" borderId="0" xfId="58" applyFont="1" applyAlignment="1">
      <alignment vertical="center" wrapText="1"/>
      <protection/>
    </xf>
    <xf numFmtId="3" fontId="29" fillId="0" borderId="11" xfId="58" applyNumberFormat="1" applyFont="1" applyBorder="1">
      <alignment/>
      <protection/>
    </xf>
    <xf numFmtId="0" fontId="33" fillId="0" borderId="11" xfId="58" applyFont="1" applyBorder="1">
      <alignment/>
      <protection/>
    </xf>
    <xf numFmtId="3" fontId="33" fillId="0" borderId="11" xfId="58" applyNumberFormat="1" applyFont="1" applyBorder="1">
      <alignment/>
      <protection/>
    </xf>
    <xf numFmtId="0" fontId="29" fillId="0" borderId="0" xfId="58" applyFont="1">
      <alignment/>
      <protection/>
    </xf>
    <xf numFmtId="0" fontId="32" fillId="0" borderId="0" xfId="0" applyFont="1" applyAlignment="1">
      <alignment/>
    </xf>
    <xf numFmtId="0" fontId="34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/>
    </xf>
    <xf numFmtId="0" fontId="34" fillId="0" borderId="11" xfId="0" applyFont="1" applyBorder="1" applyAlignment="1">
      <alignment horizontal="center"/>
    </xf>
    <xf numFmtId="0" fontId="32" fillId="0" borderId="11" xfId="0" applyFont="1" applyBorder="1" applyAlignment="1">
      <alignment vertical="center" wrapText="1"/>
    </xf>
    <xf numFmtId="0" fontId="32" fillId="0" borderId="11" xfId="0" applyFont="1" applyBorder="1" applyAlignment="1">
      <alignment/>
    </xf>
    <xf numFmtId="0" fontId="32" fillId="0" borderId="11" xfId="0" applyFont="1" applyBorder="1" applyAlignment="1">
      <alignment wrapText="1"/>
    </xf>
    <xf numFmtId="3" fontId="32" fillId="0" borderId="11" xfId="0" applyNumberFormat="1" applyFont="1" applyBorder="1" applyAlignment="1">
      <alignment/>
    </xf>
    <xf numFmtId="0" fontId="34" fillId="0" borderId="11" xfId="0" applyFont="1" applyBorder="1" applyAlignment="1">
      <alignment/>
    </xf>
    <xf numFmtId="3" fontId="34" fillId="0" borderId="11" xfId="0" applyNumberFormat="1" applyFont="1" applyBorder="1" applyAlignment="1">
      <alignment/>
    </xf>
    <xf numFmtId="0" fontId="32" fillId="0" borderId="0" xfId="0" applyFont="1" applyFill="1" applyBorder="1" applyAlignment="1">
      <alignment/>
    </xf>
    <xf numFmtId="0" fontId="27" fillId="0" borderId="0" xfId="57" applyFont="1">
      <alignment/>
      <protection/>
    </xf>
    <xf numFmtId="0" fontId="26" fillId="0" borderId="11" xfId="57" applyFont="1" applyBorder="1">
      <alignment/>
      <protection/>
    </xf>
    <xf numFmtId="0" fontId="26" fillId="0" borderId="11" xfId="57" applyFont="1" applyBorder="1" applyAlignment="1">
      <alignment horizontal="center" vertical="center"/>
      <protection/>
    </xf>
    <xf numFmtId="0" fontId="32" fillId="0" borderId="11" xfId="57" applyFont="1" applyBorder="1">
      <alignment/>
      <protection/>
    </xf>
    <xf numFmtId="3" fontId="32" fillId="0" borderId="11" xfId="57" applyNumberFormat="1" applyFont="1" applyBorder="1">
      <alignment/>
      <protection/>
    </xf>
    <xf numFmtId="0" fontId="32" fillId="0" borderId="11" xfId="57" applyFont="1" applyBorder="1" applyAlignment="1">
      <alignment vertical="center" wrapText="1"/>
      <protection/>
    </xf>
    <xf numFmtId="0" fontId="34" fillId="0" borderId="11" xfId="57" applyFont="1" applyBorder="1">
      <alignment/>
      <protection/>
    </xf>
    <xf numFmtId="3" fontId="34" fillId="0" borderId="11" xfId="57" applyNumberFormat="1" applyFont="1" applyBorder="1">
      <alignment/>
      <protection/>
    </xf>
    <xf numFmtId="0" fontId="34" fillId="0" borderId="12" xfId="57" applyFont="1" applyBorder="1">
      <alignment/>
      <protection/>
    </xf>
    <xf numFmtId="0" fontId="34" fillId="0" borderId="11" xfId="57" applyFont="1" applyBorder="1" applyAlignment="1">
      <alignment horizontal="center" vertical="center" wrapText="1"/>
      <protection/>
    </xf>
    <xf numFmtId="3" fontId="34" fillId="0" borderId="11" xfId="57" applyNumberFormat="1" applyFont="1" applyBorder="1" applyAlignment="1">
      <alignment horizontal="right" vertical="center"/>
      <protection/>
    </xf>
    <xf numFmtId="3" fontId="32" fillId="0" borderId="11" xfId="57" applyNumberFormat="1" applyFont="1" applyBorder="1" applyAlignment="1">
      <alignment horizontal="right"/>
      <protection/>
    </xf>
    <xf numFmtId="3" fontId="29" fillId="0" borderId="11" xfId="57" applyNumberFormat="1" applyFont="1" applyBorder="1" applyAlignment="1">
      <alignment horizontal="right"/>
      <protection/>
    </xf>
    <xf numFmtId="0" fontId="27" fillId="0" borderId="11" xfId="57" applyFont="1" applyBorder="1">
      <alignment/>
      <protection/>
    </xf>
    <xf numFmtId="0" fontId="34" fillId="0" borderId="13" xfId="57" applyFont="1" applyBorder="1" applyAlignment="1">
      <alignment vertical="center" wrapText="1"/>
      <protection/>
    </xf>
    <xf numFmtId="3" fontId="33" fillId="0" borderId="13" xfId="57" applyNumberFormat="1" applyFont="1" applyBorder="1" applyAlignment="1">
      <alignment horizontal="right"/>
      <protection/>
    </xf>
    <xf numFmtId="0" fontId="34" fillId="0" borderId="11" xfId="57" applyFont="1" applyFill="1" applyBorder="1" applyAlignment="1">
      <alignment vertical="center" wrapText="1"/>
      <protection/>
    </xf>
    <xf numFmtId="3" fontId="26" fillId="0" borderId="11" xfId="57" applyNumberFormat="1" applyFont="1" applyBorder="1">
      <alignment/>
      <protection/>
    </xf>
    <xf numFmtId="0" fontId="1" fillId="0" borderId="0" xfId="57" applyAlignment="1">
      <alignment horizontal="center" vertical="center"/>
      <protection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vertical="top" wrapText="1"/>
    </xf>
    <xf numFmtId="0" fontId="35" fillId="0" borderId="11" xfId="0" applyFont="1" applyBorder="1" applyAlignment="1">
      <alignment/>
    </xf>
    <xf numFmtId="0" fontId="35" fillId="0" borderId="11" xfId="0" applyFont="1" applyBorder="1" applyAlignment="1">
      <alignment vertical="top" wrapText="1"/>
    </xf>
    <xf numFmtId="0" fontId="26" fillId="0" borderId="0" xfId="0" applyFont="1" applyFill="1" applyBorder="1" applyAlignment="1">
      <alignment vertical="top" wrapText="1"/>
    </xf>
    <xf numFmtId="0" fontId="26" fillId="0" borderId="0" xfId="0" applyFont="1" applyAlignment="1">
      <alignment/>
    </xf>
    <xf numFmtId="0" fontId="27" fillId="0" borderId="0" xfId="0" applyFont="1" applyFill="1" applyBorder="1" applyAlignment="1">
      <alignment vertical="top" wrapText="1"/>
    </xf>
    <xf numFmtId="0" fontId="26" fillId="0" borderId="0" xfId="56" applyFont="1">
      <alignment/>
      <protection/>
    </xf>
    <xf numFmtId="0" fontId="26" fillId="0" borderId="0" xfId="0" applyFont="1" applyBorder="1" applyAlignment="1">
      <alignment/>
    </xf>
    <xf numFmtId="0" fontId="27" fillId="0" borderId="0" xfId="56" applyFont="1">
      <alignment/>
      <protection/>
    </xf>
    <xf numFmtId="0" fontId="27" fillId="0" borderId="0" xfId="0" applyFont="1" applyBorder="1" applyAlignment="1">
      <alignment/>
    </xf>
    <xf numFmtId="3" fontId="26" fillId="0" borderId="11" xfId="0" applyNumberFormat="1" applyFont="1" applyBorder="1" applyAlignment="1">
      <alignment horizontal="right"/>
    </xf>
    <xf numFmtId="3" fontId="27" fillId="0" borderId="11" xfId="0" applyNumberFormat="1" applyFont="1" applyBorder="1" applyAlignment="1">
      <alignment horizontal="right"/>
    </xf>
    <xf numFmtId="0" fontId="26" fillId="0" borderId="11" xfId="0" applyFont="1" applyFill="1" applyBorder="1" applyAlignment="1">
      <alignment/>
    </xf>
    <xf numFmtId="3" fontId="26" fillId="0" borderId="0" xfId="0" applyNumberFormat="1" applyFont="1" applyBorder="1" applyAlignment="1">
      <alignment/>
    </xf>
    <xf numFmtId="16" fontId="27" fillId="0" borderId="0" xfId="56" applyNumberFormat="1" applyFont="1">
      <alignment/>
      <protection/>
    </xf>
    <xf numFmtId="3" fontId="27" fillId="0" borderId="0" xfId="0" applyNumberFormat="1" applyFont="1" applyBorder="1" applyAlignment="1">
      <alignment/>
    </xf>
    <xf numFmtId="13" fontId="27" fillId="0" borderId="0" xfId="0" applyNumberFormat="1" applyFont="1" applyAlignment="1">
      <alignment horizontal="right"/>
    </xf>
    <xf numFmtId="49" fontId="27" fillId="0" borderId="0" xfId="0" applyNumberFormat="1" applyFont="1" applyAlignment="1">
      <alignment horizontal="right"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27" fillId="0" borderId="11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18" xfId="0" applyFont="1" applyBorder="1" applyAlignment="1">
      <alignment horizontal="center"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20" xfId="0" applyFont="1" applyBorder="1" applyAlignment="1">
      <alignment/>
    </xf>
    <xf numFmtId="0" fontId="36" fillId="0" borderId="18" xfId="0" applyFont="1" applyBorder="1" applyAlignment="1">
      <alignment/>
    </xf>
    <xf numFmtId="0" fontId="37" fillId="0" borderId="0" xfId="59" applyFont="1" applyProtection="1">
      <alignment/>
      <protection locked="0"/>
    </xf>
    <xf numFmtId="0" fontId="27" fillId="0" borderId="21" xfId="59" applyFont="1" applyBorder="1" applyAlignment="1" applyProtection="1">
      <alignment vertical="center"/>
      <protection locked="0"/>
    </xf>
    <xf numFmtId="0" fontId="27" fillId="0" borderId="11" xfId="59" applyFont="1" applyBorder="1" applyAlignment="1" applyProtection="1">
      <alignment vertical="center"/>
      <protection locked="0"/>
    </xf>
    <xf numFmtId="0" fontId="27" fillId="0" borderId="0" xfId="59" applyFont="1" applyProtection="1">
      <alignment/>
      <protection locked="0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wrapText="1"/>
    </xf>
    <xf numFmtId="0" fontId="34" fillId="16" borderId="11" xfId="0" applyFont="1" applyFill="1" applyBorder="1" applyAlignment="1">
      <alignment/>
    </xf>
    <xf numFmtId="0" fontId="27" fillId="0" borderId="0" xfId="0" applyFont="1" applyAlignment="1">
      <alignment horizontal="left"/>
    </xf>
    <xf numFmtId="1" fontId="34" fillId="0" borderId="13" xfId="0" applyNumberFormat="1" applyFont="1" applyBorder="1" applyAlignment="1">
      <alignment horizontal="center" wrapText="1"/>
    </xf>
    <xf numFmtId="1" fontId="34" fillId="0" borderId="11" xfId="0" applyNumberFormat="1" applyFont="1" applyBorder="1" applyAlignment="1">
      <alignment horizontal="center" wrapText="1"/>
    </xf>
    <xf numFmtId="0" fontId="34" fillId="0" borderId="22" xfId="0" applyFont="1" applyBorder="1" applyAlignment="1">
      <alignment horizontal="center" vertical="center"/>
    </xf>
    <xf numFmtId="1" fontId="34" fillId="0" borderId="22" xfId="0" applyNumberFormat="1" applyFont="1" applyBorder="1" applyAlignment="1">
      <alignment horizontal="center" wrapText="1"/>
    </xf>
    <xf numFmtId="0" fontId="27" fillId="0" borderId="22" xfId="0" applyFont="1" applyBorder="1" applyAlignment="1">
      <alignment/>
    </xf>
    <xf numFmtId="0" fontId="27" fillId="0" borderId="23" xfId="0" applyFont="1" applyBorder="1" applyAlignment="1">
      <alignment vertical="top" wrapText="1"/>
    </xf>
    <xf numFmtId="0" fontId="27" fillId="0" borderId="23" xfId="0" applyFont="1" applyBorder="1" applyAlignment="1">
      <alignment horizontal="center"/>
    </xf>
    <xf numFmtId="0" fontId="32" fillId="0" borderId="23" xfId="0" applyFont="1" applyBorder="1" applyAlignment="1">
      <alignment horizontal="center" wrapText="1"/>
    </xf>
    <xf numFmtId="0" fontId="32" fillId="0" borderId="23" xfId="0" applyFont="1" applyBorder="1" applyAlignment="1">
      <alignment horizontal="center"/>
    </xf>
    <xf numFmtId="0" fontId="27" fillId="0" borderId="23" xfId="0" applyFont="1" applyBorder="1" applyAlignment="1">
      <alignment horizontal="center" wrapText="1"/>
    </xf>
    <xf numFmtId="0" fontId="39" fillId="0" borderId="0" xfId="0" applyFont="1" applyAlignment="1">
      <alignment/>
    </xf>
    <xf numFmtId="3" fontId="41" fillId="0" borderId="11" xfId="0" applyNumberFormat="1" applyFont="1" applyBorder="1" applyAlignment="1">
      <alignment/>
    </xf>
    <xf numFmtId="3" fontId="32" fillId="0" borderId="13" xfId="0" applyNumberFormat="1" applyFont="1" applyBorder="1" applyAlignment="1">
      <alignment/>
    </xf>
    <xf numFmtId="3" fontId="32" fillId="0" borderId="22" xfId="0" applyNumberFormat="1" applyFont="1" applyBorder="1" applyAlignment="1">
      <alignment/>
    </xf>
    <xf numFmtId="3" fontId="34" fillId="0" borderId="11" xfId="0" applyNumberFormat="1" applyFont="1" applyBorder="1" applyAlignment="1">
      <alignment wrapText="1"/>
    </xf>
    <xf numFmtId="3" fontId="32" fillId="0" borderId="21" xfId="0" applyNumberFormat="1" applyFont="1" applyBorder="1" applyAlignment="1">
      <alignment/>
    </xf>
    <xf numFmtId="3" fontId="41" fillId="0" borderId="21" xfId="0" applyNumberFormat="1" applyFont="1" applyBorder="1" applyAlignment="1">
      <alignment/>
    </xf>
    <xf numFmtId="3" fontId="34" fillId="0" borderId="24" xfId="0" applyNumberFormat="1" applyFont="1" applyBorder="1" applyAlignment="1">
      <alignment/>
    </xf>
    <xf numFmtId="3" fontId="27" fillId="0" borderId="22" xfId="0" applyNumberFormat="1" applyFont="1" applyBorder="1" applyAlignment="1">
      <alignment/>
    </xf>
    <xf numFmtId="3" fontId="34" fillId="0" borderId="25" xfId="0" applyNumberFormat="1" applyFont="1" applyBorder="1" applyAlignment="1">
      <alignment wrapText="1"/>
    </xf>
    <xf numFmtId="3" fontId="32" fillId="0" borderId="25" xfId="0" applyNumberFormat="1" applyFont="1" applyBorder="1" applyAlignment="1">
      <alignment wrapText="1"/>
    </xf>
    <xf numFmtId="3" fontId="27" fillId="0" borderId="21" xfId="0" applyNumberFormat="1" applyFont="1" applyBorder="1" applyAlignment="1">
      <alignment/>
    </xf>
    <xf numFmtId="3" fontId="41" fillId="0" borderId="22" xfId="0" applyNumberFormat="1" applyFont="1" applyBorder="1" applyAlignment="1">
      <alignment horizontal="right" vertical="center" wrapText="1"/>
    </xf>
    <xf numFmtId="3" fontId="34" fillId="0" borderId="25" xfId="0" applyNumberFormat="1" applyFont="1" applyBorder="1" applyAlignment="1">
      <alignment horizontal="right" vertical="center" wrapText="1"/>
    </xf>
    <xf numFmtId="3" fontId="32" fillId="0" borderId="25" xfId="0" applyNumberFormat="1" applyFont="1" applyBorder="1" applyAlignment="1">
      <alignment/>
    </xf>
    <xf numFmtId="3" fontId="27" fillId="0" borderId="25" xfId="0" applyNumberFormat="1" applyFont="1" applyBorder="1" applyAlignment="1">
      <alignment/>
    </xf>
    <xf numFmtId="3" fontId="27" fillId="0" borderId="13" xfId="0" applyNumberFormat="1" applyFont="1" applyBorder="1" applyAlignment="1">
      <alignment/>
    </xf>
    <xf numFmtId="3" fontId="34" fillId="0" borderId="25" xfId="0" applyNumberFormat="1" applyFont="1" applyBorder="1" applyAlignment="1">
      <alignment/>
    </xf>
    <xf numFmtId="3" fontId="34" fillId="0" borderId="26" xfId="0" applyNumberFormat="1" applyFont="1" applyBorder="1" applyAlignment="1">
      <alignment/>
    </xf>
    <xf numFmtId="3" fontId="34" fillId="0" borderId="27" xfId="0" applyNumberFormat="1" applyFont="1" applyBorder="1" applyAlignment="1">
      <alignment/>
    </xf>
    <xf numFmtId="3" fontId="32" fillId="0" borderId="27" xfId="0" applyNumberFormat="1" applyFont="1" applyBorder="1" applyAlignment="1">
      <alignment/>
    </xf>
    <xf numFmtId="3" fontId="34" fillId="0" borderId="27" xfId="0" applyNumberFormat="1" applyFont="1" applyBorder="1" applyAlignment="1">
      <alignment horizontal="right" vertical="center" wrapText="1"/>
    </xf>
    <xf numFmtId="3" fontId="34" fillId="0" borderId="28" xfId="0" applyNumberFormat="1" applyFont="1" applyBorder="1" applyAlignment="1">
      <alignment/>
    </xf>
    <xf numFmtId="0" fontId="26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16" fontId="27" fillId="0" borderId="11" xfId="0" applyNumberFormat="1" applyFont="1" applyBorder="1" applyAlignment="1">
      <alignment horizontal="center" vertical="top" wrapText="1"/>
    </xf>
    <xf numFmtId="1" fontId="27" fillId="0" borderId="11" xfId="0" applyNumberFormat="1" applyFont="1" applyBorder="1" applyAlignment="1">
      <alignment horizontal="center" vertical="top" wrapText="1"/>
    </xf>
    <xf numFmtId="3" fontId="32" fillId="16" borderId="11" xfId="0" applyNumberFormat="1" applyFont="1" applyFill="1" applyBorder="1" applyAlignment="1">
      <alignment/>
    </xf>
    <xf numFmtId="3" fontId="34" fillId="0" borderId="22" xfId="0" applyNumberFormat="1" applyFont="1" applyBorder="1" applyAlignment="1">
      <alignment/>
    </xf>
    <xf numFmtId="3" fontId="34" fillId="0" borderId="13" xfId="0" applyNumberFormat="1" applyFont="1" applyBorder="1" applyAlignment="1">
      <alignment/>
    </xf>
    <xf numFmtId="0" fontId="32" fillId="0" borderId="0" xfId="0" applyFont="1" applyAlignment="1">
      <alignment horizontal="left"/>
    </xf>
    <xf numFmtId="3" fontId="29" fillId="0" borderId="11" xfId="0" applyNumberFormat="1" applyFont="1" applyBorder="1" applyAlignment="1">
      <alignment/>
    </xf>
    <xf numFmtId="3" fontId="33" fillId="0" borderId="11" xfId="0" applyNumberFormat="1" applyFont="1" applyBorder="1" applyAlignment="1">
      <alignment horizontal="left"/>
    </xf>
    <xf numFmtId="3" fontId="33" fillId="0" borderId="11" xfId="0" applyNumberFormat="1" applyFont="1" applyBorder="1" applyAlignment="1">
      <alignment/>
    </xf>
    <xf numFmtId="3" fontId="29" fillId="0" borderId="13" xfId="0" applyNumberFormat="1" applyFont="1" applyBorder="1" applyAlignment="1">
      <alignment/>
    </xf>
    <xf numFmtId="3" fontId="29" fillId="0" borderId="22" xfId="0" applyNumberFormat="1" applyFont="1" applyBorder="1" applyAlignment="1">
      <alignment/>
    </xf>
    <xf numFmtId="3" fontId="29" fillId="0" borderId="27" xfId="0" applyNumberFormat="1" applyFont="1" applyBorder="1" applyAlignment="1">
      <alignment/>
    </xf>
    <xf numFmtId="3" fontId="29" fillId="0" borderId="21" xfId="0" applyNumberFormat="1" applyFont="1" applyBorder="1" applyAlignment="1">
      <alignment/>
    </xf>
    <xf numFmtId="3" fontId="27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0" fontId="26" fillId="0" borderId="0" xfId="0" applyFont="1" applyAlignment="1">
      <alignment horizontal="right"/>
    </xf>
    <xf numFmtId="3" fontId="26" fillId="0" borderId="11" xfId="0" applyNumberFormat="1" applyFont="1" applyBorder="1" applyAlignment="1">
      <alignment horizontal="right" vertical="center" wrapText="1"/>
    </xf>
    <xf numFmtId="3" fontId="27" fillId="0" borderId="11" xfId="0" applyNumberFormat="1" applyFont="1" applyBorder="1" applyAlignment="1">
      <alignment horizontal="right" vertical="center"/>
    </xf>
    <xf numFmtId="3" fontId="26" fillId="0" borderId="11" xfId="0" applyNumberFormat="1" applyFont="1" applyBorder="1" applyAlignment="1">
      <alignment horizontal="right" vertical="center"/>
    </xf>
    <xf numFmtId="3" fontId="32" fillId="0" borderId="11" xfId="0" applyNumberFormat="1" applyFont="1" applyBorder="1" applyAlignment="1">
      <alignment horizontal="right"/>
    </xf>
    <xf numFmtId="3" fontId="41" fillId="0" borderId="11" xfId="0" applyNumberFormat="1" applyFont="1" applyBorder="1" applyAlignment="1">
      <alignment wrapText="1"/>
    </xf>
    <xf numFmtId="167" fontId="34" fillId="0" borderId="11" xfId="0" applyNumberFormat="1" applyFont="1" applyBorder="1" applyAlignment="1">
      <alignment wrapText="1"/>
    </xf>
    <xf numFmtId="0" fontId="32" fillId="0" borderId="11" xfId="0" applyFont="1" applyBorder="1" applyAlignment="1">
      <alignment vertical="center"/>
    </xf>
    <xf numFmtId="3" fontId="32" fillId="0" borderId="11" xfId="0" applyNumberFormat="1" applyFont="1" applyBorder="1" applyAlignment="1">
      <alignment horizontal="center" wrapText="1"/>
    </xf>
    <xf numFmtId="3" fontId="32" fillId="0" borderId="13" xfId="0" applyNumberFormat="1" applyFont="1" applyBorder="1" applyAlignment="1">
      <alignment wrapText="1"/>
    </xf>
    <xf numFmtId="167" fontId="34" fillId="0" borderId="22" xfId="0" applyNumberFormat="1" applyFont="1" applyBorder="1" applyAlignment="1">
      <alignment wrapText="1"/>
    </xf>
    <xf numFmtId="0" fontId="32" fillId="0" borderId="22" xfId="0" applyFont="1" applyBorder="1" applyAlignment="1">
      <alignment/>
    </xf>
    <xf numFmtId="3" fontId="32" fillId="0" borderId="22" xfId="0" applyNumberFormat="1" applyFont="1" applyBorder="1" applyAlignment="1">
      <alignment wrapText="1"/>
    </xf>
    <xf numFmtId="3" fontId="34" fillId="0" borderId="13" xfId="0" applyNumberFormat="1" applyFont="1" applyBorder="1" applyAlignment="1">
      <alignment wrapText="1"/>
    </xf>
    <xf numFmtId="167" fontId="32" fillId="0" borderId="21" xfId="0" applyNumberFormat="1" applyFont="1" applyBorder="1" applyAlignment="1">
      <alignment wrapText="1"/>
    </xf>
    <xf numFmtId="0" fontId="32" fillId="0" borderId="21" xfId="0" applyFont="1" applyBorder="1" applyAlignment="1">
      <alignment/>
    </xf>
    <xf numFmtId="3" fontId="32" fillId="0" borderId="13" xfId="0" applyNumberFormat="1" applyFont="1" applyBorder="1" applyAlignment="1">
      <alignment vertical="center"/>
    </xf>
    <xf numFmtId="3" fontId="32" fillId="0" borderId="13" xfId="0" applyNumberFormat="1" applyFont="1" applyBorder="1" applyAlignment="1">
      <alignment horizontal="center" wrapText="1"/>
    </xf>
    <xf numFmtId="3" fontId="34" fillId="0" borderId="21" xfId="0" applyNumberFormat="1" applyFont="1" applyBorder="1" applyAlignment="1">
      <alignment horizontal="left"/>
    </xf>
    <xf numFmtId="3" fontId="53" fillId="0" borderId="11" xfId="0" applyNumberFormat="1" applyFont="1" applyBorder="1" applyAlignment="1">
      <alignment horizontal="right" vertical="center"/>
    </xf>
    <xf numFmtId="3" fontId="53" fillId="19" borderId="11" xfId="0" applyNumberFormat="1" applyFont="1" applyFill="1" applyBorder="1" applyAlignment="1">
      <alignment horizontal="right" vertical="center"/>
    </xf>
    <xf numFmtId="3" fontId="27" fillId="19" borderId="11" xfId="0" applyNumberFormat="1" applyFont="1" applyFill="1" applyBorder="1" applyAlignment="1">
      <alignment horizontal="right" vertical="center"/>
    </xf>
    <xf numFmtId="3" fontId="54" fillId="0" borderId="11" xfId="0" applyNumberFormat="1" applyFont="1" applyBorder="1" applyAlignment="1">
      <alignment horizontal="right" vertical="center"/>
    </xf>
    <xf numFmtId="0" fontId="37" fillId="0" borderId="0" xfId="0" applyFont="1" applyAlignment="1">
      <alignment/>
    </xf>
    <xf numFmtId="0" fontId="43" fillId="0" borderId="29" xfId="59" applyFont="1" applyBorder="1" applyAlignment="1" applyProtection="1">
      <alignment horizontal="center"/>
      <protection locked="0"/>
    </xf>
    <xf numFmtId="0" fontId="38" fillId="0" borderId="29" xfId="59" applyFont="1" applyBorder="1" applyAlignment="1" applyProtection="1">
      <alignment horizontal="right"/>
      <protection locked="0"/>
    </xf>
    <xf numFmtId="0" fontId="38" fillId="0" borderId="29" xfId="59" applyFont="1" applyBorder="1" applyAlignment="1" applyProtection="1">
      <alignment horizontal="center"/>
      <protection locked="0"/>
    </xf>
    <xf numFmtId="0" fontId="27" fillId="0" borderId="11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30" xfId="59" applyFont="1" applyBorder="1" applyAlignment="1" applyProtection="1">
      <alignment wrapText="1"/>
      <protection locked="0"/>
    </xf>
    <xf numFmtId="3" fontId="32" fillId="0" borderId="11" xfId="59" applyNumberFormat="1" applyFont="1" applyBorder="1" applyAlignment="1" applyProtection="1">
      <alignment horizontal="right" vertical="center"/>
      <protection locked="0"/>
    </xf>
    <xf numFmtId="3" fontId="40" fillId="0" borderId="21" xfId="59" applyNumberFormat="1" applyFont="1" applyBorder="1" applyAlignment="1" applyProtection="1">
      <alignment horizontal="right" vertical="center"/>
      <protection locked="0"/>
    </xf>
    <xf numFmtId="166" fontId="32" fillId="0" borderId="11" xfId="59" applyNumberFormat="1" applyFont="1" applyBorder="1" applyAlignment="1" applyProtection="1">
      <alignment horizontal="right" vertical="center"/>
      <protection locked="0"/>
    </xf>
    <xf numFmtId="166" fontId="40" fillId="0" borderId="11" xfId="59" applyNumberFormat="1" applyFont="1" applyBorder="1" applyAlignment="1" applyProtection="1">
      <alignment horizontal="right" vertical="center"/>
      <protection locked="0"/>
    </xf>
    <xf numFmtId="0" fontId="32" fillId="0" borderId="0" xfId="59" applyFont="1" applyAlignment="1" applyProtection="1">
      <alignment horizontal="right" vertical="center"/>
      <protection locked="0"/>
    </xf>
    <xf numFmtId="166" fontId="32" fillId="0" borderId="30" xfId="59" applyNumberFormat="1" applyFont="1" applyBorder="1" applyAlignment="1" applyProtection="1">
      <alignment horizontal="right" vertical="center"/>
      <protection locked="0"/>
    </xf>
    <xf numFmtId="0" fontId="27" fillId="0" borderId="31" xfId="59" applyFont="1" applyBorder="1" applyAlignment="1" applyProtection="1">
      <alignment vertical="center"/>
      <protection locked="0"/>
    </xf>
    <xf numFmtId="166" fontId="32" fillId="0" borderId="31" xfId="59" applyNumberFormat="1" applyFont="1" applyBorder="1" applyAlignment="1" applyProtection="1">
      <alignment horizontal="right" vertical="center"/>
      <protection locked="0"/>
    </xf>
    <xf numFmtId="0" fontId="27" fillId="0" borderId="32" xfId="0" applyFont="1" applyBorder="1" applyAlignment="1">
      <alignment/>
    </xf>
    <xf numFmtId="0" fontId="27" fillId="0" borderId="14" xfId="0" applyFont="1" applyBorder="1" applyAlignment="1">
      <alignment/>
    </xf>
    <xf numFmtId="0" fontId="0" fillId="0" borderId="23" xfId="0" applyBorder="1" applyAlignment="1">
      <alignment/>
    </xf>
    <xf numFmtId="0" fontId="32" fillId="0" borderId="11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32" fillId="0" borderId="11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center"/>
    </xf>
    <xf numFmtId="0" fontId="34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left"/>
    </xf>
    <xf numFmtId="0" fontId="34" fillId="0" borderId="11" xfId="0" applyFont="1" applyBorder="1" applyAlignment="1">
      <alignment horizontal="left"/>
    </xf>
    <xf numFmtId="0" fontId="41" fillId="0" borderId="11" xfId="0" applyFont="1" applyBorder="1" applyAlignment="1">
      <alignment horizontal="left"/>
    </xf>
    <xf numFmtId="0" fontId="34" fillId="0" borderId="27" xfId="0" applyFont="1" applyBorder="1" applyAlignment="1">
      <alignment horizontal="left"/>
    </xf>
    <xf numFmtId="0" fontId="32" fillId="0" borderId="21" xfId="0" applyFont="1" applyBorder="1" applyAlignment="1">
      <alignment horizontal="left"/>
    </xf>
    <xf numFmtId="0" fontId="32" fillId="0" borderId="11" xfId="0" applyFont="1" applyBorder="1" applyAlignment="1">
      <alignment horizontal="center"/>
    </xf>
    <xf numFmtId="0" fontId="32" fillId="0" borderId="13" xfId="0" applyFont="1" applyBorder="1" applyAlignment="1">
      <alignment horizontal="left"/>
    </xf>
    <xf numFmtId="0" fontId="32" fillId="0" borderId="13" xfId="0" applyFont="1" applyBorder="1" applyAlignment="1">
      <alignment horizontal="center"/>
    </xf>
    <xf numFmtId="0" fontId="34" fillId="0" borderId="27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left"/>
    </xf>
    <xf numFmtId="0" fontId="41" fillId="0" borderId="21" xfId="0" applyFont="1" applyBorder="1" applyAlignment="1">
      <alignment horizontal="left"/>
    </xf>
    <xf numFmtId="0" fontId="34" fillId="0" borderId="21" xfId="0" applyFont="1" applyBorder="1" applyAlignment="1">
      <alignment horizontal="center"/>
    </xf>
    <xf numFmtId="0" fontId="41" fillId="0" borderId="22" xfId="0" applyFont="1" applyBorder="1" applyAlignment="1">
      <alignment horizontal="left"/>
    </xf>
    <xf numFmtId="0" fontId="34" fillId="0" borderId="22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left"/>
    </xf>
    <xf numFmtId="0" fontId="34" fillId="0" borderId="21" xfId="0" applyFont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/>
    </xf>
    <xf numFmtId="0" fontId="34" fillId="16" borderId="28" xfId="0" applyFont="1" applyFill="1" applyBorder="1" applyAlignment="1">
      <alignment horizontal="left"/>
    </xf>
    <xf numFmtId="0" fontId="32" fillId="0" borderId="21" xfId="0" applyFont="1" applyBorder="1" applyAlignment="1">
      <alignment horizontal="center"/>
    </xf>
    <xf numFmtId="0" fontId="26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vertical="top" wrapText="1"/>
    </xf>
    <xf numFmtId="0" fontId="26" fillId="0" borderId="32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11" xfId="0" applyFont="1" applyBorder="1" applyAlignment="1">
      <alignment vertical="top" wrapText="1"/>
    </xf>
    <xf numFmtId="0" fontId="26" fillId="0" borderId="0" xfId="0" applyFont="1" applyBorder="1" applyAlignment="1">
      <alignment horizontal="center"/>
    </xf>
    <xf numFmtId="0" fontId="34" fillId="0" borderId="11" xfId="0" applyFont="1" applyBorder="1" applyAlignment="1">
      <alignment horizontal="center" vertical="center" wrapText="1"/>
    </xf>
    <xf numFmtId="0" fontId="32" fillId="16" borderId="11" xfId="0" applyFont="1" applyFill="1" applyBorder="1" applyAlignment="1">
      <alignment horizontal="left"/>
    </xf>
    <xf numFmtId="0" fontId="32" fillId="0" borderId="13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/>
    </xf>
    <xf numFmtId="0" fontId="27" fillId="0" borderId="22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49" fontId="34" fillId="0" borderId="13" xfId="0" applyNumberFormat="1" applyFont="1" applyBorder="1" applyAlignment="1">
      <alignment horizontal="center" vertical="center"/>
    </xf>
    <xf numFmtId="49" fontId="34" fillId="0" borderId="22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wrapText="1"/>
    </xf>
    <xf numFmtId="0" fontId="34" fillId="0" borderId="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7" fillId="0" borderId="0" xfId="58" applyFont="1" applyBorder="1" applyAlignment="1">
      <alignment horizontal="left" vertical="center" wrapText="1"/>
      <protection/>
    </xf>
    <xf numFmtId="0" fontId="26" fillId="0" borderId="0" xfId="0" applyFont="1" applyBorder="1" applyAlignment="1">
      <alignment horizontal="center" vertical="center" wrapText="1"/>
    </xf>
    <xf numFmtId="0" fontId="27" fillId="0" borderId="0" xfId="58" applyFont="1" applyBorder="1" applyAlignment="1">
      <alignment horizontal="center"/>
      <protection/>
    </xf>
    <xf numFmtId="0" fontId="26" fillId="0" borderId="0" xfId="58" applyFont="1" applyBorder="1" applyAlignment="1">
      <alignment horizontal="center"/>
      <protection/>
    </xf>
    <xf numFmtId="0" fontId="26" fillId="0" borderId="0" xfId="58" applyFont="1" applyBorder="1" applyAlignment="1">
      <alignment horizontal="center" vertical="center" wrapText="1"/>
      <protection/>
    </xf>
    <xf numFmtId="0" fontId="29" fillId="0" borderId="0" xfId="58" applyFont="1" applyBorder="1" applyAlignment="1">
      <alignment horizontal="left" vertical="center" wrapText="1"/>
      <protection/>
    </xf>
    <xf numFmtId="0" fontId="27" fillId="0" borderId="0" xfId="58" applyFont="1" applyBorder="1" applyAlignment="1">
      <alignment horizontal="right"/>
      <protection/>
    </xf>
    <xf numFmtId="0" fontId="34" fillId="0" borderId="0" xfId="0" applyFont="1" applyBorder="1" applyAlignment="1">
      <alignment horizontal="center" vertical="center" wrapText="1"/>
    </xf>
    <xf numFmtId="0" fontId="26" fillId="0" borderId="11" xfId="57" applyFont="1" applyBorder="1" applyAlignment="1">
      <alignment horizontal="center" wrapText="1"/>
      <protection/>
    </xf>
    <xf numFmtId="0" fontId="26" fillId="0" borderId="0" xfId="57" applyFont="1" applyBorder="1" applyAlignment="1">
      <alignment horizontal="center"/>
      <protection/>
    </xf>
    <xf numFmtId="0" fontId="26" fillId="0" borderId="0" xfId="0" applyFont="1" applyBorder="1" applyAlignment="1">
      <alignment horizontal="center" vertical="top" wrapText="1"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7" fillId="0" borderId="11" xfId="0" applyFont="1" applyFill="1" applyBorder="1" applyAlignment="1">
      <alignment/>
    </xf>
    <xf numFmtId="0" fontId="27" fillId="0" borderId="11" xfId="0" applyFont="1" applyBorder="1" applyAlignment="1">
      <alignment/>
    </xf>
    <xf numFmtId="0" fontId="26" fillId="0" borderId="11" xfId="0" applyFont="1" applyFill="1" applyBorder="1" applyAlignment="1">
      <alignment/>
    </xf>
    <xf numFmtId="0" fontId="27" fillId="0" borderId="0" xfId="0" applyFont="1" applyBorder="1" applyAlignment="1">
      <alignment/>
    </xf>
    <xf numFmtId="0" fontId="26" fillId="0" borderId="16" xfId="0" applyFont="1" applyFill="1" applyBorder="1" applyAlignment="1">
      <alignment/>
    </xf>
    <xf numFmtId="0" fontId="26" fillId="0" borderId="17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2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6" xfId="0" applyFont="1" applyFill="1" applyBorder="1" applyAlignment="1">
      <alignment/>
    </xf>
    <xf numFmtId="0" fontId="27" fillId="0" borderId="17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8" fillId="0" borderId="19" xfId="56" applyFont="1" applyBorder="1" applyAlignment="1">
      <alignment horizontal="center"/>
      <protection/>
    </xf>
    <xf numFmtId="0" fontId="27" fillId="0" borderId="22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27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1" fontId="34" fillId="0" borderId="13" xfId="0" applyNumberFormat="1" applyFont="1" applyBorder="1" applyAlignment="1">
      <alignment horizontal="center" wrapText="1"/>
    </xf>
    <xf numFmtId="0" fontId="34" fillId="0" borderId="13" xfId="0" applyFont="1" applyBorder="1" applyAlignment="1">
      <alignment horizontal="center" vertical="center"/>
    </xf>
    <xf numFmtId="0" fontId="34" fillId="16" borderId="26" xfId="0" applyFont="1" applyFill="1" applyBorder="1" applyAlignment="1">
      <alignment horizontal="left"/>
    </xf>
    <xf numFmtId="0" fontId="34" fillId="0" borderId="25" xfId="0" applyFont="1" applyBorder="1" applyAlignment="1">
      <alignment horizontal="left" vertical="center" wrapText="1"/>
    </xf>
    <xf numFmtId="0" fontId="34" fillId="0" borderId="25" xfId="0" applyFont="1" applyFill="1" applyBorder="1" applyAlignment="1">
      <alignment horizontal="left"/>
    </xf>
    <xf numFmtId="0" fontId="34" fillId="0" borderId="25" xfId="0" applyFont="1" applyBorder="1" applyAlignment="1">
      <alignment horizontal="left" wrapText="1"/>
    </xf>
    <xf numFmtId="0" fontId="34" fillId="0" borderId="24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left" wrapText="1"/>
    </xf>
    <xf numFmtId="0" fontId="32" fillId="0" borderId="16" xfId="0" applyFont="1" applyBorder="1" applyAlignment="1">
      <alignment horizontal="left" wrapText="1"/>
    </xf>
    <xf numFmtId="0" fontId="32" fillId="0" borderId="17" xfId="0" applyFont="1" applyBorder="1" applyAlignment="1">
      <alignment horizontal="left" wrapText="1"/>
    </xf>
    <xf numFmtId="0" fontId="32" fillId="0" borderId="12" xfId="0" applyFont="1" applyBorder="1" applyAlignment="1">
      <alignment horizontal="left" wrapText="1"/>
    </xf>
    <xf numFmtId="0" fontId="38" fillId="0" borderId="0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4" fillId="0" borderId="22" xfId="0" applyFont="1" applyBorder="1" applyAlignment="1">
      <alignment horizontal="center"/>
    </xf>
    <xf numFmtId="0" fontId="14" fillId="0" borderId="0" xfId="59">
      <alignment/>
      <protection/>
    </xf>
    <xf numFmtId="0" fontId="21" fillId="0" borderId="0" xfId="59" applyFont="1">
      <alignment/>
      <protection/>
    </xf>
    <xf numFmtId="0" fontId="14" fillId="0" borderId="0" xfId="59" applyAlignment="1">
      <alignment vertical="center"/>
      <protection/>
    </xf>
    <xf numFmtId="166" fontId="20" fillId="0" borderId="34" xfId="59" applyNumberFormat="1" applyFont="1" applyBorder="1" applyAlignment="1">
      <alignment vertical="center"/>
      <protection/>
    </xf>
    <xf numFmtId="166" fontId="20" fillId="0" borderId="35" xfId="59" applyNumberFormat="1" applyFont="1" applyBorder="1" applyAlignment="1">
      <alignment vertical="center"/>
      <protection/>
    </xf>
    <xf numFmtId="166" fontId="21" fillId="0" borderId="0" xfId="59" applyNumberFormat="1" applyFont="1" applyAlignment="1">
      <alignment vertical="center"/>
      <protection/>
    </xf>
    <xf numFmtId="166" fontId="21" fillId="0" borderId="0" xfId="59" applyNumberFormat="1" applyFont="1" applyAlignment="1" applyProtection="1">
      <alignment vertical="center"/>
      <protection locked="0"/>
    </xf>
    <xf numFmtId="166" fontId="20" fillId="0" borderId="0" xfId="59" applyNumberFormat="1" applyFont="1" applyAlignment="1">
      <alignment vertical="center"/>
      <protection/>
    </xf>
    <xf numFmtId="166" fontId="20" fillId="0" borderId="10" xfId="59" applyNumberFormat="1" applyFont="1" applyBorder="1" applyAlignment="1">
      <alignment vertical="center"/>
      <protection/>
    </xf>
    <xf numFmtId="166" fontId="21" fillId="0" borderId="10" xfId="59" applyNumberFormat="1" applyFont="1" applyBorder="1" applyAlignment="1">
      <alignment vertical="center"/>
      <protection/>
    </xf>
    <xf numFmtId="0" fontId="20" fillId="0" borderId="0" xfId="59" applyFont="1" applyAlignment="1">
      <alignment horizontal="center" vertical="center"/>
      <protection/>
    </xf>
    <xf numFmtId="0" fontId="20" fillId="0" borderId="10" xfId="59" applyFont="1" applyBorder="1" applyAlignment="1">
      <alignment horizontal="center" vertical="center"/>
      <protection/>
    </xf>
    <xf numFmtId="0" fontId="26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34" fillId="0" borderId="3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2" fillId="16" borderId="43" xfId="0" applyFont="1" applyFill="1" applyBorder="1" applyAlignment="1">
      <alignment horizontal="left"/>
    </xf>
    <xf numFmtId="3" fontId="32" fillId="0" borderId="16" xfId="0" applyNumberFormat="1" applyFont="1" applyBorder="1" applyAlignment="1">
      <alignment/>
    </xf>
    <xf numFmtId="3" fontId="32" fillId="0" borderId="43" xfId="0" applyNumberFormat="1" applyFont="1" applyBorder="1" applyAlignment="1">
      <alignment/>
    </xf>
    <xf numFmtId="3" fontId="32" fillId="0" borderId="45" xfId="0" applyNumberFormat="1" applyFont="1" applyBorder="1" applyAlignment="1">
      <alignment/>
    </xf>
    <xf numFmtId="0" fontId="32" fillId="0" borderId="43" xfId="0" applyFont="1" applyBorder="1" applyAlignment="1">
      <alignment horizontal="left"/>
    </xf>
    <xf numFmtId="3" fontId="32" fillId="0" borderId="12" xfId="0" applyNumberFormat="1" applyFont="1" applyBorder="1" applyAlignment="1">
      <alignment/>
    </xf>
    <xf numFmtId="0" fontId="32" fillId="0" borderId="43" xfId="0" applyFont="1" applyBorder="1" applyAlignment="1">
      <alignment horizontal="left" vertical="center" wrapText="1"/>
    </xf>
    <xf numFmtId="0" fontId="32" fillId="0" borderId="43" xfId="0" applyFont="1" applyBorder="1" applyAlignment="1">
      <alignment horizontal="left"/>
    </xf>
    <xf numFmtId="0" fontId="32" fillId="0" borderId="46" xfId="0" applyFont="1" applyBorder="1" applyAlignment="1">
      <alignment horizontal="left" vertical="center" wrapText="1"/>
    </xf>
    <xf numFmtId="3" fontId="32" fillId="0" borderId="46" xfId="0" applyNumberFormat="1" applyFont="1" applyBorder="1" applyAlignment="1">
      <alignment/>
    </xf>
    <xf numFmtId="3" fontId="32" fillId="0" borderId="14" xfId="0" applyNumberFormat="1" applyFont="1" applyBorder="1" applyAlignment="1">
      <alignment/>
    </xf>
    <xf numFmtId="3" fontId="32" fillId="16" borderId="13" xfId="0" applyNumberFormat="1" applyFont="1" applyFill="1" applyBorder="1" applyAlignment="1">
      <alignment/>
    </xf>
    <xf numFmtId="3" fontId="32" fillId="0" borderId="47" xfId="0" applyNumberFormat="1" applyFont="1" applyBorder="1" applyAlignment="1">
      <alignment/>
    </xf>
    <xf numFmtId="0" fontId="34" fillId="0" borderId="48" xfId="0" applyFont="1" applyBorder="1" applyAlignment="1">
      <alignment horizontal="left" vertical="center" wrapText="1"/>
    </xf>
    <xf numFmtId="0" fontId="34" fillId="0" borderId="49" xfId="0" applyFont="1" applyBorder="1" applyAlignment="1">
      <alignment horizontal="left" vertical="center" wrapText="1"/>
    </xf>
    <xf numFmtId="3" fontId="34" fillId="0" borderId="49" xfId="0" applyNumberFormat="1" applyFont="1" applyBorder="1" applyAlignment="1">
      <alignment/>
    </xf>
    <xf numFmtId="3" fontId="34" fillId="0" borderId="50" xfId="0" applyNumberFormat="1" applyFont="1" applyBorder="1" applyAlignment="1">
      <alignment/>
    </xf>
    <xf numFmtId="3" fontId="34" fillId="0" borderId="48" xfId="0" applyNumberFormat="1" applyFont="1" applyBorder="1" applyAlignment="1">
      <alignment/>
    </xf>
    <xf numFmtId="3" fontId="34" fillId="16" borderId="49" xfId="0" applyNumberFormat="1" applyFont="1" applyFill="1" applyBorder="1" applyAlignment="1">
      <alignment/>
    </xf>
    <xf numFmtId="3" fontId="34" fillId="0" borderId="51" xfId="0" applyNumberFormat="1" applyFont="1" applyBorder="1" applyAlignment="1">
      <alignment/>
    </xf>
    <xf numFmtId="0" fontId="34" fillId="0" borderId="52" xfId="0" applyFont="1" applyBorder="1" applyAlignment="1">
      <alignment horizontal="left" vertical="center" wrapText="1"/>
    </xf>
    <xf numFmtId="3" fontId="34" fillId="0" borderId="18" xfId="0" applyNumberFormat="1" applyFont="1" applyBorder="1" applyAlignment="1">
      <alignment/>
    </xf>
    <xf numFmtId="3" fontId="34" fillId="0" borderId="52" xfId="0" applyNumberFormat="1" applyFont="1" applyBorder="1" applyAlignment="1">
      <alignment/>
    </xf>
    <xf numFmtId="3" fontId="34" fillId="0" borderId="20" xfId="0" applyNumberFormat="1" applyFont="1" applyBorder="1" applyAlignment="1">
      <alignment/>
    </xf>
    <xf numFmtId="3" fontId="32" fillId="16" borderId="22" xfId="0" applyNumberFormat="1" applyFont="1" applyFill="1" applyBorder="1" applyAlignment="1">
      <alignment/>
    </xf>
    <xf numFmtId="3" fontId="32" fillId="0" borderId="44" xfId="0" applyNumberFormat="1" applyFont="1" applyBorder="1" applyAlignment="1">
      <alignment/>
    </xf>
    <xf numFmtId="3" fontId="34" fillId="0" borderId="43" xfId="0" applyNumberFormat="1" applyFont="1" applyBorder="1" applyAlignment="1">
      <alignment/>
    </xf>
    <xf numFmtId="3" fontId="34" fillId="0" borderId="12" xfId="0" applyNumberFormat="1" applyFont="1" applyBorder="1" applyAlignment="1">
      <alignment/>
    </xf>
    <xf numFmtId="0" fontId="32" fillId="0" borderId="46" xfId="0" applyFont="1" applyBorder="1" applyAlignment="1">
      <alignment/>
    </xf>
    <xf numFmtId="0" fontId="32" fillId="0" borderId="13" xfId="0" applyFont="1" applyBorder="1" applyAlignment="1">
      <alignment/>
    </xf>
    <xf numFmtId="3" fontId="32" fillId="0" borderId="53" xfId="0" applyNumberFormat="1" applyFont="1" applyBorder="1" applyAlignment="1">
      <alignment/>
    </xf>
    <xf numFmtId="0" fontId="27" fillId="0" borderId="54" xfId="0" applyFont="1" applyBorder="1" applyAlignment="1">
      <alignment/>
    </xf>
    <xf numFmtId="0" fontId="27" fillId="0" borderId="55" xfId="0" applyFont="1" applyBorder="1" applyAlignment="1">
      <alignment/>
    </xf>
    <xf numFmtId="3" fontId="32" fillId="16" borderId="14" xfId="0" applyNumberFormat="1" applyFont="1" applyFill="1" applyBorder="1" applyAlignment="1">
      <alignment/>
    </xf>
    <xf numFmtId="49" fontId="34" fillId="0" borderId="48" xfId="0" applyNumberFormat="1" applyFont="1" applyBorder="1" applyAlignment="1">
      <alignment horizontal="left" vertical="center"/>
    </xf>
    <xf numFmtId="49" fontId="34" fillId="0" borderId="49" xfId="0" applyNumberFormat="1" applyFont="1" applyBorder="1" applyAlignment="1">
      <alignment horizontal="left" vertical="center"/>
    </xf>
    <xf numFmtId="3" fontId="34" fillId="0" borderId="56" xfId="0" applyNumberFormat="1" applyFont="1" applyBorder="1" applyAlignment="1">
      <alignment/>
    </xf>
    <xf numFmtId="0" fontId="34" fillId="0" borderId="52" xfId="0" applyFont="1" applyBorder="1" applyAlignment="1">
      <alignment horizontal="left"/>
    </xf>
    <xf numFmtId="3" fontId="32" fillId="0" borderId="52" xfId="0" applyNumberFormat="1" applyFont="1" applyBorder="1" applyAlignment="1">
      <alignment/>
    </xf>
    <xf numFmtId="3" fontId="32" fillId="0" borderId="20" xfId="0" applyNumberFormat="1" applyFont="1" applyBorder="1" applyAlignment="1">
      <alignment/>
    </xf>
    <xf numFmtId="3" fontId="32" fillId="0" borderId="23" xfId="0" applyNumberFormat="1" applyFont="1" applyBorder="1" applyAlignment="1">
      <alignment/>
    </xf>
    <xf numFmtId="0" fontId="27" fillId="0" borderId="57" xfId="0" applyFont="1" applyBorder="1" applyAlignment="1">
      <alignment/>
    </xf>
    <xf numFmtId="0" fontId="27" fillId="0" borderId="23" xfId="0" applyFont="1" applyBorder="1" applyAlignment="1">
      <alignment/>
    </xf>
    <xf numFmtId="3" fontId="32" fillId="0" borderId="58" xfId="0" applyNumberFormat="1" applyFont="1" applyBorder="1" applyAlignment="1">
      <alignment/>
    </xf>
    <xf numFmtId="3" fontId="32" fillId="0" borderId="59" xfId="0" applyNumberFormat="1" applyFont="1" applyBorder="1" applyAlignment="1">
      <alignment/>
    </xf>
    <xf numFmtId="0" fontId="27" fillId="0" borderId="60" xfId="0" applyFont="1" applyBorder="1" applyAlignment="1">
      <alignment/>
    </xf>
    <xf numFmtId="0" fontId="32" fillId="0" borderId="46" xfId="0" applyFont="1" applyBorder="1" applyAlignment="1">
      <alignment horizontal="left"/>
    </xf>
    <xf numFmtId="0" fontId="32" fillId="0" borderId="32" xfId="0" applyFont="1" applyBorder="1" applyAlignment="1">
      <alignment horizontal="left"/>
    </xf>
    <xf numFmtId="3" fontId="34" fillId="0" borderId="23" xfId="0" applyNumberFormat="1" applyFont="1" applyBorder="1" applyAlignment="1">
      <alignment/>
    </xf>
    <xf numFmtId="3" fontId="32" fillId="0" borderId="57" xfId="0" applyNumberFormat="1" applyFont="1" applyBorder="1" applyAlignment="1">
      <alignment/>
    </xf>
    <xf numFmtId="3" fontId="32" fillId="0" borderId="60" xfId="0" applyNumberFormat="1" applyFont="1" applyBorder="1" applyAlignment="1">
      <alignment/>
    </xf>
    <xf numFmtId="3" fontId="32" fillId="16" borderId="12" xfId="0" applyNumberFormat="1" applyFont="1" applyFill="1" applyBorder="1" applyAlignment="1">
      <alignment/>
    </xf>
    <xf numFmtId="3" fontId="34" fillId="0" borderId="21" xfId="0" applyNumberFormat="1" applyFont="1" applyBorder="1" applyAlignment="1">
      <alignment/>
    </xf>
    <xf numFmtId="3" fontId="32" fillId="0" borderId="61" xfId="0" applyNumberFormat="1" applyFont="1" applyBorder="1" applyAlignment="1">
      <alignment/>
    </xf>
    <xf numFmtId="3" fontId="32" fillId="0" borderId="15" xfId="0" applyNumberFormat="1" applyFont="1" applyBorder="1" applyAlignment="1">
      <alignment/>
    </xf>
    <xf numFmtId="0" fontId="34" fillId="0" borderId="48" xfId="0" applyFont="1" applyBorder="1" applyAlignment="1">
      <alignment horizontal="left"/>
    </xf>
    <xf numFmtId="0" fontId="34" fillId="0" borderId="49" xfId="0" applyFont="1" applyBorder="1" applyAlignment="1">
      <alignment horizontal="left"/>
    </xf>
    <xf numFmtId="0" fontId="27" fillId="0" borderId="52" xfId="0" applyFont="1" applyBorder="1" applyAlignment="1">
      <alignment horizontal="center"/>
    </xf>
    <xf numFmtId="3" fontId="32" fillId="0" borderId="18" xfId="0" applyNumberFormat="1" applyFont="1" applyBorder="1" applyAlignment="1">
      <alignment/>
    </xf>
    <xf numFmtId="3" fontId="32" fillId="0" borderId="32" xfId="0" applyNumberFormat="1" applyFont="1" applyBorder="1" applyAlignment="1">
      <alignment/>
    </xf>
    <xf numFmtId="0" fontId="32" fillId="0" borderId="61" xfId="0" applyFont="1" applyBorder="1" applyAlignment="1">
      <alignment horizontal="left"/>
    </xf>
    <xf numFmtId="3" fontId="32" fillId="0" borderId="10" xfId="0" applyNumberFormat="1" applyFont="1" applyBorder="1" applyAlignment="1">
      <alignment/>
    </xf>
    <xf numFmtId="3" fontId="32" fillId="16" borderId="21" xfId="0" applyNumberFormat="1" applyFont="1" applyFill="1" applyBorder="1" applyAlignment="1">
      <alignment/>
    </xf>
    <xf numFmtId="3" fontId="32" fillId="0" borderId="62" xfId="0" applyNumberFormat="1" applyFont="1" applyBorder="1" applyAlignment="1">
      <alignment/>
    </xf>
    <xf numFmtId="0" fontId="34" fillId="0" borderId="48" xfId="0" applyFont="1" applyBorder="1" applyAlignment="1">
      <alignment horizontal="left" wrapText="1"/>
    </xf>
    <xf numFmtId="0" fontId="34" fillId="0" borderId="49" xfId="0" applyFont="1" applyBorder="1" applyAlignment="1">
      <alignment horizontal="left" wrapText="1"/>
    </xf>
    <xf numFmtId="0" fontId="32" fillId="0" borderId="52" xfId="0" applyFont="1" applyBorder="1" applyAlignment="1">
      <alignment horizontal="left"/>
    </xf>
    <xf numFmtId="0" fontId="32" fillId="0" borderId="63" xfId="0" applyFont="1" applyBorder="1" applyAlignment="1">
      <alignment horizontal="left"/>
    </xf>
    <xf numFmtId="0" fontId="32" fillId="0" borderId="64" xfId="0" applyFont="1" applyBorder="1" applyAlignment="1">
      <alignment horizontal="left"/>
    </xf>
    <xf numFmtId="3" fontId="32" fillId="0" borderId="64" xfId="0" applyNumberFormat="1" applyFont="1" applyBorder="1" applyAlignment="1">
      <alignment/>
    </xf>
    <xf numFmtId="3" fontId="32" fillId="16" borderId="64" xfId="0" applyNumberFormat="1" applyFont="1" applyFill="1" applyBorder="1" applyAlignment="1">
      <alignment/>
    </xf>
    <xf numFmtId="3" fontId="32" fillId="0" borderId="65" xfId="0" applyNumberFormat="1" applyFont="1" applyBorder="1" applyAlignment="1">
      <alignment/>
    </xf>
    <xf numFmtId="0" fontId="32" fillId="0" borderId="0" xfId="0" applyFont="1" applyAlignment="1">
      <alignment horizontal="center"/>
    </xf>
    <xf numFmtId="0" fontId="32" fillId="0" borderId="45" xfId="0" applyFont="1" applyBorder="1" applyAlignment="1">
      <alignment/>
    </xf>
    <xf numFmtId="0" fontId="32" fillId="0" borderId="43" xfId="0" applyFont="1" applyBorder="1" applyAlignment="1">
      <alignment horizontal="left" wrapText="1"/>
    </xf>
    <xf numFmtId="0" fontId="32" fillId="0" borderId="11" xfId="0" applyFont="1" applyBorder="1" applyAlignment="1">
      <alignment horizontal="left" wrapText="1"/>
    </xf>
    <xf numFmtId="0" fontId="32" fillId="0" borderId="46" xfId="0" applyFont="1" applyBorder="1" applyAlignment="1">
      <alignment horizontal="left" wrapText="1"/>
    </xf>
    <xf numFmtId="0" fontId="32" fillId="0" borderId="13" xfId="0" applyFont="1" applyBorder="1" applyAlignment="1">
      <alignment horizontal="left" wrapText="1"/>
    </xf>
    <xf numFmtId="0" fontId="32" fillId="0" borderId="13" xfId="0" applyFont="1" applyBorder="1" applyAlignment="1">
      <alignment/>
    </xf>
    <xf numFmtId="0" fontId="32" fillId="0" borderId="47" xfId="0" applyFont="1" applyBorder="1" applyAlignment="1">
      <alignment/>
    </xf>
    <xf numFmtId="3" fontId="33" fillId="0" borderId="49" xfId="0" applyNumberFormat="1" applyFont="1" applyBorder="1" applyAlignment="1">
      <alignment/>
    </xf>
    <xf numFmtId="0" fontId="34" fillId="0" borderId="49" xfId="0" applyFont="1" applyBorder="1" applyAlignment="1">
      <alignment/>
    </xf>
    <xf numFmtId="0" fontId="34" fillId="0" borderId="51" xfId="0" applyFont="1" applyBorder="1" applyAlignment="1">
      <alignment/>
    </xf>
    <xf numFmtId="0" fontId="34" fillId="0" borderId="52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2" fillId="0" borderId="44" xfId="0" applyFont="1" applyBorder="1" applyAlignment="1">
      <alignment/>
    </xf>
    <xf numFmtId="49" fontId="34" fillId="0" borderId="46" xfId="0" applyNumberFormat="1" applyFont="1" applyBorder="1" applyAlignment="1">
      <alignment horizontal="center" vertical="center"/>
    </xf>
    <xf numFmtId="49" fontId="34" fillId="0" borderId="52" xfId="0" applyNumberFormat="1" applyFont="1" applyBorder="1" applyAlignment="1">
      <alignment horizontal="center" vertical="center"/>
    </xf>
    <xf numFmtId="0" fontId="34" fillId="0" borderId="66" xfId="0" applyFont="1" applyBorder="1" applyAlignment="1">
      <alignment horizontal="left"/>
    </xf>
    <xf numFmtId="0" fontId="27" fillId="0" borderId="61" xfId="0" applyFont="1" applyBorder="1" applyAlignment="1">
      <alignment horizontal="center"/>
    </xf>
    <xf numFmtId="0" fontId="32" fillId="0" borderId="62" xfId="0" applyFont="1" applyBorder="1" applyAlignment="1">
      <alignment/>
    </xf>
    <xf numFmtId="3" fontId="29" fillId="0" borderId="64" xfId="0" applyNumberFormat="1" applyFont="1" applyBorder="1" applyAlignment="1">
      <alignment/>
    </xf>
    <xf numFmtId="3" fontId="33" fillId="0" borderId="65" xfId="0" applyNumberFormat="1" applyFont="1" applyBorder="1" applyAlignment="1">
      <alignment/>
    </xf>
    <xf numFmtId="0" fontId="0" fillId="0" borderId="0" xfId="0" applyAlignment="1">
      <alignment horizontal="left" vertical="center"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27" fillId="0" borderId="0" xfId="0" applyFont="1" applyAlignment="1">
      <alignment horizontal="left" vertical="center" wrapText="1"/>
    </xf>
    <xf numFmtId="3" fontId="26" fillId="20" borderId="49" xfId="0" applyNumberFormat="1" applyFont="1" applyFill="1" applyBorder="1" applyAlignment="1">
      <alignment horizontal="right" vertical="center"/>
    </xf>
    <xf numFmtId="0" fontId="26" fillId="20" borderId="48" xfId="0" applyFont="1" applyFill="1" applyBorder="1" applyAlignment="1">
      <alignment horizontal="left" vertical="center" wrapText="1"/>
    </xf>
    <xf numFmtId="3" fontId="26" fillId="0" borderId="62" xfId="0" applyNumberFormat="1" applyFont="1" applyBorder="1" applyAlignment="1">
      <alignment horizontal="right" vertical="center" wrapText="1"/>
    </xf>
    <xf numFmtId="3" fontId="27" fillId="0" borderId="21" xfId="0" applyNumberFormat="1" applyFont="1" applyBorder="1" applyAlignment="1">
      <alignment horizontal="right" vertical="center"/>
    </xf>
    <xf numFmtId="3" fontId="26" fillId="0" borderId="13" xfId="0" applyNumberFormat="1" applyFont="1" applyBorder="1" applyAlignment="1">
      <alignment horizontal="right" vertical="center" wrapText="1"/>
    </xf>
    <xf numFmtId="3" fontId="26" fillId="0" borderId="20" xfId="0" applyNumberFormat="1" applyFont="1" applyBorder="1" applyAlignment="1">
      <alignment horizontal="right" vertical="center" wrapText="1"/>
    </xf>
    <xf numFmtId="3" fontId="26" fillId="0" borderId="67" xfId="0" applyNumberFormat="1" applyFont="1" applyBorder="1" applyAlignment="1">
      <alignment horizontal="right" vertical="center"/>
    </xf>
    <xf numFmtId="3" fontId="27" fillId="0" borderId="68" xfId="0" applyNumberFormat="1" applyFont="1" applyBorder="1" applyAlignment="1">
      <alignment horizontal="right" vertical="center"/>
    </xf>
    <xf numFmtId="3" fontId="27" fillId="0" borderId="10" xfId="0" applyNumberFormat="1" applyFont="1" applyBorder="1" applyAlignment="1">
      <alignment horizontal="right" vertical="center"/>
    </xf>
    <xf numFmtId="3" fontId="27" fillId="0" borderId="15" xfId="0" applyNumberFormat="1" applyFont="1" applyBorder="1" applyAlignment="1">
      <alignment horizontal="right" vertical="center"/>
    </xf>
    <xf numFmtId="3" fontId="27" fillId="0" borderId="69" xfId="0" applyNumberFormat="1" applyFont="1" applyBorder="1" applyAlignment="1">
      <alignment horizontal="right" vertical="center"/>
    </xf>
    <xf numFmtId="3" fontId="27" fillId="0" borderId="16" xfId="0" applyNumberFormat="1" applyFont="1" applyBorder="1" applyAlignment="1">
      <alignment horizontal="right" vertical="center"/>
    </xf>
    <xf numFmtId="0" fontId="27" fillId="0" borderId="61" xfId="0" applyFont="1" applyBorder="1" applyAlignment="1">
      <alignment horizontal="left" vertical="center" wrapText="1"/>
    </xf>
    <xf numFmtId="3" fontId="26" fillId="0" borderId="49" xfId="0" applyNumberFormat="1" applyFont="1" applyBorder="1" applyAlignment="1">
      <alignment horizontal="right" vertical="center"/>
    </xf>
    <xf numFmtId="3" fontId="26" fillId="0" borderId="47" xfId="0" applyNumberFormat="1" applyFont="1" applyBorder="1" applyAlignment="1">
      <alignment horizontal="right" vertical="center" wrapText="1"/>
    </xf>
    <xf numFmtId="3" fontId="27" fillId="0" borderId="13" xfId="0" applyNumberFormat="1" applyFont="1" applyBorder="1" applyAlignment="1">
      <alignment horizontal="right" vertical="center"/>
    </xf>
    <xf numFmtId="3" fontId="26" fillId="0" borderId="70" xfId="0" applyNumberFormat="1" applyFont="1" applyBorder="1" applyAlignment="1">
      <alignment horizontal="right" vertical="center" wrapText="1"/>
    </xf>
    <xf numFmtId="3" fontId="26" fillId="0" borderId="22" xfId="0" applyNumberFormat="1" applyFont="1" applyBorder="1" applyAlignment="1">
      <alignment horizontal="right" vertical="center" wrapText="1"/>
    </xf>
    <xf numFmtId="3" fontId="26" fillId="0" borderId="71" xfId="0" applyNumberFormat="1" applyFont="1" applyBorder="1" applyAlignment="1">
      <alignment horizontal="right" vertical="center" wrapText="1"/>
    </xf>
    <xf numFmtId="3" fontId="27" fillId="0" borderId="32" xfId="0" applyNumberFormat="1" applyFont="1" applyBorder="1" applyAlignment="1">
      <alignment horizontal="right" vertical="center"/>
    </xf>
    <xf numFmtId="3" fontId="27" fillId="0" borderId="14" xfId="0" applyNumberFormat="1" applyFont="1" applyBorder="1" applyAlignment="1">
      <alignment horizontal="right" vertical="center"/>
    </xf>
    <xf numFmtId="3" fontId="27" fillId="0" borderId="72" xfId="0" applyNumberFormat="1" applyFont="1" applyBorder="1" applyAlignment="1">
      <alignment horizontal="right" vertical="center"/>
    </xf>
    <xf numFmtId="0" fontId="27" fillId="0" borderId="46" xfId="0" applyFont="1" applyBorder="1" applyAlignment="1">
      <alignment horizontal="left" vertical="center" wrapText="1"/>
    </xf>
    <xf numFmtId="3" fontId="26" fillId="0" borderId="44" xfId="0" applyNumberFormat="1" applyFont="1" applyBorder="1" applyAlignment="1">
      <alignment horizontal="right" vertical="center" wrapText="1"/>
    </xf>
    <xf numFmtId="3" fontId="27" fillId="0" borderId="22" xfId="0" applyNumberFormat="1" applyFont="1" applyBorder="1" applyAlignment="1">
      <alignment horizontal="right" vertical="center"/>
    </xf>
    <xf numFmtId="3" fontId="27" fillId="0" borderId="18" xfId="0" applyNumberFormat="1" applyFont="1" applyBorder="1" applyAlignment="1">
      <alignment horizontal="right" vertical="center"/>
    </xf>
    <xf numFmtId="3" fontId="27" fillId="0" borderId="20" xfId="0" applyNumberFormat="1" applyFont="1" applyBorder="1" applyAlignment="1">
      <alignment horizontal="right" vertical="center"/>
    </xf>
    <xf numFmtId="3" fontId="27" fillId="0" borderId="71" xfId="0" applyNumberFormat="1" applyFont="1" applyBorder="1" applyAlignment="1">
      <alignment horizontal="right" vertical="center"/>
    </xf>
    <xf numFmtId="0" fontId="27" fillId="0" borderId="52" xfId="0" applyFont="1" applyBorder="1" applyAlignment="1">
      <alignment horizontal="left" vertical="center" wrapText="1"/>
    </xf>
    <xf numFmtId="3" fontId="26" fillId="0" borderId="73" xfId="0" applyNumberFormat="1" applyFont="1" applyBorder="1" applyAlignment="1">
      <alignment horizontal="right" vertical="center" wrapText="1"/>
    </xf>
    <xf numFmtId="3" fontId="26" fillId="0" borderId="72" xfId="0" applyNumberFormat="1" applyFont="1" applyBorder="1" applyAlignment="1">
      <alignment horizontal="right" vertical="center" wrapText="1"/>
    </xf>
    <xf numFmtId="0" fontId="32" fillId="0" borderId="46" xfId="0" applyFont="1" applyBorder="1" applyAlignment="1">
      <alignment horizontal="left" vertical="center" wrapText="1"/>
    </xf>
    <xf numFmtId="3" fontId="26" fillId="21" borderId="13" xfId="0" applyNumberFormat="1" applyFont="1" applyFill="1" applyBorder="1" applyAlignment="1">
      <alignment horizontal="right" vertical="center"/>
    </xf>
    <xf numFmtId="0" fontId="34" fillId="21" borderId="46" xfId="0" applyFont="1" applyFill="1" applyBorder="1" applyAlignment="1">
      <alignment horizontal="left" vertical="center" wrapText="1"/>
    </xf>
    <xf numFmtId="3" fontId="26" fillId="0" borderId="45" xfId="0" applyNumberFormat="1" applyFont="1" applyBorder="1" applyAlignment="1">
      <alignment horizontal="right" vertical="center" wrapText="1"/>
    </xf>
    <xf numFmtId="3" fontId="26" fillId="0" borderId="12" xfId="0" applyNumberFormat="1" applyFont="1" applyBorder="1" applyAlignment="1">
      <alignment horizontal="right" vertical="center" wrapText="1"/>
    </xf>
    <xf numFmtId="3" fontId="26" fillId="0" borderId="69" xfId="0" applyNumberFormat="1" applyFont="1" applyBorder="1" applyAlignment="1">
      <alignment horizontal="right" vertical="center" wrapText="1"/>
    </xf>
    <xf numFmtId="3" fontId="26" fillId="0" borderId="74" xfId="0" applyNumberFormat="1" applyFont="1" applyBorder="1" applyAlignment="1">
      <alignment horizontal="right" vertical="center" wrapText="1"/>
    </xf>
    <xf numFmtId="3" fontId="26" fillId="0" borderId="16" xfId="0" applyNumberFormat="1" applyFont="1" applyBorder="1" applyAlignment="1">
      <alignment horizontal="right" vertical="center"/>
    </xf>
    <xf numFmtId="3" fontId="26" fillId="0" borderId="12" xfId="0" applyNumberFormat="1" applyFont="1" applyBorder="1" applyAlignment="1">
      <alignment horizontal="right" vertical="center"/>
    </xf>
    <xf numFmtId="3" fontId="26" fillId="0" borderId="74" xfId="0" applyNumberFormat="1" applyFont="1" applyBorder="1" applyAlignment="1">
      <alignment horizontal="right" vertical="center"/>
    </xf>
    <xf numFmtId="0" fontId="32" fillId="0" borderId="43" xfId="0" applyFont="1" applyBorder="1" applyAlignment="1">
      <alignment horizontal="left" vertical="center" wrapText="1"/>
    </xf>
    <xf numFmtId="3" fontId="26" fillId="21" borderId="11" xfId="0" applyNumberFormat="1" applyFont="1" applyFill="1" applyBorder="1" applyAlignment="1">
      <alignment horizontal="right" vertical="center"/>
    </xf>
    <xf numFmtId="0" fontId="34" fillId="21" borderId="43" xfId="0" applyFont="1" applyFill="1" applyBorder="1" applyAlignment="1">
      <alignment horizontal="left" vertical="center" wrapText="1"/>
    </xf>
    <xf numFmtId="3" fontId="27" fillId="0" borderId="12" xfId="0" applyNumberFormat="1" applyFont="1" applyBorder="1" applyAlignment="1">
      <alignment horizontal="right" vertical="center"/>
    </xf>
    <xf numFmtId="3" fontId="27" fillId="0" borderId="74" xfId="0" applyNumberFormat="1" applyFont="1" applyBorder="1" applyAlignment="1">
      <alignment horizontal="right" vertical="center"/>
    </xf>
    <xf numFmtId="14" fontId="32" fillId="0" borderId="43" xfId="0" applyNumberFormat="1" applyFont="1" applyBorder="1" applyAlignment="1">
      <alignment horizontal="left" vertical="center" wrapText="1"/>
    </xf>
    <xf numFmtId="3" fontId="55" fillId="0" borderId="11" xfId="0" applyNumberFormat="1" applyFont="1" applyBorder="1" applyAlignment="1">
      <alignment horizontal="right" vertical="center" wrapText="1"/>
    </xf>
    <xf numFmtId="3" fontId="55" fillId="0" borderId="74" xfId="0" applyNumberFormat="1" applyFont="1" applyBorder="1" applyAlignment="1">
      <alignment horizontal="right" vertical="center" wrapText="1"/>
    </xf>
    <xf numFmtId="3" fontId="26" fillId="21" borderId="45" xfId="0" applyNumberFormat="1" applyFont="1" applyFill="1" applyBorder="1" applyAlignment="1">
      <alignment horizontal="right" vertical="center" wrapText="1"/>
    </xf>
    <xf numFmtId="3" fontId="26" fillId="21" borderId="11" xfId="0" applyNumberFormat="1" applyFont="1" applyFill="1" applyBorder="1" applyAlignment="1">
      <alignment horizontal="right" vertical="center" wrapText="1"/>
    </xf>
    <xf numFmtId="3" fontId="26" fillId="21" borderId="12" xfId="0" applyNumberFormat="1" applyFont="1" applyFill="1" applyBorder="1" applyAlignment="1">
      <alignment horizontal="right" vertical="center" wrapText="1"/>
    </xf>
    <xf numFmtId="3" fontId="26" fillId="21" borderId="69" xfId="0" applyNumberFormat="1" applyFont="1" applyFill="1" applyBorder="1" applyAlignment="1">
      <alignment horizontal="right" vertical="center" wrapText="1"/>
    </xf>
    <xf numFmtId="3" fontId="55" fillId="21" borderId="11" xfId="0" applyNumberFormat="1" applyFont="1" applyFill="1" applyBorder="1" applyAlignment="1">
      <alignment horizontal="right" vertical="center" wrapText="1"/>
    </xf>
    <xf numFmtId="3" fontId="55" fillId="21" borderId="74" xfId="0" applyNumberFormat="1" applyFont="1" applyFill="1" applyBorder="1" applyAlignment="1">
      <alignment horizontal="right" vertical="center" wrapText="1"/>
    </xf>
    <xf numFmtId="0" fontId="26" fillId="21" borderId="43" xfId="0" applyFont="1" applyFill="1" applyBorder="1" applyAlignment="1">
      <alignment horizontal="left" vertical="center" wrapText="1"/>
    </xf>
    <xf numFmtId="0" fontId="27" fillId="0" borderId="43" xfId="0" applyFont="1" applyBorder="1" applyAlignment="1">
      <alignment horizontal="left" vertical="center" wrapText="1"/>
    </xf>
    <xf numFmtId="3" fontId="26" fillId="21" borderId="45" xfId="0" applyNumberFormat="1" applyFont="1" applyFill="1" applyBorder="1" applyAlignment="1">
      <alignment horizontal="right" vertical="center"/>
    </xf>
    <xf numFmtId="3" fontId="26" fillId="21" borderId="74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vertical="center" wrapText="1"/>
    </xf>
    <xf numFmtId="3" fontId="26" fillId="21" borderId="44" xfId="0" applyNumberFormat="1" applyFont="1" applyFill="1" applyBorder="1" applyAlignment="1">
      <alignment horizontal="right" vertical="center" wrapText="1"/>
    </xf>
    <xf numFmtId="3" fontId="26" fillId="21" borderId="22" xfId="0" applyNumberFormat="1" applyFont="1" applyFill="1" applyBorder="1" applyAlignment="1">
      <alignment horizontal="right" vertical="center" wrapText="1"/>
    </xf>
    <xf numFmtId="3" fontId="26" fillId="21" borderId="20" xfId="0" applyNumberFormat="1" applyFont="1" applyFill="1" applyBorder="1" applyAlignment="1">
      <alignment horizontal="right" vertical="center" wrapText="1"/>
    </xf>
    <xf numFmtId="3" fontId="26" fillId="21" borderId="70" xfId="0" applyNumberFormat="1" applyFont="1" applyFill="1" applyBorder="1" applyAlignment="1">
      <alignment horizontal="right" vertical="center" wrapText="1"/>
    </xf>
    <xf numFmtId="3" fontId="26" fillId="21" borderId="71" xfId="0" applyNumberFormat="1" applyFont="1" applyFill="1" applyBorder="1" applyAlignment="1">
      <alignment horizontal="right" vertical="center" wrapText="1"/>
    </xf>
    <xf numFmtId="3" fontId="26" fillId="21" borderId="18" xfId="0" applyNumberFormat="1" applyFont="1" applyFill="1" applyBorder="1" applyAlignment="1">
      <alignment horizontal="right" vertical="center" wrapText="1"/>
    </xf>
    <xf numFmtId="0" fontId="26" fillId="21" borderId="52" xfId="0" applyFont="1" applyFill="1" applyBorder="1" applyAlignment="1">
      <alignment horizontal="left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75" xfId="0" applyFont="1" applyBorder="1" applyAlignment="1">
      <alignment horizontal="center" vertical="center" wrapText="1"/>
    </xf>
    <xf numFmtId="0" fontId="26" fillId="0" borderId="76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wrapText="1"/>
    </xf>
    <xf numFmtId="0" fontId="35" fillId="0" borderId="0" xfId="0" applyFont="1" applyAlignment="1">
      <alignment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right"/>
    </xf>
    <xf numFmtId="0" fontId="34" fillId="0" borderId="77" xfId="0" applyFont="1" applyBorder="1" applyAlignment="1">
      <alignment horizontal="center" vertical="center"/>
    </xf>
    <xf numFmtId="0" fontId="32" fillId="0" borderId="58" xfId="0" applyFont="1" applyBorder="1" applyAlignment="1">
      <alignment horizontal="left"/>
    </xf>
    <xf numFmtId="3" fontId="32" fillId="0" borderId="22" xfId="0" applyNumberFormat="1" applyFont="1" applyBorder="1" applyAlignment="1">
      <alignment horizontal="right"/>
    </xf>
    <xf numFmtId="3" fontId="32" fillId="0" borderId="44" xfId="0" applyNumberFormat="1" applyFont="1" applyBorder="1" applyAlignment="1">
      <alignment horizontal="right"/>
    </xf>
    <xf numFmtId="0" fontId="32" fillId="0" borderId="78" xfId="0" applyFont="1" applyBorder="1" applyAlignment="1">
      <alignment horizontal="left" vertical="center" wrapText="1"/>
    </xf>
    <xf numFmtId="3" fontId="32" fillId="0" borderId="45" xfId="0" applyNumberFormat="1" applyFont="1" applyBorder="1" applyAlignment="1">
      <alignment horizontal="right"/>
    </xf>
    <xf numFmtId="0" fontId="32" fillId="0" borderId="78" xfId="0" applyFont="1" applyBorder="1" applyAlignment="1">
      <alignment horizontal="left"/>
    </xf>
    <xf numFmtId="167" fontId="32" fillId="0" borderId="78" xfId="0" applyNumberFormat="1" applyFont="1" applyBorder="1" applyAlignment="1">
      <alignment horizontal="left" wrapText="1"/>
    </xf>
    <xf numFmtId="0" fontId="41" fillId="0" borderId="78" xfId="0" applyFont="1" applyBorder="1" applyAlignment="1">
      <alignment horizontal="left"/>
    </xf>
    <xf numFmtId="0" fontId="32" fillId="0" borderId="78" xfId="0" applyFont="1" applyBorder="1" applyAlignment="1">
      <alignment/>
    </xf>
    <xf numFmtId="3" fontId="40" fillId="0" borderId="11" xfId="0" applyNumberFormat="1" applyFont="1" applyBorder="1" applyAlignment="1">
      <alignment wrapText="1"/>
    </xf>
    <xf numFmtId="167" fontId="32" fillId="0" borderId="79" xfId="0" applyNumberFormat="1" applyFont="1" applyBorder="1" applyAlignment="1">
      <alignment horizontal="left" vertical="center" wrapText="1"/>
    </xf>
    <xf numFmtId="3" fontId="32" fillId="0" borderId="13" xfId="0" applyNumberFormat="1" applyFont="1" applyBorder="1" applyAlignment="1">
      <alignment horizontal="right"/>
    </xf>
    <xf numFmtId="3" fontId="32" fillId="0" borderId="47" xfId="0" applyNumberFormat="1" applyFont="1" applyBorder="1" applyAlignment="1">
      <alignment horizontal="right"/>
    </xf>
    <xf numFmtId="0" fontId="34" fillId="0" borderId="80" xfId="0" applyFont="1" applyBorder="1" applyAlignment="1">
      <alignment horizontal="left" vertical="center"/>
    </xf>
    <xf numFmtId="3" fontId="34" fillId="0" borderId="48" xfId="0" applyNumberFormat="1" applyFont="1" applyBorder="1" applyAlignment="1">
      <alignment wrapText="1"/>
    </xf>
    <xf numFmtId="3" fontId="34" fillId="0" borderId="49" xfId="0" applyNumberFormat="1" applyFont="1" applyBorder="1" applyAlignment="1">
      <alignment horizontal="right"/>
    </xf>
    <xf numFmtId="3" fontId="34" fillId="0" borderId="51" xfId="0" applyNumberFormat="1" applyFont="1" applyBorder="1" applyAlignment="1">
      <alignment horizontal="right"/>
    </xf>
    <xf numFmtId="0" fontId="34" fillId="0" borderId="58" xfId="0" applyFont="1" applyBorder="1" applyAlignment="1">
      <alignment horizontal="left" vertical="center"/>
    </xf>
    <xf numFmtId="0" fontId="32" fillId="0" borderId="78" xfId="0" applyFont="1" applyBorder="1" applyAlignment="1">
      <alignment vertical="center"/>
    </xf>
    <xf numFmtId="3" fontId="56" fillId="0" borderId="11" xfId="0" applyNumberFormat="1" applyFont="1" applyBorder="1" applyAlignment="1">
      <alignment/>
    </xf>
    <xf numFmtId="0" fontId="32" fillId="0" borderId="79" xfId="0" applyFont="1" applyBorder="1" applyAlignment="1">
      <alignment/>
    </xf>
    <xf numFmtId="3" fontId="32" fillId="0" borderId="49" xfId="0" applyNumberFormat="1" applyFont="1" applyBorder="1" applyAlignment="1">
      <alignment horizontal="right"/>
    </xf>
    <xf numFmtId="3" fontId="32" fillId="0" borderId="51" xfId="0" applyNumberFormat="1" applyFont="1" applyBorder="1" applyAlignment="1">
      <alignment horizontal="right"/>
    </xf>
    <xf numFmtId="0" fontId="34" fillId="0" borderId="81" xfId="0" applyFont="1" applyBorder="1" applyAlignment="1">
      <alignment horizontal="left" vertical="center"/>
    </xf>
    <xf numFmtId="3" fontId="32" fillId="0" borderId="21" xfId="0" applyNumberFormat="1" applyFont="1" applyBorder="1" applyAlignment="1">
      <alignment horizontal="right"/>
    </xf>
    <xf numFmtId="3" fontId="32" fillId="0" borderId="62" xfId="0" applyNumberFormat="1" applyFont="1" applyBorder="1" applyAlignment="1">
      <alignment horizontal="right"/>
    </xf>
    <xf numFmtId="0" fontId="32" fillId="0" borderId="79" xfId="0" applyFont="1" applyBorder="1" applyAlignment="1">
      <alignment vertical="center"/>
    </xf>
    <xf numFmtId="0" fontId="32" fillId="0" borderId="82" xfId="0" applyFont="1" applyBorder="1" applyAlignment="1">
      <alignment/>
    </xf>
    <xf numFmtId="0" fontId="34" fillId="0" borderId="81" xfId="0" applyFont="1" applyBorder="1" applyAlignment="1">
      <alignment horizontal="left"/>
    </xf>
    <xf numFmtId="0" fontId="32" fillId="0" borderId="83" xfId="0" applyFont="1" applyBorder="1" applyAlignment="1">
      <alignment/>
    </xf>
    <xf numFmtId="3" fontId="40" fillId="0" borderId="48" xfId="0" applyNumberFormat="1" applyFont="1" applyBorder="1" applyAlignment="1">
      <alignment/>
    </xf>
    <xf numFmtId="0" fontId="32" fillId="16" borderId="61" xfId="0" applyFont="1" applyFill="1" applyBorder="1" applyAlignment="1">
      <alignment/>
    </xf>
    <xf numFmtId="0" fontId="34" fillId="16" borderId="84" xfId="0" applyFont="1" applyFill="1" applyBorder="1" applyAlignment="1">
      <alignment vertical="center" wrapText="1"/>
    </xf>
    <xf numFmtId="0" fontId="32" fillId="0" borderId="85" xfId="0" applyFont="1" applyBorder="1" applyAlignment="1">
      <alignment/>
    </xf>
    <xf numFmtId="3" fontId="32" fillId="0" borderId="64" xfId="0" applyNumberFormat="1" applyFont="1" applyBorder="1" applyAlignment="1">
      <alignment horizontal="right" wrapText="1"/>
    </xf>
    <xf numFmtId="0" fontId="26" fillId="0" borderId="48" xfId="0" applyFont="1" applyBorder="1" applyAlignment="1">
      <alignment horizontal="left" vertical="center" wrapText="1"/>
    </xf>
    <xf numFmtId="0" fontId="26" fillId="0" borderId="86" xfId="0" applyFont="1" applyBorder="1" applyAlignment="1">
      <alignment horizontal="center" vertical="center" wrapText="1"/>
    </xf>
    <xf numFmtId="0" fontId="26" fillId="0" borderId="87" xfId="0" applyFont="1" applyBorder="1" applyAlignment="1">
      <alignment horizontal="center" vertical="center" wrapText="1"/>
    </xf>
    <xf numFmtId="3" fontId="57" fillId="21" borderId="22" xfId="0" applyNumberFormat="1" applyFont="1" applyFill="1" applyBorder="1" applyAlignment="1">
      <alignment horizontal="right" vertical="center" wrapText="1"/>
    </xf>
    <xf numFmtId="3" fontId="57" fillId="21" borderId="18" xfId="0" applyNumberFormat="1" applyFont="1" applyFill="1" applyBorder="1" applyAlignment="1">
      <alignment horizontal="right" vertical="center" wrapText="1"/>
    </xf>
    <xf numFmtId="3" fontId="57" fillId="21" borderId="88" xfId="0" applyNumberFormat="1" applyFont="1" applyFill="1" applyBorder="1" applyAlignment="1">
      <alignment horizontal="right" vertical="center" wrapText="1"/>
    </xf>
    <xf numFmtId="3" fontId="57" fillId="21" borderId="89" xfId="0" applyNumberFormat="1" applyFont="1" applyFill="1" applyBorder="1" applyAlignment="1">
      <alignment horizontal="right" vertical="center" wrapText="1"/>
    </xf>
    <xf numFmtId="3" fontId="57" fillId="21" borderId="20" xfId="0" applyNumberFormat="1" applyFont="1" applyFill="1" applyBorder="1" applyAlignment="1">
      <alignment horizontal="right" vertical="center" wrapText="1"/>
    </xf>
    <xf numFmtId="3" fontId="26" fillId="21" borderId="52" xfId="0" applyNumberFormat="1" applyFont="1" applyFill="1" applyBorder="1" applyAlignment="1">
      <alignment horizontal="right" vertical="center" wrapText="1"/>
    </xf>
    <xf numFmtId="0" fontId="27" fillId="19" borderId="43" xfId="0" applyFont="1" applyFill="1" applyBorder="1" applyAlignment="1">
      <alignment horizontal="left" vertical="center" wrapText="1"/>
    </xf>
    <xf numFmtId="3" fontId="53" fillId="0" borderId="16" xfId="0" applyNumberFormat="1" applyFont="1" applyBorder="1" applyAlignment="1">
      <alignment horizontal="right" vertical="center"/>
    </xf>
    <xf numFmtId="3" fontId="53" fillId="0" borderId="90" xfId="0" applyNumberFormat="1" applyFont="1" applyBorder="1" applyAlignment="1">
      <alignment horizontal="right" vertical="center"/>
    </xf>
    <xf numFmtId="3" fontId="53" fillId="0" borderId="91" xfId="0" applyNumberFormat="1" applyFont="1" applyBorder="1" applyAlignment="1">
      <alignment horizontal="right" vertical="center"/>
    </xf>
    <xf numFmtId="3" fontId="53" fillId="0" borderId="12" xfId="0" applyNumberFormat="1" applyFont="1" applyBorder="1" applyAlignment="1">
      <alignment horizontal="right" vertical="center"/>
    </xf>
    <xf numFmtId="3" fontId="27" fillId="0" borderId="43" xfId="0" applyNumberFormat="1" applyFont="1" applyBorder="1" applyAlignment="1">
      <alignment horizontal="right" vertical="center"/>
    </xf>
    <xf numFmtId="3" fontId="27" fillId="0" borderId="45" xfId="0" applyNumberFormat="1" applyFont="1" applyBorder="1" applyAlignment="1">
      <alignment horizontal="right" vertical="center"/>
    </xf>
    <xf numFmtId="3" fontId="26" fillId="19" borderId="52" xfId="0" applyNumberFormat="1" applyFont="1" applyFill="1" applyBorder="1" applyAlignment="1">
      <alignment horizontal="right" vertical="center" wrapText="1"/>
    </xf>
    <xf numFmtId="3" fontId="26" fillId="19" borderId="22" xfId="0" applyNumberFormat="1" applyFont="1" applyFill="1" applyBorder="1" applyAlignment="1">
      <alignment horizontal="right" vertical="center" wrapText="1"/>
    </xf>
    <xf numFmtId="3" fontId="26" fillId="19" borderId="44" xfId="0" applyNumberFormat="1" applyFont="1" applyFill="1" applyBorder="1" applyAlignment="1">
      <alignment horizontal="right" vertical="center" wrapText="1"/>
    </xf>
    <xf numFmtId="3" fontId="53" fillId="19" borderId="43" xfId="0" applyNumberFormat="1" applyFont="1" applyFill="1" applyBorder="1" applyAlignment="1">
      <alignment horizontal="right" vertical="center"/>
    </xf>
    <xf numFmtId="3" fontId="53" fillId="19" borderId="45" xfId="0" applyNumberFormat="1" applyFont="1" applyFill="1" applyBorder="1" applyAlignment="1">
      <alignment horizontal="right" vertical="center"/>
    </xf>
    <xf numFmtId="3" fontId="53" fillId="19" borderId="90" xfId="0" applyNumberFormat="1" applyFont="1" applyFill="1" applyBorder="1" applyAlignment="1">
      <alignment horizontal="right" vertical="center"/>
    </xf>
    <xf numFmtId="3" fontId="27" fillId="19" borderId="43" xfId="0" applyNumberFormat="1" applyFont="1" applyFill="1" applyBorder="1" applyAlignment="1">
      <alignment horizontal="right" vertical="center"/>
    </xf>
    <xf numFmtId="3" fontId="27" fillId="19" borderId="45" xfId="0" applyNumberFormat="1" applyFont="1" applyFill="1" applyBorder="1" applyAlignment="1">
      <alignment horizontal="right" vertical="center"/>
    </xf>
    <xf numFmtId="3" fontId="27" fillId="19" borderId="12" xfId="0" applyNumberFormat="1" applyFont="1" applyFill="1" applyBorder="1" applyAlignment="1">
      <alignment horizontal="right" vertical="center"/>
    </xf>
    <xf numFmtId="3" fontId="26" fillId="19" borderId="45" xfId="0" applyNumberFormat="1" applyFont="1" applyFill="1" applyBorder="1" applyAlignment="1">
      <alignment horizontal="right" vertical="center" wrapText="1"/>
    </xf>
    <xf numFmtId="3" fontId="53" fillId="21" borderId="16" xfId="0" applyNumberFormat="1" applyFont="1" applyFill="1" applyBorder="1" applyAlignment="1">
      <alignment horizontal="right" vertical="center"/>
    </xf>
    <xf numFmtId="3" fontId="26" fillId="21" borderId="90" xfId="0" applyNumberFormat="1" applyFont="1" applyFill="1" applyBorder="1" applyAlignment="1">
      <alignment horizontal="right" vertical="center"/>
    </xf>
    <xf numFmtId="3" fontId="53" fillId="21" borderId="91" xfId="0" applyNumberFormat="1" applyFont="1" applyFill="1" applyBorder="1" applyAlignment="1">
      <alignment horizontal="right" vertical="center"/>
    </xf>
    <xf numFmtId="3" fontId="26" fillId="21" borderId="12" xfId="0" applyNumberFormat="1" applyFont="1" applyFill="1" applyBorder="1" applyAlignment="1">
      <alignment horizontal="right" vertical="center"/>
    </xf>
    <xf numFmtId="3" fontId="26" fillId="21" borderId="43" xfId="0" applyNumberFormat="1" applyFont="1" applyFill="1" applyBorder="1" applyAlignment="1">
      <alignment horizontal="right" vertical="center"/>
    </xf>
    <xf numFmtId="3" fontId="57" fillId="21" borderId="11" xfId="0" applyNumberFormat="1" applyFont="1" applyFill="1" applyBorder="1" applyAlignment="1">
      <alignment horizontal="right" vertical="center"/>
    </xf>
    <xf numFmtId="3" fontId="57" fillId="21" borderId="16" xfId="0" applyNumberFormat="1" applyFont="1" applyFill="1" applyBorder="1" applyAlignment="1">
      <alignment horizontal="right" vertical="center"/>
    </xf>
    <xf numFmtId="3" fontId="57" fillId="21" borderId="90" xfId="0" applyNumberFormat="1" applyFont="1" applyFill="1" applyBorder="1" applyAlignment="1">
      <alignment horizontal="right" vertical="center"/>
    </xf>
    <xf numFmtId="3" fontId="57" fillId="21" borderId="91" xfId="0" applyNumberFormat="1" applyFont="1" applyFill="1" applyBorder="1" applyAlignment="1">
      <alignment horizontal="right" vertical="center"/>
    </xf>
    <xf numFmtId="3" fontId="57" fillId="21" borderId="12" xfId="0" applyNumberFormat="1" applyFont="1" applyFill="1" applyBorder="1" applyAlignment="1">
      <alignment horizontal="right" vertical="center"/>
    </xf>
    <xf numFmtId="3" fontId="57" fillId="21" borderId="43" xfId="0" applyNumberFormat="1" applyFont="1" applyFill="1" applyBorder="1" applyAlignment="1">
      <alignment horizontal="right" vertical="center"/>
    </xf>
    <xf numFmtId="3" fontId="57" fillId="21" borderId="45" xfId="0" applyNumberFormat="1" applyFont="1" applyFill="1" applyBorder="1" applyAlignment="1">
      <alignment horizontal="right" vertical="center"/>
    </xf>
    <xf numFmtId="3" fontId="27" fillId="0" borderId="90" xfId="0" applyNumberFormat="1" applyFont="1" applyBorder="1" applyAlignment="1">
      <alignment horizontal="right" vertical="center"/>
    </xf>
    <xf numFmtId="3" fontId="53" fillId="0" borderId="43" xfId="0" applyNumberFormat="1" applyFont="1" applyBorder="1" applyAlignment="1">
      <alignment horizontal="right" vertical="center"/>
    </xf>
    <xf numFmtId="3" fontId="54" fillId="0" borderId="45" xfId="0" applyNumberFormat="1" applyFont="1" applyBorder="1" applyAlignment="1">
      <alignment horizontal="right" vertical="center"/>
    </xf>
    <xf numFmtId="3" fontId="26" fillId="21" borderId="90" xfId="0" applyNumberFormat="1" applyFont="1" applyFill="1" applyBorder="1" applyAlignment="1">
      <alignment horizontal="right" vertical="center" wrapText="1"/>
    </xf>
    <xf numFmtId="3" fontId="26" fillId="21" borderId="43" xfId="0" applyNumberFormat="1" applyFont="1" applyFill="1" applyBorder="1" applyAlignment="1">
      <alignment horizontal="right" vertical="center" wrapText="1"/>
    </xf>
    <xf numFmtId="3" fontId="27" fillId="21" borderId="45" xfId="0" applyNumberFormat="1" applyFont="1" applyFill="1" applyBorder="1" applyAlignment="1">
      <alignment horizontal="right" vertical="center"/>
    </xf>
    <xf numFmtId="3" fontId="26" fillId="21" borderId="16" xfId="0" applyNumberFormat="1" applyFont="1" applyFill="1" applyBorder="1" applyAlignment="1">
      <alignment horizontal="right" vertical="center"/>
    </xf>
    <xf numFmtId="3" fontId="26" fillId="21" borderId="91" xfId="0" applyNumberFormat="1" applyFont="1" applyFill="1" applyBorder="1" applyAlignment="1">
      <alignment horizontal="right" vertical="center"/>
    </xf>
    <xf numFmtId="3" fontId="55" fillId="21" borderId="11" xfId="0" applyNumberFormat="1" applyFont="1" applyFill="1" applyBorder="1" applyAlignment="1">
      <alignment horizontal="right" vertical="center"/>
    </xf>
    <xf numFmtId="3" fontId="55" fillId="21" borderId="45" xfId="0" applyNumberFormat="1" applyFont="1" applyFill="1" applyBorder="1" applyAlignment="1">
      <alignment horizontal="right" vertical="center"/>
    </xf>
    <xf numFmtId="3" fontId="53" fillId="0" borderId="45" xfId="0" applyNumberFormat="1" applyFont="1" applyBorder="1" applyAlignment="1">
      <alignment horizontal="right" vertical="center"/>
    </xf>
    <xf numFmtId="3" fontId="57" fillId="0" borderId="43" xfId="0" applyNumberFormat="1" applyFont="1" applyBorder="1" applyAlignment="1">
      <alignment horizontal="right" vertical="center"/>
    </xf>
    <xf numFmtId="3" fontId="57" fillId="0" borderId="11" xfId="0" applyNumberFormat="1" applyFont="1" applyBorder="1" applyAlignment="1">
      <alignment horizontal="right" vertical="center"/>
    </xf>
    <xf numFmtId="3" fontId="57" fillId="0" borderId="45" xfId="0" applyNumberFormat="1" applyFont="1" applyBorder="1" applyAlignment="1">
      <alignment horizontal="right" vertical="center"/>
    </xf>
    <xf numFmtId="3" fontId="26" fillId="0" borderId="45" xfId="0" applyNumberFormat="1" applyFont="1" applyBorder="1" applyAlignment="1">
      <alignment horizontal="right" vertical="center"/>
    </xf>
    <xf numFmtId="3" fontId="57" fillId="0" borderId="90" xfId="0" applyNumberFormat="1" applyFont="1" applyBorder="1" applyAlignment="1">
      <alignment horizontal="right" vertical="center"/>
    </xf>
    <xf numFmtId="3" fontId="57" fillId="0" borderId="12" xfId="0" applyNumberFormat="1" applyFont="1" applyBorder="1" applyAlignment="1">
      <alignment horizontal="right" vertical="center"/>
    </xf>
    <xf numFmtId="3" fontId="57" fillId="21" borderId="13" xfId="0" applyNumberFormat="1" applyFont="1" applyFill="1" applyBorder="1" applyAlignment="1">
      <alignment horizontal="right" vertical="center"/>
    </xf>
    <xf numFmtId="3" fontId="57" fillId="21" borderId="92" xfId="0" applyNumberFormat="1" applyFont="1" applyFill="1" applyBorder="1" applyAlignment="1">
      <alignment horizontal="right" vertical="center"/>
    </xf>
    <xf numFmtId="3" fontId="57" fillId="21" borderId="14" xfId="0" applyNumberFormat="1" applyFont="1" applyFill="1" applyBorder="1" applyAlignment="1">
      <alignment horizontal="right" vertical="center"/>
    </xf>
    <xf numFmtId="3" fontId="57" fillId="21" borderId="46" xfId="0" applyNumberFormat="1" applyFont="1" applyFill="1" applyBorder="1" applyAlignment="1">
      <alignment horizontal="right" vertical="center"/>
    </xf>
    <xf numFmtId="3" fontId="57" fillId="21" borderId="47" xfId="0" applyNumberFormat="1" applyFont="1" applyFill="1" applyBorder="1" applyAlignment="1">
      <alignment horizontal="right" vertical="center"/>
    </xf>
    <xf numFmtId="0" fontId="26" fillId="22" borderId="48" xfId="0" applyFont="1" applyFill="1" applyBorder="1" applyAlignment="1">
      <alignment horizontal="left" vertical="center" wrapText="1"/>
    </xf>
    <xf numFmtId="3" fontId="26" fillId="22" borderId="49" xfId="0" applyNumberFormat="1" applyFont="1" applyFill="1" applyBorder="1" applyAlignment="1">
      <alignment horizontal="right" vertical="center"/>
    </xf>
    <xf numFmtId="3" fontId="53" fillId="22" borderId="16" xfId="0" applyNumberFormat="1" applyFont="1" applyFill="1" applyBorder="1" applyAlignment="1">
      <alignment horizontal="right" vertical="center"/>
    </xf>
    <xf numFmtId="3" fontId="26" fillId="22" borderId="86" xfId="0" applyNumberFormat="1" applyFont="1" applyFill="1" applyBorder="1" applyAlignment="1">
      <alignment horizontal="right" vertical="center"/>
    </xf>
    <xf numFmtId="3" fontId="53" fillId="22" borderId="91" xfId="0" applyNumberFormat="1" applyFont="1" applyFill="1" applyBorder="1" applyAlignment="1">
      <alignment horizontal="right" vertical="center"/>
    </xf>
    <xf numFmtId="3" fontId="26" fillId="22" borderId="56" xfId="0" applyNumberFormat="1" applyFont="1" applyFill="1" applyBorder="1" applyAlignment="1">
      <alignment horizontal="right" vertical="center"/>
    </xf>
    <xf numFmtId="3" fontId="26" fillId="22" borderId="48" xfId="0" applyNumberFormat="1" applyFont="1" applyFill="1" applyBorder="1" applyAlignment="1">
      <alignment horizontal="right" vertical="center"/>
    </xf>
    <xf numFmtId="3" fontId="27" fillId="22" borderId="45" xfId="0" applyNumberFormat="1" applyFont="1" applyFill="1" applyBorder="1" applyAlignment="1">
      <alignment horizontal="right" vertical="center"/>
    </xf>
    <xf numFmtId="3" fontId="26" fillId="22" borderId="51" xfId="0" applyNumberFormat="1" applyFont="1" applyFill="1" applyBorder="1" applyAlignment="1">
      <alignment horizontal="right" vertical="center"/>
    </xf>
    <xf numFmtId="3" fontId="26" fillId="22" borderId="52" xfId="0" applyNumberFormat="1" applyFont="1" applyFill="1" applyBorder="1" applyAlignment="1">
      <alignment horizontal="right" vertical="center" wrapText="1"/>
    </xf>
    <xf numFmtId="3" fontId="26" fillId="22" borderId="22" xfId="0" applyNumberFormat="1" applyFont="1" applyFill="1" applyBorder="1" applyAlignment="1">
      <alignment horizontal="right" vertical="center" wrapText="1"/>
    </xf>
    <xf numFmtId="3" fontId="26" fillId="22" borderId="44" xfId="0" applyNumberFormat="1" applyFont="1" applyFill="1" applyBorder="1" applyAlignment="1">
      <alignment horizontal="right" vertical="center" wrapText="1"/>
    </xf>
    <xf numFmtId="3" fontId="53" fillId="0" borderId="22" xfId="0" applyNumberFormat="1" applyFont="1" applyBorder="1" applyAlignment="1">
      <alignment horizontal="right" vertical="center"/>
    </xf>
    <xf numFmtId="3" fontId="53" fillId="0" borderId="88" xfId="0" applyNumberFormat="1" applyFont="1" applyBorder="1" applyAlignment="1">
      <alignment horizontal="right" vertical="center"/>
    </xf>
    <xf numFmtId="3" fontId="27" fillId="0" borderId="52" xfId="0" applyNumberFormat="1" applyFont="1" applyBorder="1" applyAlignment="1">
      <alignment horizontal="right" vertical="center"/>
    </xf>
    <xf numFmtId="3" fontId="27" fillId="0" borderId="44" xfId="0" applyNumberFormat="1" applyFont="1" applyBorder="1" applyAlignment="1">
      <alignment horizontal="right" vertical="center"/>
    </xf>
    <xf numFmtId="3" fontId="53" fillId="0" borderId="13" xfId="0" applyNumberFormat="1" applyFont="1" applyBorder="1" applyAlignment="1">
      <alignment horizontal="right" vertical="center"/>
    </xf>
    <xf numFmtId="3" fontId="53" fillId="0" borderId="92" xfId="0" applyNumberFormat="1" applyFont="1" applyBorder="1" applyAlignment="1">
      <alignment horizontal="right" vertical="center"/>
    </xf>
    <xf numFmtId="3" fontId="27" fillId="0" borderId="46" xfId="0" applyNumberFormat="1" applyFont="1" applyBorder="1" applyAlignment="1">
      <alignment horizontal="right" vertical="center"/>
    </xf>
    <xf numFmtId="3" fontId="27" fillId="0" borderId="47" xfId="0" applyNumberFormat="1" applyFont="1" applyBorder="1" applyAlignment="1">
      <alignment horizontal="right" vertical="center"/>
    </xf>
    <xf numFmtId="3" fontId="53" fillId="0" borderId="20" xfId="0" applyNumberFormat="1" applyFont="1" applyBorder="1" applyAlignment="1">
      <alignment horizontal="right" vertical="center"/>
    </xf>
    <xf numFmtId="3" fontId="53" fillId="0" borderId="52" xfId="0" applyNumberFormat="1" applyFont="1" applyBorder="1" applyAlignment="1">
      <alignment horizontal="right" vertical="center"/>
    </xf>
    <xf numFmtId="3" fontId="54" fillId="0" borderId="44" xfId="0" applyNumberFormat="1" applyFont="1" applyBorder="1" applyAlignment="1">
      <alignment horizontal="right" vertical="center"/>
    </xf>
    <xf numFmtId="3" fontId="53" fillId="0" borderId="44" xfId="0" applyNumberFormat="1" applyFont="1" applyBorder="1" applyAlignment="1">
      <alignment horizontal="right" vertical="center"/>
    </xf>
    <xf numFmtId="3" fontId="53" fillId="0" borderId="14" xfId="0" applyNumberFormat="1" applyFont="1" applyBorder="1" applyAlignment="1">
      <alignment horizontal="right" vertical="center"/>
    </xf>
    <xf numFmtId="3" fontId="53" fillId="0" borderId="46" xfId="0" applyNumberFormat="1" applyFont="1" applyBorder="1" applyAlignment="1">
      <alignment horizontal="right" vertical="center"/>
    </xf>
    <xf numFmtId="3" fontId="27" fillId="0" borderId="93" xfId="0" applyNumberFormat="1" applyFont="1" applyBorder="1" applyAlignment="1">
      <alignment horizontal="right" vertical="center"/>
    </xf>
    <xf numFmtId="3" fontId="27" fillId="0" borderId="61" xfId="0" applyNumberFormat="1" applyFont="1" applyBorder="1" applyAlignment="1">
      <alignment horizontal="right" vertical="center"/>
    </xf>
    <xf numFmtId="3" fontId="27" fillId="0" borderId="62" xfId="0" applyNumberFormat="1" applyFont="1" applyBorder="1" applyAlignment="1">
      <alignment horizontal="right" vertical="center"/>
    </xf>
    <xf numFmtId="3" fontId="27" fillId="22" borderId="94" xfId="0" applyNumberFormat="1" applyFont="1" applyFill="1" applyBorder="1" applyAlignment="1">
      <alignment horizontal="right" vertical="center"/>
    </xf>
    <xf numFmtId="3" fontId="26" fillId="22" borderId="63" xfId="0" applyNumberFormat="1" applyFont="1" applyFill="1" applyBorder="1" applyAlignment="1">
      <alignment horizontal="right" vertical="center" wrapText="1"/>
    </xf>
    <xf numFmtId="3" fontId="26" fillId="22" borderId="64" xfId="0" applyNumberFormat="1" applyFont="1" applyFill="1" applyBorder="1" applyAlignment="1">
      <alignment horizontal="right" vertical="center" wrapText="1"/>
    </xf>
    <xf numFmtId="3" fontId="26" fillId="22" borderId="65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34" fillId="0" borderId="0" xfId="0" applyFont="1" applyAlignment="1">
      <alignment horizontal="center"/>
    </xf>
    <xf numFmtId="0" fontId="26" fillId="0" borderId="95" xfId="0" applyFont="1" applyBorder="1" applyAlignment="1">
      <alignment horizontal="center" vertical="center"/>
    </xf>
    <xf numFmtId="0" fontId="26" fillId="0" borderId="96" xfId="0" applyFont="1" applyBorder="1" applyAlignment="1">
      <alignment horizontal="center" vertical="center" wrapText="1"/>
    </xf>
    <xf numFmtId="0" fontId="26" fillId="0" borderId="78" xfId="0" applyFont="1" applyBorder="1" applyAlignment="1">
      <alignment/>
    </xf>
    <xf numFmtId="0" fontId="27" fillId="0" borderId="97" xfId="0" applyFont="1" applyBorder="1" applyAlignment="1">
      <alignment/>
    </xf>
    <xf numFmtId="0" fontId="27" fillId="0" borderId="78" xfId="0" applyFont="1" applyBorder="1" applyAlignment="1">
      <alignment wrapText="1"/>
    </xf>
    <xf numFmtId="3" fontId="27" fillId="0" borderId="23" xfId="0" applyNumberFormat="1" applyFont="1" applyBorder="1" applyAlignment="1">
      <alignment/>
    </xf>
    <xf numFmtId="3" fontId="27" fillId="0" borderId="97" xfId="0" applyNumberFormat="1" applyFont="1" applyBorder="1" applyAlignment="1">
      <alignment/>
    </xf>
    <xf numFmtId="0" fontId="27" fillId="0" borderId="78" xfId="0" applyFont="1" applyBorder="1" applyAlignment="1">
      <alignment/>
    </xf>
    <xf numFmtId="0" fontId="27" fillId="0" borderId="79" xfId="0" applyFont="1" applyBorder="1" applyAlignment="1">
      <alignment/>
    </xf>
    <xf numFmtId="0" fontId="27" fillId="0" borderId="81" xfId="0" applyFont="1" applyBorder="1" applyAlignment="1">
      <alignment/>
    </xf>
    <xf numFmtId="3" fontId="27" fillId="0" borderId="98" xfId="0" applyNumberFormat="1" applyFont="1" applyBorder="1" applyAlignment="1">
      <alignment/>
    </xf>
    <xf numFmtId="0" fontId="38" fillId="0" borderId="99" xfId="0" applyFont="1" applyBorder="1" applyAlignment="1">
      <alignment/>
    </xf>
    <xf numFmtId="3" fontId="38" fillId="0" borderId="100" xfId="0" applyNumberFormat="1" applyFont="1" applyBorder="1" applyAlignment="1">
      <alignment/>
    </xf>
    <xf numFmtId="3" fontId="38" fillId="0" borderId="101" xfId="0" applyNumberFormat="1" applyFont="1" applyBorder="1" applyAlignment="1">
      <alignment/>
    </xf>
    <xf numFmtId="0" fontId="26" fillId="0" borderId="58" xfId="0" applyFont="1" applyBorder="1" applyAlignment="1">
      <alignment/>
    </xf>
    <xf numFmtId="3" fontId="26" fillId="0" borderId="59" xfId="0" applyNumberFormat="1" applyFont="1" applyBorder="1" applyAlignment="1">
      <alignment/>
    </xf>
    <xf numFmtId="3" fontId="27" fillId="0" borderId="102" xfId="0" applyNumberFormat="1" applyFont="1" applyBorder="1" applyAlignment="1">
      <alignment/>
    </xf>
    <xf numFmtId="3" fontId="26" fillId="0" borderId="23" xfId="0" applyNumberFormat="1" applyFont="1" applyBorder="1" applyAlignment="1">
      <alignment/>
    </xf>
    <xf numFmtId="3" fontId="26" fillId="0" borderId="97" xfId="0" applyNumberFormat="1" applyFont="1" applyBorder="1" applyAlignment="1">
      <alignment/>
    </xf>
    <xf numFmtId="3" fontId="27" fillId="0" borderId="103" xfId="0" applyNumberFormat="1" applyFont="1" applyBorder="1" applyAlignment="1">
      <alignment/>
    </xf>
    <xf numFmtId="0" fontId="26" fillId="0" borderId="81" xfId="0" applyFont="1" applyBorder="1" applyAlignment="1">
      <alignment/>
    </xf>
    <xf numFmtId="3" fontId="26" fillId="0" borderId="104" xfId="0" applyNumberFormat="1" applyFont="1" applyBorder="1" applyAlignment="1">
      <alignment/>
    </xf>
    <xf numFmtId="3" fontId="27" fillId="0" borderId="105" xfId="0" applyNumberFormat="1" applyFont="1" applyBorder="1" applyAlignment="1">
      <alignment/>
    </xf>
    <xf numFmtId="0" fontId="26" fillId="16" borderId="99" xfId="0" applyFont="1" applyFill="1" applyBorder="1" applyAlignment="1">
      <alignment vertical="center"/>
    </xf>
    <xf numFmtId="3" fontId="26" fillId="16" borderId="100" xfId="0" applyNumberFormat="1" applyFont="1" applyFill="1" applyBorder="1" applyAlignment="1">
      <alignment vertical="center"/>
    </xf>
    <xf numFmtId="3" fontId="26" fillId="16" borderId="101" xfId="0" applyNumberFormat="1" applyFont="1" applyFill="1" applyBorder="1" applyAlignment="1">
      <alignment vertical="center"/>
    </xf>
    <xf numFmtId="0" fontId="26" fillId="0" borderId="95" xfId="0" applyFont="1" applyBorder="1" applyAlignment="1">
      <alignment horizontal="center"/>
    </xf>
    <xf numFmtId="0" fontId="27" fillId="0" borderId="46" xfId="0" applyFont="1" applyBorder="1" applyAlignment="1">
      <alignment/>
    </xf>
    <xf numFmtId="3" fontId="27" fillId="0" borderId="10" xfId="0" applyNumberFormat="1" applyFont="1" applyBorder="1" applyAlignment="1">
      <alignment/>
    </xf>
    <xf numFmtId="0" fontId="27" fillId="0" borderId="61" xfId="0" applyFont="1" applyBorder="1" applyAlignment="1">
      <alignment/>
    </xf>
    <xf numFmtId="0" fontId="26" fillId="16" borderId="106" xfId="0" applyFont="1" applyFill="1" applyBorder="1" applyAlignment="1">
      <alignment horizontal="left"/>
    </xf>
    <xf numFmtId="3" fontId="26" fillId="16" borderId="107" xfId="0" applyNumberFormat="1" applyFont="1" applyFill="1" applyBorder="1" applyAlignment="1">
      <alignment/>
    </xf>
    <xf numFmtId="3" fontId="26" fillId="16" borderId="108" xfId="0" applyNumberFormat="1" applyFont="1" applyFill="1" applyBorder="1" applyAlignment="1">
      <alignment/>
    </xf>
    <xf numFmtId="0" fontId="26" fillId="0" borderId="36" xfId="0" applyFont="1" applyBorder="1" applyAlignment="1">
      <alignment horizontal="center"/>
    </xf>
    <xf numFmtId="0" fontId="27" fillId="0" borderId="43" xfId="0" applyFont="1" applyBorder="1" applyAlignment="1">
      <alignment/>
    </xf>
    <xf numFmtId="0" fontId="26" fillId="16" borderId="77" xfId="0" applyFont="1" applyFill="1" applyBorder="1" applyAlignment="1">
      <alignment horizontal="left"/>
    </xf>
    <xf numFmtId="3" fontId="27" fillId="0" borderId="109" xfId="0" applyNumberFormat="1" applyFont="1" applyBorder="1" applyAlignment="1">
      <alignment/>
    </xf>
    <xf numFmtId="3" fontId="27" fillId="0" borderId="110" xfId="0" applyNumberFormat="1" applyFont="1" applyBorder="1" applyAlignment="1">
      <alignment/>
    </xf>
    <xf numFmtId="0" fontId="27" fillId="0" borderId="111" xfId="0" applyFont="1" applyBorder="1" applyAlignment="1">
      <alignment/>
    </xf>
    <xf numFmtId="3" fontId="27" fillId="0" borderId="112" xfId="0" applyNumberFormat="1" applyFont="1" applyBorder="1" applyAlignment="1">
      <alignment/>
    </xf>
    <xf numFmtId="0" fontId="26" fillId="0" borderId="35" xfId="0" applyFont="1" applyBorder="1" applyAlignment="1">
      <alignment/>
    </xf>
    <xf numFmtId="3" fontId="26" fillId="0" borderId="35" xfId="0" applyNumberFormat="1" applyFont="1" applyBorder="1" applyAlignment="1">
      <alignment/>
    </xf>
    <xf numFmtId="0" fontId="37" fillId="0" borderId="0" xfId="59" applyFont="1">
      <alignment/>
      <protection/>
    </xf>
    <xf numFmtId="0" fontId="43" fillId="0" borderId="0" xfId="59" applyFont="1" applyAlignment="1" applyProtection="1">
      <alignment horizontal="center"/>
      <protection locked="0"/>
    </xf>
    <xf numFmtId="0" fontId="26" fillId="0" borderId="113" xfId="59" applyFont="1" applyBorder="1" applyAlignment="1">
      <alignment horizontal="center" vertical="center"/>
      <protection/>
    </xf>
    <xf numFmtId="0" fontId="26" fillId="0" borderId="114" xfId="59" applyFont="1" applyBorder="1" applyAlignment="1">
      <alignment horizontal="center" vertical="center"/>
      <protection/>
    </xf>
    <xf numFmtId="0" fontId="26" fillId="0" borderId="115" xfId="59" applyFont="1" applyBorder="1" applyAlignment="1">
      <alignment horizontal="center" vertical="center"/>
      <protection/>
    </xf>
    <xf numFmtId="0" fontId="27" fillId="0" borderId="90" xfId="59" applyFont="1" applyBorder="1" applyAlignment="1">
      <alignment horizontal="left" vertical="center"/>
      <protection/>
    </xf>
    <xf numFmtId="0" fontId="38" fillId="0" borderId="11" xfId="59" applyFont="1" applyBorder="1" applyAlignment="1">
      <alignment vertical="center"/>
      <protection/>
    </xf>
    <xf numFmtId="166" fontId="27" fillId="0" borderId="11" xfId="59" applyNumberFormat="1" applyFont="1" applyBorder="1" applyAlignment="1">
      <alignment vertical="center"/>
      <protection/>
    </xf>
    <xf numFmtId="166" fontId="27" fillId="0" borderId="91" xfId="59" applyNumberFormat="1" applyFont="1" applyBorder="1" applyAlignment="1">
      <alignment vertical="center"/>
      <protection/>
    </xf>
    <xf numFmtId="166" fontId="32" fillId="0" borderId="91" xfId="59" applyNumberFormat="1" applyFont="1" applyBorder="1" applyAlignment="1">
      <alignment horizontal="right" vertical="center"/>
      <protection/>
    </xf>
    <xf numFmtId="166" fontId="40" fillId="0" borderId="91" xfId="59" applyNumberFormat="1" applyFont="1" applyBorder="1" applyAlignment="1">
      <alignment horizontal="right" vertical="center"/>
      <protection/>
    </xf>
    <xf numFmtId="0" fontId="26" fillId="0" borderId="26" xfId="59" applyFont="1" applyBorder="1" applyAlignment="1">
      <alignment vertical="center"/>
      <protection/>
    </xf>
    <xf numFmtId="166" fontId="34" fillId="0" borderId="26" xfId="59" applyNumberFormat="1" applyFont="1" applyBorder="1" applyAlignment="1">
      <alignment horizontal="right" vertical="center"/>
      <protection/>
    </xf>
    <xf numFmtId="166" fontId="34" fillId="0" borderId="116" xfId="59" applyNumberFormat="1" applyFont="1" applyBorder="1" applyAlignment="1">
      <alignment horizontal="right" vertical="center"/>
      <protection/>
    </xf>
    <xf numFmtId="166" fontId="32" fillId="0" borderId="11" xfId="59" applyNumberFormat="1" applyFont="1" applyBorder="1" applyAlignment="1">
      <alignment horizontal="right" vertical="center"/>
      <protection/>
    </xf>
    <xf numFmtId="0" fontId="27" fillId="0" borderId="117" xfId="59" applyFont="1" applyBorder="1" applyAlignment="1">
      <alignment horizontal="left" vertical="center"/>
      <protection/>
    </xf>
    <xf numFmtId="166" fontId="32" fillId="0" borderId="118" xfId="59" applyNumberFormat="1" applyFont="1" applyBorder="1" applyAlignment="1">
      <alignment horizontal="right" vertical="center"/>
      <protection/>
    </xf>
    <xf numFmtId="0" fontId="27" fillId="0" borderId="119" xfId="59" applyFont="1" applyBorder="1" applyAlignment="1">
      <alignment horizontal="left" vertical="center"/>
      <protection/>
    </xf>
    <xf numFmtId="0" fontId="26" fillId="0" borderId="35" xfId="59" applyFont="1" applyBorder="1" applyAlignment="1">
      <alignment vertical="center"/>
      <protection/>
    </xf>
    <xf numFmtId="166" fontId="34" fillId="0" borderId="35" xfId="59" applyNumberFormat="1" applyFont="1" applyBorder="1" applyAlignment="1">
      <alignment horizontal="right" vertical="center"/>
      <protection/>
    </xf>
    <xf numFmtId="166" fontId="34" fillId="0" borderId="34" xfId="59" applyNumberFormat="1" applyFont="1" applyBorder="1" applyAlignment="1">
      <alignment horizontal="right" vertical="center"/>
      <protection/>
    </xf>
    <xf numFmtId="0" fontId="27" fillId="0" borderId="0" xfId="59" applyFont="1">
      <alignment/>
      <protection/>
    </xf>
    <xf numFmtId="0" fontId="32" fillId="0" borderId="0" xfId="59" applyFont="1" applyAlignment="1">
      <alignment horizontal="right" vertical="center"/>
      <protection/>
    </xf>
    <xf numFmtId="0" fontId="27" fillId="0" borderId="30" xfId="59" applyFont="1" applyBorder="1">
      <alignment/>
      <protection/>
    </xf>
    <xf numFmtId="0" fontId="32" fillId="0" borderId="120" xfId="59" applyFont="1" applyBorder="1" applyAlignment="1">
      <alignment horizontal="right" vertical="center"/>
      <protection/>
    </xf>
    <xf numFmtId="0" fontId="32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6" fillId="0" borderId="13" xfId="0" applyFont="1" applyBorder="1" applyAlignment="1">
      <alignment/>
    </xf>
    <xf numFmtId="0" fontId="0" fillId="0" borderId="23" xfId="0" applyBorder="1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14. mell. eu forrásból megv." xfId="56"/>
    <cellStyle name="Normál_adósságot keletkeztetó ügylet  hat. 1.mell" xfId="57"/>
    <cellStyle name="Normál_Munka6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rs&#225;ny\2020_1-20%20melleklet%20a%20rendelethe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&#225;solat%20-%20M&#225;solat%20eredetijeUTF-8''M&#225;solat%20-%20V&#233;gleg%20elfogado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2">
        <row r="17">
          <cell r="H17">
            <v>277851190</v>
          </cell>
        </row>
        <row r="24">
          <cell r="H24">
            <v>37550000</v>
          </cell>
        </row>
        <row r="36">
          <cell r="H36">
            <v>23924630</v>
          </cell>
        </row>
      </sheetData>
      <sheetData sheetId="3">
        <row r="29">
          <cell r="H29">
            <v>26189532</v>
          </cell>
        </row>
        <row r="38">
          <cell r="H38">
            <v>694984202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(2)"/>
      <sheetName val="2 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2">
        <row r="50">
          <cell r="N50">
            <v>50375072</v>
          </cell>
        </row>
        <row r="55">
          <cell r="N55">
            <v>50375072</v>
          </cell>
        </row>
      </sheetData>
      <sheetData sheetId="5">
        <row r="16">
          <cell r="M16">
            <v>3672448</v>
          </cell>
        </row>
        <row r="27">
          <cell r="C27">
            <v>0</v>
          </cell>
        </row>
      </sheetData>
      <sheetData sheetId="6">
        <row r="63">
          <cell r="C63">
            <v>1660998</v>
          </cell>
          <cell r="F63">
            <v>196983</v>
          </cell>
          <cell r="I63">
            <v>20235532</v>
          </cell>
          <cell r="L63">
            <v>-1700000</v>
          </cell>
          <cell r="O63">
            <v>2770251</v>
          </cell>
          <cell r="W63">
            <v>-16250040</v>
          </cell>
          <cell r="Z63">
            <v>14225521</v>
          </cell>
          <cell r="AC63">
            <v>-1358080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2">
      <selection activeCell="A6" sqref="A6:K6"/>
    </sheetView>
  </sheetViews>
  <sheetFormatPr defaultColWidth="9.00390625" defaultRowHeight="12.75"/>
  <cols>
    <col min="3" max="3" width="38.00390625" style="0" customWidth="1"/>
    <col min="4" max="4" width="15.875" style="0" customWidth="1"/>
    <col min="5" max="5" width="13.25390625" style="0" customWidth="1"/>
    <col min="6" max="6" width="14.75390625" style="0" customWidth="1"/>
    <col min="7" max="7" width="4.25390625" style="0" customWidth="1"/>
    <col min="8" max="8" width="47.25390625" style="0" customWidth="1"/>
    <col min="9" max="9" width="15.75390625" style="0" customWidth="1"/>
    <col min="10" max="10" width="10.75390625" style="0" customWidth="1"/>
    <col min="11" max="11" width="15.125" style="0" customWidth="1"/>
  </cols>
  <sheetData>
    <row r="1" ht="12.75" hidden="1">
      <c r="A1" t="s">
        <v>576</v>
      </c>
    </row>
    <row r="2" spans="1:11" ht="12.75">
      <c r="A2" s="21" t="s">
        <v>557</v>
      </c>
      <c r="B2" s="71"/>
      <c r="C2" s="71"/>
      <c r="D2" s="71"/>
      <c r="E2" s="71"/>
      <c r="F2" s="21"/>
      <c r="G2" s="21"/>
      <c r="H2" s="21"/>
      <c r="I2" s="21"/>
      <c r="J2" s="21"/>
      <c r="K2" s="21"/>
    </row>
    <row r="3" spans="1:11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2" customHeight="1">
      <c r="A4" s="21"/>
      <c r="B4" s="21"/>
      <c r="C4" s="21"/>
      <c r="D4" s="21"/>
      <c r="E4" s="21"/>
      <c r="F4" s="21"/>
      <c r="G4" s="21"/>
      <c r="H4" s="157"/>
      <c r="I4" s="157"/>
      <c r="J4" s="157"/>
      <c r="K4" s="71"/>
    </row>
    <row r="5" spans="1:11" ht="12.75">
      <c r="A5" s="344" t="s">
        <v>0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</row>
    <row r="6" spans="1:11" ht="12.75">
      <c r="A6" s="344" t="s">
        <v>441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</row>
    <row r="7" spans="1:11" ht="12" customHeight="1">
      <c r="A7" s="244"/>
      <c r="B7" s="244"/>
      <c r="C7" s="244"/>
      <c r="D7" s="345"/>
      <c r="E7" s="345"/>
      <c r="F7" s="2"/>
      <c r="G7" s="244"/>
      <c r="H7" s="244"/>
      <c r="I7" s="345"/>
      <c r="J7" s="345"/>
      <c r="K7" s="71" t="s">
        <v>394</v>
      </c>
    </row>
    <row r="8" spans="1:11" ht="14.25" customHeight="1">
      <c r="A8" s="246" t="s">
        <v>1</v>
      </c>
      <c r="B8" s="246"/>
      <c r="C8" s="246"/>
      <c r="D8" s="246"/>
      <c r="E8" s="246"/>
      <c r="F8" s="246"/>
      <c r="G8" s="246" t="s">
        <v>2</v>
      </c>
      <c r="H8" s="246"/>
      <c r="I8" s="246"/>
      <c r="J8" s="246"/>
      <c r="K8" s="246"/>
    </row>
    <row r="9" spans="1:11" ht="12.75">
      <c r="A9" s="247" t="s">
        <v>3</v>
      </c>
      <c r="B9" s="247"/>
      <c r="C9" s="247"/>
      <c r="D9" s="143" t="s">
        <v>577</v>
      </c>
      <c r="E9" s="143" t="s">
        <v>578</v>
      </c>
      <c r="F9" s="143" t="s">
        <v>579</v>
      </c>
      <c r="G9" s="247" t="s">
        <v>3</v>
      </c>
      <c r="H9" s="247"/>
      <c r="I9" s="143" t="s">
        <v>577</v>
      </c>
      <c r="J9" s="143" t="s">
        <v>578</v>
      </c>
      <c r="K9" s="143" t="s">
        <v>579</v>
      </c>
    </row>
    <row r="10" spans="1:11" ht="12" customHeight="1">
      <c r="A10" s="248" t="s">
        <v>4</v>
      </c>
      <c r="B10" s="248"/>
      <c r="C10" s="248"/>
      <c r="D10" s="76">
        <f>'[1]3'!H17</f>
        <v>277851190</v>
      </c>
      <c r="E10" s="76">
        <f>'5 '!C61</f>
        <v>25360466</v>
      </c>
      <c r="F10" s="76">
        <f>D10+E10</f>
        <v>303211656</v>
      </c>
      <c r="G10" s="248" t="s">
        <v>5</v>
      </c>
      <c r="H10" s="248"/>
      <c r="I10" s="76">
        <v>192583191</v>
      </c>
      <c r="J10" s="76">
        <f>'[2]7'!C63</f>
        <v>1660998</v>
      </c>
      <c r="K10" s="76">
        <f>I10+J10</f>
        <v>194244189</v>
      </c>
    </row>
    <row r="11" spans="1:11" ht="12" customHeight="1">
      <c r="A11" s="245" t="s">
        <v>6</v>
      </c>
      <c r="B11" s="245"/>
      <c r="C11" s="245"/>
      <c r="D11" s="76">
        <f>'[1]3'!H24</f>
        <v>37550000</v>
      </c>
      <c r="E11" s="76">
        <f>'5 '!F61</f>
        <v>-4000000</v>
      </c>
      <c r="F11" s="76">
        <f>D11+E11</f>
        <v>33550000</v>
      </c>
      <c r="G11" s="245" t="s">
        <v>7</v>
      </c>
      <c r="H11" s="245"/>
      <c r="I11" s="76">
        <v>34486982</v>
      </c>
      <c r="J11" s="76">
        <f>'[2]7'!F63</f>
        <v>196983</v>
      </c>
      <c r="K11" s="76">
        <f>I11+J11</f>
        <v>34683965</v>
      </c>
    </row>
    <row r="12" spans="1:11" ht="12" customHeight="1">
      <c r="A12" s="248" t="s">
        <v>8</v>
      </c>
      <c r="B12" s="248"/>
      <c r="C12" s="248"/>
      <c r="D12" s="76">
        <f>'[1]3'!H36</f>
        <v>23924630</v>
      </c>
      <c r="E12" s="76">
        <f>'5 '!I61</f>
        <v>1493000</v>
      </c>
      <c r="F12" s="76">
        <f>D12+E12</f>
        <v>25417630</v>
      </c>
      <c r="G12" s="248" t="s">
        <v>9</v>
      </c>
      <c r="H12" s="248"/>
      <c r="I12" s="76">
        <v>144780129</v>
      </c>
      <c r="J12" s="76">
        <f>'[2]7'!I63</f>
        <v>20235532</v>
      </c>
      <c r="K12" s="76">
        <f>I12+J12</f>
        <v>165015661</v>
      </c>
    </row>
    <row r="13" spans="1:11" ht="12" customHeight="1">
      <c r="A13" s="248" t="s">
        <v>10</v>
      </c>
      <c r="B13" s="248"/>
      <c r="C13" s="248"/>
      <c r="D13" s="76"/>
      <c r="E13" s="76"/>
      <c r="F13" s="76"/>
      <c r="G13" s="248" t="s">
        <v>11</v>
      </c>
      <c r="H13" s="248"/>
      <c r="I13" s="76">
        <v>7000000</v>
      </c>
      <c r="J13" s="76">
        <f>'[2]7'!L63</f>
        <v>-1700000</v>
      </c>
      <c r="K13" s="76">
        <f>I13+J13</f>
        <v>5300000</v>
      </c>
    </row>
    <row r="14" spans="1:11" ht="12" customHeight="1">
      <c r="A14" s="248"/>
      <c r="B14" s="248"/>
      <c r="C14" s="248"/>
      <c r="D14" s="76"/>
      <c r="E14" s="76"/>
      <c r="F14" s="76"/>
      <c r="G14" s="248" t="s">
        <v>12</v>
      </c>
      <c r="H14" s="248"/>
      <c r="I14" s="76">
        <v>10850590</v>
      </c>
      <c r="J14" s="76">
        <f>'[2]7'!O63</f>
        <v>2770251</v>
      </c>
      <c r="K14" s="76">
        <f>I14+J14</f>
        <v>13620841</v>
      </c>
    </row>
    <row r="15" spans="1:11" ht="12" customHeight="1">
      <c r="A15" s="249"/>
      <c r="B15" s="249"/>
      <c r="C15" s="249"/>
      <c r="D15" s="76"/>
      <c r="E15" s="76"/>
      <c r="F15" s="76"/>
      <c r="G15" s="250" t="s">
        <v>13</v>
      </c>
      <c r="H15" s="250"/>
      <c r="I15" s="158"/>
      <c r="J15" s="158"/>
      <c r="K15" s="158"/>
    </row>
    <row r="16" spans="1:11" ht="12" customHeight="1">
      <c r="A16" s="253"/>
      <c r="B16" s="253"/>
      <c r="C16" s="253"/>
      <c r="D16" s="76"/>
      <c r="E16" s="76"/>
      <c r="F16" s="76"/>
      <c r="G16" s="248" t="s">
        <v>14</v>
      </c>
      <c r="H16" s="248"/>
      <c r="I16" s="158">
        <v>3672448</v>
      </c>
      <c r="J16" s="158"/>
      <c r="K16" s="158">
        <f>'[2]6'!M16</f>
        <v>3672448</v>
      </c>
    </row>
    <row r="17" spans="1:11" ht="12" customHeight="1">
      <c r="A17" s="254"/>
      <c r="B17" s="254"/>
      <c r="C17" s="254"/>
      <c r="D17" s="159"/>
      <c r="E17" s="159"/>
      <c r="F17" s="159"/>
      <c r="G17" s="255"/>
      <c r="H17" s="255"/>
      <c r="I17" s="159"/>
      <c r="J17" s="159"/>
      <c r="K17" s="159"/>
    </row>
    <row r="18" spans="1:11" ht="15.75" customHeight="1">
      <c r="A18" s="251" t="s">
        <v>15</v>
      </c>
      <c r="B18" s="251"/>
      <c r="C18" s="251"/>
      <c r="D18" s="176">
        <f>SUM(D10:D17)</f>
        <v>339325820</v>
      </c>
      <c r="E18" s="176">
        <f>SUM(E10:E17)</f>
        <v>22853466</v>
      </c>
      <c r="F18" s="176">
        <f>SUM(F10:F17)</f>
        <v>362179286</v>
      </c>
      <c r="G18" s="251" t="s">
        <v>16</v>
      </c>
      <c r="H18" s="251"/>
      <c r="I18" s="176">
        <f>SUM(I10:I14)</f>
        <v>389700892</v>
      </c>
      <c r="J18" s="176">
        <f>SUM(J10:J14)</f>
        <v>23163764</v>
      </c>
      <c r="K18" s="176">
        <f>SUM(K10:K14)</f>
        <v>412864656</v>
      </c>
    </row>
    <row r="19" spans="1:11" ht="12" customHeight="1">
      <c r="A19" s="252"/>
      <c r="B19" s="252"/>
      <c r="C19" s="252"/>
      <c r="D19" s="162"/>
      <c r="E19" s="162"/>
      <c r="F19" s="162"/>
      <c r="G19" s="252"/>
      <c r="H19" s="252"/>
      <c r="I19" s="162"/>
      <c r="J19" s="162"/>
      <c r="K19" s="162"/>
    </row>
    <row r="20" spans="1:11" ht="12" customHeight="1">
      <c r="A20" s="251" t="s">
        <v>17</v>
      </c>
      <c r="B20" s="251"/>
      <c r="C20" s="251"/>
      <c r="D20" s="76">
        <f>'[2]3'!N55</f>
        <v>50375072</v>
      </c>
      <c r="E20" s="76">
        <v>7282794</v>
      </c>
      <c r="F20" s="176">
        <f>D20+E20</f>
        <v>57657866</v>
      </c>
      <c r="G20" s="251" t="s">
        <v>18</v>
      </c>
      <c r="H20" s="251"/>
      <c r="I20" s="177">
        <v>6972496</v>
      </c>
      <c r="J20" s="76">
        <f>'[2]6'!C27</f>
        <v>0</v>
      </c>
      <c r="K20" s="177">
        <f>I20+J20</f>
        <v>6972496</v>
      </c>
    </row>
    <row r="21" spans="1:11" ht="12" customHeight="1">
      <c r="A21" s="259" t="s">
        <v>19</v>
      </c>
      <c r="B21" s="259"/>
      <c r="C21" s="259"/>
      <c r="D21" s="76">
        <f>'[2]3'!N50</f>
        <v>50375072</v>
      </c>
      <c r="E21" s="76">
        <v>7282794</v>
      </c>
      <c r="F21" s="163">
        <f>D21+E21</f>
        <v>57657866</v>
      </c>
      <c r="G21" s="260"/>
      <c r="H21" s="260"/>
      <c r="I21" s="162"/>
      <c r="J21" s="162"/>
      <c r="K21" s="162"/>
    </row>
    <row r="22" spans="1:11" ht="12" customHeight="1">
      <c r="A22" s="256" t="s">
        <v>20</v>
      </c>
      <c r="B22" s="256"/>
      <c r="C22" s="256"/>
      <c r="D22" s="176">
        <f>D18+D20</f>
        <v>389700892</v>
      </c>
      <c r="E22" s="176">
        <f>E18+E20</f>
        <v>30136260</v>
      </c>
      <c r="F22" s="176">
        <f>F18+F20</f>
        <v>419837152</v>
      </c>
      <c r="G22" s="251" t="s">
        <v>21</v>
      </c>
      <c r="H22" s="251"/>
      <c r="I22" s="176">
        <f>I18+I20</f>
        <v>396673388</v>
      </c>
      <c r="J22" s="176">
        <f>J18+J20</f>
        <v>23163764</v>
      </c>
      <c r="K22" s="176">
        <f>K18+K20</f>
        <v>419837152</v>
      </c>
    </row>
    <row r="23" spans="1:11" ht="12" customHeight="1">
      <c r="A23" s="257"/>
      <c r="B23" s="257"/>
      <c r="C23" s="257"/>
      <c r="D23" s="160"/>
      <c r="E23" s="160"/>
      <c r="F23" s="160"/>
      <c r="G23" s="258"/>
      <c r="H23" s="258"/>
      <c r="I23" s="160"/>
      <c r="J23" s="160"/>
      <c r="K23" s="160"/>
    </row>
    <row r="24" spans="1:11" ht="12" customHeight="1">
      <c r="A24" s="245" t="s">
        <v>22</v>
      </c>
      <c r="B24" s="245"/>
      <c r="C24" s="245"/>
      <c r="D24" s="76">
        <f>'[1]4'!H29</f>
        <v>26189532</v>
      </c>
      <c r="E24" s="76">
        <f>'5 '!R61</f>
        <v>1823827</v>
      </c>
      <c r="F24" s="76">
        <f>D24+E24</f>
        <v>28013359</v>
      </c>
      <c r="G24" s="248" t="s">
        <v>23</v>
      </c>
      <c r="H24" s="248"/>
      <c r="I24" s="76">
        <v>708192126</v>
      </c>
      <c r="J24" s="76">
        <f>'[2]7'!W63</f>
        <v>-16250040</v>
      </c>
      <c r="K24" s="76">
        <f>I24+J24</f>
        <v>691942086</v>
      </c>
    </row>
    <row r="25" spans="1:11" ht="12" customHeight="1">
      <c r="A25" s="245" t="s">
        <v>24</v>
      </c>
      <c r="B25" s="245"/>
      <c r="C25" s="245"/>
      <c r="D25" s="76"/>
      <c r="E25" s="76"/>
      <c r="F25" s="76"/>
      <c r="G25" s="248" t="s">
        <v>25</v>
      </c>
      <c r="H25" s="248"/>
      <c r="I25" s="76">
        <v>4651032</v>
      </c>
      <c r="J25" s="76">
        <f>'[2]7'!Z63</f>
        <v>14225521</v>
      </c>
      <c r="K25" s="76">
        <f>I25+J25</f>
        <v>18876553</v>
      </c>
    </row>
    <row r="26" spans="1:11" ht="12" customHeight="1">
      <c r="A26" s="254" t="s">
        <v>26</v>
      </c>
      <c r="B26" s="254"/>
      <c r="C26" s="254"/>
      <c r="D26" s="159"/>
      <c r="E26" s="159"/>
      <c r="F26" s="159"/>
      <c r="G26" s="254" t="s">
        <v>27</v>
      </c>
      <c r="H26" s="254"/>
      <c r="I26" s="159">
        <v>1358080</v>
      </c>
      <c r="J26" s="76">
        <f>'[2]7'!AC63</f>
        <v>-1358080</v>
      </c>
      <c r="K26" s="76">
        <f>I26+J26</f>
        <v>0</v>
      </c>
    </row>
    <row r="27" spans="1:11" ht="12" customHeight="1">
      <c r="A27" s="251" t="s">
        <v>28</v>
      </c>
      <c r="B27" s="251"/>
      <c r="C27" s="251"/>
      <c r="D27" s="176">
        <f>SUM(D23:D26)</f>
        <v>26189532</v>
      </c>
      <c r="E27" s="176">
        <f>SUM(E23:E26)</f>
        <v>1823827</v>
      </c>
      <c r="F27" s="176">
        <f>SUM(F23:F26)</f>
        <v>28013359</v>
      </c>
      <c r="G27" s="251" t="s">
        <v>29</v>
      </c>
      <c r="H27" s="251"/>
      <c r="I27" s="176">
        <f>SUM(I24:I26)</f>
        <v>714201238</v>
      </c>
      <c r="J27" s="176">
        <f>SUM(J24:J26)</f>
        <v>-3382599</v>
      </c>
      <c r="K27" s="176">
        <f>SUM(K24:K26)</f>
        <v>710818639</v>
      </c>
    </row>
    <row r="28" spans="1:11" ht="12" customHeight="1">
      <c r="A28" s="252"/>
      <c r="B28" s="252"/>
      <c r="C28" s="252"/>
      <c r="D28" s="162"/>
      <c r="E28" s="162"/>
      <c r="F28" s="162"/>
      <c r="G28" s="252"/>
      <c r="H28" s="252"/>
      <c r="I28" s="162"/>
      <c r="J28" s="162"/>
      <c r="K28" s="162"/>
    </row>
    <row r="29" spans="1:11" ht="12" customHeight="1">
      <c r="A29" s="251" t="s">
        <v>30</v>
      </c>
      <c r="B29" s="251"/>
      <c r="C29" s="251"/>
      <c r="D29" s="178">
        <f>D30</f>
        <v>694984202</v>
      </c>
      <c r="E29" s="178">
        <v>-12178922</v>
      </c>
      <c r="F29" s="178">
        <f>F30</f>
        <v>682805280</v>
      </c>
      <c r="G29" s="251" t="s">
        <v>31</v>
      </c>
      <c r="H29" s="251"/>
      <c r="I29" s="177"/>
      <c r="J29" s="177"/>
      <c r="K29" s="177"/>
    </row>
    <row r="30" spans="1:11" ht="12" customHeight="1">
      <c r="A30" s="261" t="s">
        <v>19</v>
      </c>
      <c r="B30" s="261"/>
      <c r="C30" s="261"/>
      <c r="D30" s="169">
        <f>'[1]4'!H38</f>
        <v>694984202</v>
      </c>
      <c r="E30" s="76">
        <v>-12178922</v>
      </c>
      <c r="F30" s="169">
        <f>D30+E30</f>
        <v>682805280</v>
      </c>
      <c r="G30" s="346"/>
      <c r="H30" s="346"/>
      <c r="I30" s="160"/>
      <c r="J30" s="160"/>
      <c r="K30" s="160"/>
    </row>
    <row r="31" spans="1:11" ht="12" customHeight="1">
      <c r="A31" s="254"/>
      <c r="B31" s="254"/>
      <c r="C31" s="254"/>
      <c r="D31" s="159"/>
      <c r="E31" s="159"/>
      <c r="F31" s="159"/>
      <c r="G31" s="254"/>
      <c r="H31" s="254"/>
      <c r="I31" s="159"/>
      <c r="J31" s="159"/>
      <c r="K31" s="159"/>
    </row>
    <row r="32" spans="1:11" ht="12" customHeight="1">
      <c r="A32" s="256" t="s">
        <v>32</v>
      </c>
      <c r="B32" s="256"/>
      <c r="C32" s="256"/>
      <c r="D32" s="176">
        <f>D27+D29</f>
        <v>721173734</v>
      </c>
      <c r="E32" s="176">
        <f>E27+E29</f>
        <v>-10355095</v>
      </c>
      <c r="F32" s="176">
        <f>F27+F29</f>
        <v>710818639</v>
      </c>
      <c r="G32" s="251" t="s">
        <v>33</v>
      </c>
      <c r="H32" s="251"/>
      <c r="I32" s="176">
        <f>I27+I29</f>
        <v>714201238</v>
      </c>
      <c r="J32" s="176">
        <f>J27+J29</f>
        <v>-3382599</v>
      </c>
      <c r="K32" s="176">
        <f>K27+K29</f>
        <v>710818639</v>
      </c>
    </row>
    <row r="33" spans="1:11" ht="12" customHeight="1">
      <c r="A33" s="264"/>
      <c r="B33" s="264"/>
      <c r="C33" s="264"/>
      <c r="D33" s="162"/>
      <c r="E33" s="162"/>
      <c r="F33" s="162"/>
      <c r="G33" s="260"/>
      <c r="H33" s="260"/>
      <c r="I33" s="162"/>
      <c r="J33" s="162"/>
      <c r="K33" s="162"/>
    </row>
    <row r="34" spans="1:11" ht="12" customHeight="1">
      <c r="A34" s="256" t="s">
        <v>34</v>
      </c>
      <c r="B34" s="256"/>
      <c r="C34" s="256"/>
      <c r="D34" s="176">
        <f>D18+D27</f>
        <v>365515352</v>
      </c>
      <c r="E34" s="176">
        <f>E18+E27</f>
        <v>24677293</v>
      </c>
      <c r="F34" s="176">
        <f>F18+F27</f>
        <v>390192645</v>
      </c>
      <c r="G34" s="251" t="s">
        <v>35</v>
      </c>
      <c r="H34" s="251"/>
      <c r="I34" s="176">
        <f>I18+I27</f>
        <v>1103902130</v>
      </c>
      <c r="J34" s="176">
        <f>J18+J27</f>
        <v>19781165</v>
      </c>
      <c r="K34" s="176">
        <f>K18+K27</f>
        <v>1123683295</v>
      </c>
    </row>
    <row r="35" spans="1:11" ht="12" customHeight="1">
      <c r="A35" s="264"/>
      <c r="B35" s="264"/>
      <c r="C35" s="264"/>
      <c r="D35" s="162"/>
      <c r="E35" s="162"/>
      <c r="F35" s="162"/>
      <c r="G35" s="260"/>
      <c r="H35" s="260"/>
      <c r="I35" s="162"/>
      <c r="J35" s="162"/>
      <c r="K35" s="162"/>
    </row>
    <row r="36" spans="1:11" ht="12" customHeight="1">
      <c r="A36" s="256" t="s">
        <v>36</v>
      </c>
      <c r="B36" s="256"/>
      <c r="C36" s="256"/>
      <c r="D36" s="176">
        <f>D20+D29</f>
        <v>745359274</v>
      </c>
      <c r="E36" s="176">
        <f>E20+E29</f>
        <v>-4896128</v>
      </c>
      <c r="F36" s="176">
        <f>F20+F29</f>
        <v>740463146</v>
      </c>
      <c r="G36" s="251" t="s">
        <v>37</v>
      </c>
      <c r="H36" s="251"/>
      <c r="I36" s="177">
        <f>I20+I29</f>
        <v>6972496</v>
      </c>
      <c r="J36" s="177">
        <f>J20+J29</f>
        <v>0</v>
      </c>
      <c r="K36" s="177">
        <f>K20+K29</f>
        <v>6972496</v>
      </c>
    </row>
    <row r="37" spans="1:11" ht="12" customHeight="1" thickBot="1">
      <c r="A37" s="259" t="s">
        <v>19</v>
      </c>
      <c r="B37" s="259"/>
      <c r="C37" s="259"/>
      <c r="D37" s="163">
        <f>D21+D30</f>
        <v>745359274</v>
      </c>
      <c r="E37" s="163">
        <f>E21+E30</f>
        <v>-4896128</v>
      </c>
      <c r="F37" s="163">
        <f>D37+E37</f>
        <v>740463146</v>
      </c>
      <c r="G37" s="267"/>
      <c r="H37" s="267"/>
      <c r="I37" s="162"/>
      <c r="J37" s="162"/>
      <c r="K37" s="162"/>
    </row>
    <row r="38" spans="1:11" ht="12.75" customHeight="1" thickBot="1">
      <c r="A38" s="266" t="s">
        <v>38</v>
      </c>
      <c r="B38" s="266"/>
      <c r="C38" s="266"/>
      <c r="D38" s="179">
        <f>D34+D36</f>
        <v>1110874626</v>
      </c>
      <c r="E38" s="179">
        <f>E34+E36</f>
        <v>19781165</v>
      </c>
      <c r="F38" s="179">
        <f>F34+F36</f>
        <v>1130655791</v>
      </c>
      <c r="G38" s="266" t="s">
        <v>39</v>
      </c>
      <c r="H38" s="266"/>
      <c r="I38" s="179">
        <f>I34+I36</f>
        <v>1110874626</v>
      </c>
      <c r="J38" s="179">
        <f>J34+J36</f>
        <v>19781165</v>
      </c>
      <c r="K38" s="179">
        <f>K22+K32</f>
        <v>1130655791</v>
      </c>
    </row>
    <row r="39" s="39" customFormat="1" ht="12.75"/>
    <row r="40" ht="12.75">
      <c r="E40" s="9"/>
    </row>
  </sheetData>
  <sheetProtection selectLockedCells="1" selectUnlockedCells="1"/>
  <mergeCells count="66">
    <mergeCell ref="A36:C36"/>
    <mergeCell ref="G36:H36"/>
    <mergeCell ref="A37:C37"/>
    <mergeCell ref="G37:H37"/>
    <mergeCell ref="A38:C38"/>
    <mergeCell ref="G38:H38"/>
    <mergeCell ref="A33:C33"/>
    <mergeCell ref="G33:H33"/>
    <mergeCell ref="A34:C34"/>
    <mergeCell ref="G34:H34"/>
    <mergeCell ref="A35:C35"/>
    <mergeCell ref="G35:H35"/>
    <mergeCell ref="A30:C30"/>
    <mergeCell ref="G30:H30"/>
    <mergeCell ref="A31:C31"/>
    <mergeCell ref="G31:H31"/>
    <mergeCell ref="A32:C32"/>
    <mergeCell ref="G32:H32"/>
    <mergeCell ref="A27:C27"/>
    <mergeCell ref="G27:H27"/>
    <mergeCell ref="A28:C28"/>
    <mergeCell ref="G28:H28"/>
    <mergeCell ref="A29:C29"/>
    <mergeCell ref="G29:H29"/>
    <mergeCell ref="A24:C24"/>
    <mergeCell ref="G24:H24"/>
    <mergeCell ref="A25:C25"/>
    <mergeCell ref="G25:H25"/>
    <mergeCell ref="A26:C26"/>
    <mergeCell ref="G26:H26"/>
    <mergeCell ref="A21:C21"/>
    <mergeCell ref="G21:H21"/>
    <mergeCell ref="A22:C22"/>
    <mergeCell ref="G22:H22"/>
    <mergeCell ref="A23:C23"/>
    <mergeCell ref="G23:H23"/>
    <mergeCell ref="A18:C18"/>
    <mergeCell ref="G18:H18"/>
    <mergeCell ref="A19:C19"/>
    <mergeCell ref="G19:H19"/>
    <mergeCell ref="A20:C20"/>
    <mergeCell ref="G20:H20"/>
    <mergeCell ref="A15:C15"/>
    <mergeCell ref="G15:H15"/>
    <mergeCell ref="A16:C16"/>
    <mergeCell ref="G16:H16"/>
    <mergeCell ref="A17:C17"/>
    <mergeCell ref="G17:H17"/>
    <mergeCell ref="A12:C12"/>
    <mergeCell ref="G12:H12"/>
    <mergeCell ref="A13:C13"/>
    <mergeCell ref="G13:H13"/>
    <mergeCell ref="A14:C14"/>
    <mergeCell ref="G14:H14"/>
    <mergeCell ref="A9:C9"/>
    <mergeCell ref="G9:H9"/>
    <mergeCell ref="A10:C10"/>
    <mergeCell ref="G10:H10"/>
    <mergeCell ref="A11:C11"/>
    <mergeCell ref="G11:H11"/>
    <mergeCell ref="A5:K5"/>
    <mergeCell ref="A6:K6"/>
    <mergeCell ref="A7:C7"/>
    <mergeCell ref="G7:H7"/>
    <mergeCell ref="A8:F8"/>
    <mergeCell ref="G8:K8"/>
  </mergeCells>
  <printOptions/>
  <pageMargins left="0.5902777777777778" right="0.3298611111111111" top="0.25972222222222224" bottom="0.27569444444444446" header="0.5118055555555555" footer="0.5118055555555555"/>
  <pageSetup horizontalDpi="300" verticalDpi="3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21.75390625" style="0" customWidth="1"/>
    <col min="2" max="2" width="13.25390625" style="0" customWidth="1"/>
    <col min="4" max="5" width="12.00390625" style="0" customWidth="1"/>
    <col min="6" max="6" width="11.875" style="0" customWidth="1"/>
    <col min="7" max="7" width="11.75390625" style="0" customWidth="1"/>
    <col min="8" max="8" width="11.625" style="0" customWidth="1"/>
    <col min="9" max="9" width="9.875" style="0" customWidth="1"/>
    <col min="10" max="10" width="12.375" style="0" customWidth="1"/>
    <col min="11" max="11" width="13.25390625" style="0" customWidth="1"/>
  </cols>
  <sheetData>
    <row r="1" spans="1:5" ht="12.75">
      <c r="A1" s="21"/>
      <c r="B1" s="21"/>
      <c r="C1" s="21"/>
      <c r="D1" s="21"/>
      <c r="E1" s="21"/>
    </row>
    <row r="2" spans="1:5" ht="12.75" customHeight="1">
      <c r="A2" s="285" t="s">
        <v>565</v>
      </c>
      <c r="B2" s="285"/>
      <c r="C2" s="285"/>
      <c r="D2" s="285"/>
      <c r="E2" s="285"/>
    </row>
    <row r="3" spans="1:5" ht="12.75">
      <c r="A3" s="21"/>
      <c r="B3" s="21"/>
      <c r="C3" s="21"/>
      <c r="D3" s="21"/>
      <c r="E3" s="21"/>
    </row>
    <row r="4" spans="1:5" ht="12.75">
      <c r="A4" s="21"/>
      <c r="B4" s="21"/>
      <c r="C4" s="21"/>
      <c r="D4" s="21"/>
      <c r="E4" s="21"/>
    </row>
    <row r="5" spans="1:5" ht="12.75">
      <c r="A5" s="275" t="s">
        <v>137</v>
      </c>
      <c r="B5" s="275"/>
      <c r="C5" s="275"/>
      <c r="D5" s="275"/>
      <c r="E5" s="275"/>
    </row>
    <row r="6" spans="1:5" ht="12.75">
      <c r="A6" s="21"/>
      <c r="B6" s="21"/>
      <c r="C6" s="21"/>
      <c r="D6" s="21"/>
      <c r="E6" s="21"/>
    </row>
    <row r="7" spans="1:5" ht="12.75">
      <c r="A7" s="21"/>
      <c r="B7" s="21"/>
      <c r="C7" s="21"/>
      <c r="D7" s="21"/>
      <c r="E7" s="55" t="s">
        <v>394</v>
      </c>
    </row>
    <row r="8" spans="1:5" s="29" customFormat="1" ht="24.75" customHeight="1">
      <c r="A8" s="25" t="s">
        <v>138</v>
      </c>
      <c r="B8" s="288" t="s">
        <v>139</v>
      </c>
      <c r="C8" s="288"/>
      <c r="D8" s="288"/>
      <c r="E8" s="288"/>
    </row>
    <row r="9" spans="1:5" s="22" customFormat="1" ht="25.5">
      <c r="A9" s="51"/>
      <c r="B9" s="51">
        <v>2019</v>
      </c>
      <c r="C9" s="51">
        <v>2020</v>
      </c>
      <c r="D9" s="51">
        <v>2021</v>
      </c>
      <c r="E9" s="49" t="s">
        <v>527</v>
      </c>
    </row>
    <row r="10" spans="1:5" ht="26.25" customHeight="1">
      <c r="A10" s="16" t="s">
        <v>140</v>
      </c>
      <c r="B10" s="16">
        <v>0</v>
      </c>
      <c r="C10" s="16">
        <v>0</v>
      </c>
      <c r="D10" s="16">
        <v>0</v>
      </c>
      <c r="E10" s="16">
        <v>0</v>
      </c>
    </row>
    <row r="11" spans="1:5" ht="24.75" customHeight="1">
      <c r="A11" s="16" t="s">
        <v>146</v>
      </c>
      <c r="B11" s="16">
        <v>0</v>
      </c>
      <c r="C11" s="16">
        <v>0</v>
      </c>
      <c r="D11" s="16">
        <v>0</v>
      </c>
      <c r="E11" s="16">
        <v>0</v>
      </c>
    </row>
    <row r="12" spans="1:5" ht="24.75" customHeight="1">
      <c r="A12" s="17" t="s">
        <v>329</v>
      </c>
      <c r="B12" s="16"/>
      <c r="C12" s="16">
        <v>0</v>
      </c>
      <c r="D12" s="16">
        <v>0</v>
      </c>
      <c r="E12" s="16">
        <v>0</v>
      </c>
    </row>
    <row r="13" spans="1:5" s="7" customFormat="1" ht="24" customHeight="1">
      <c r="A13" s="19" t="s">
        <v>141</v>
      </c>
      <c r="B13" s="19">
        <f>SUM(B12)</f>
        <v>0</v>
      </c>
      <c r="C13" s="19">
        <v>0</v>
      </c>
      <c r="D13" s="19">
        <v>0</v>
      </c>
      <c r="E13" s="19">
        <v>0</v>
      </c>
    </row>
    <row r="14" spans="1:5" ht="12.75">
      <c r="A14" s="21"/>
      <c r="B14" s="21"/>
      <c r="C14" s="21"/>
      <c r="D14" s="21"/>
      <c r="E14" s="21"/>
    </row>
    <row r="15" spans="1:5" ht="12.75">
      <c r="A15" s="21"/>
      <c r="B15" s="21"/>
      <c r="C15" s="21"/>
      <c r="D15" s="21"/>
      <c r="E15" s="21"/>
    </row>
    <row r="16" spans="1:5" ht="12.75">
      <c r="A16" s="21" t="s">
        <v>142</v>
      </c>
      <c r="B16" s="21"/>
      <c r="C16" s="21"/>
      <c r="D16" s="21"/>
      <c r="E16" s="21"/>
    </row>
    <row r="17" spans="1:5" ht="12.75">
      <c r="A17" s="21"/>
      <c r="B17" s="21"/>
      <c r="C17" s="21"/>
      <c r="D17" s="21"/>
      <c r="E17" s="21"/>
    </row>
    <row r="18" spans="1:5" ht="12.75">
      <c r="A18" s="21"/>
      <c r="B18" s="21"/>
      <c r="C18" s="21"/>
      <c r="D18" s="21"/>
      <c r="E18" s="21"/>
    </row>
    <row r="19" spans="1:5" ht="12.75">
      <c r="A19" s="275" t="s">
        <v>143</v>
      </c>
      <c r="B19" s="275"/>
      <c r="C19" s="275"/>
      <c r="D19" s="275"/>
      <c r="E19" s="275"/>
    </row>
    <row r="20" spans="1:5" ht="12.75">
      <c r="A20" s="21"/>
      <c r="B20" s="21"/>
      <c r="C20" s="21"/>
      <c r="D20" s="21"/>
      <c r="E20" s="21"/>
    </row>
    <row r="21" spans="1:5" ht="12.75">
      <c r="A21" s="21"/>
      <c r="B21" s="21"/>
      <c r="C21" s="21"/>
      <c r="D21" s="21"/>
      <c r="E21" s="55" t="s">
        <v>394</v>
      </c>
    </row>
    <row r="22" spans="1:5" ht="12.75" customHeight="1">
      <c r="A22" s="16" t="s">
        <v>138</v>
      </c>
      <c r="B22" s="287" t="s">
        <v>139</v>
      </c>
      <c r="C22" s="287"/>
      <c r="D22" s="287"/>
      <c r="E22" s="287"/>
    </row>
    <row r="23" spans="1:5" s="22" customFormat="1" ht="26.25" customHeight="1">
      <c r="A23" s="51"/>
      <c r="B23" s="51">
        <v>2019</v>
      </c>
      <c r="C23" s="51">
        <v>2020</v>
      </c>
      <c r="D23" s="51">
        <v>2021</v>
      </c>
      <c r="E23" s="49" t="s">
        <v>527</v>
      </c>
    </row>
    <row r="24" spans="1:5" ht="12.75">
      <c r="A24" s="19" t="s">
        <v>140</v>
      </c>
      <c r="B24" s="19">
        <f>SUM(B25:B26)</f>
        <v>76000</v>
      </c>
      <c r="C24" s="19">
        <f>SUM(C25:C26)</f>
        <v>76000</v>
      </c>
      <c r="D24" s="19">
        <f>SUM(D25:D26)</f>
        <v>76000</v>
      </c>
      <c r="E24" s="19">
        <f>SUM(E25:E26)</f>
        <v>0</v>
      </c>
    </row>
    <row r="25" spans="1:5" ht="25.5">
      <c r="A25" s="17" t="s">
        <v>144</v>
      </c>
      <c r="B25" s="18">
        <v>76000</v>
      </c>
      <c r="C25" s="18">
        <v>76000</v>
      </c>
      <c r="D25" s="18">
        <v>76000</v>
      </c>
      <c r="E25" s="19">
        <f>SUM(E26:E27)</f>
        <v>0</v>
      </c>
    </row>
    <row r="26" spans="1:5" ht="12.75">
      <c r="A26" s="16" t="s">
        <v>145</v>
      </c>
      <c r="B26" s="18"/>
      <c r="C26" s="18"/>
      <c r="D26" s="18"/>
      <c r="E26" s="16"/>
    </row>
    <row r="27" spans="1:5" ht="12.75">
      <c r="A27" s="19" t="s">
        <v>146</v>
      </c>
      <c r="B27" s="20"/>
      <c r="C27" s="20"/>
      <c r="D27" s="20">
        <f>SUM(D29)</f>
        <v>0</v>
      </c>
      <c r="E27" s="19">
        <f>SUM(E29)</f>
        <v>0</v>
      </c>
    </row>
    <row r="28" spans="1:5" ht="12.75">
      <c r="A28" s="17"/>
      <c r="B28" s="18"/>
      <c r="C28" s="18"/>
      <c r="D28" s="20"/>
      <c r="E28" s="19"/>
    </row>
    <row r="29" spans="1:5" ht="12.75">
      <c r="A29" s="16" t="s">
        <v>147</v>
      </c>
      <c r="B29" s="18"/>
      <c r="C29" s="18"/>
      <c r="D29" s="20"/>
      <c r="E29" s="19"/>
    </row>
    <row r="30" spans="1:5" ht="12.75">
      <c r="A30" s="19" t="s">
        <v>141</v>
      </c>
      <c r="B30" s="20">
        <f>B24+B27</f>
        <v>76000</v>
      </c>
      <c r="C30" s="20">
        <f>C24+C27</f>
        <v>76000</v>
      </c>
      <c r="D30" s="20">
        <f>D24+D27</f>
        <v>76000</v>
      </c>
      <c r="E30" s="20">
        <f>E24+E27</f>
        <v>0</v>
      </c>
    </row>
    <row r="31" spans="1:5" ht="12.75">
      <c r="A31" s="21"/>
      <c r="B31" s="21"/>
      <c r="C31" s="21"/>
      <c r="D31" s="21"/>
      <c r="E31" s="21"/>
    </row>
  </sheetData>
  <sheetProtection selectLockedCells="1" selectUnlockedCells="1"/>
  <mergeCells count="5">
    <mergeCell ref="B22:E22"/>
    <mergeCell ref="A2:E2"/>
    <mergeCell ref="A5:E5"/>
    <mergeCell ref="B8:E8"/>
    <mergeCell ref="A19:E19"/>
  </mergeCells>
  <printOptions/>
  <pageMargins left="0.7875" right="0.7875" top="0.7875" bottom="0.5902777777777778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68.125" style="0" customWidth="1"/>
    <col min="2" max="2" width="16.875" style="0" customWidth="1"/>
  </cols>
  <sheetData>
    <row r="1" ht="12.75">
      <c r="B1" s="26"/>
    </row>
    <row r="2" spans="1:5" ht="12.75" customHeight="1">
      <c r="A2" s="285" t="s">
        <v>566</v>
      </c>
      <c r="B2" s="285"/>
      <c r="C2" s="285"/>
      <c r="D2" s="285"/>
      <c r="E2" s="285"/>
    </row>
    <row r="3" spans="1:5" ht="12.75">
      <c r="A3" s="291"/>
      <c r="B3" s="291"/>
      <c r="C3" s="21"/>
      <c r="D3" s="21"/>
      <c r="E3" s="21"/>
    </row>
    <row r="4" spans="1:5" ht="12.75">
      <c r="A4" s="292" t="s">
        <v>148</v>
      </c>
      <c r="B4" s="292"/>
      <c r="C4" s="21"/>
      <c r="D4" s="21"/>
      <c r="E4" s="21"/>
    </row>
    <row r="5" spans="1:5" ht="27" customHeight="1">
      <c r="A5" s="293" t="s">
        <v>149</v>
      </c>
      <c r="B5" s="293"/>
      <c r="C5" s="21"/>
      <c r="D5" s="21"/>
      <c r="E5" s="21"/>
    </row>
    <row r="6" spans="1:5" ht="12.75">
      <c r="A6" s="56"/>
      <c r="B6" s="57" t="s">
        <v>388</v>
      </c>
      <c r="C6" s="21"/>
      <c r="D6" s="21"/>
      <c r="E6" s="21"/>
    </row>
    <row r="7" spans="1:5" ht="12.75">
      <c r="A7" s="58" t="s">
        <v>150</v>
      </c>
      <c r="B7" s="58" t="s">
        <v>151</v>
      </c>
      <c r="C7" s="21"/>
      <c r="D7" s="21"/>
      <c r="E7" s="21"/>
    </row>
    <row r="8" spans="1:5" ht="12.75">
      <c r="A8" s="59" t="s">
        <v>152</v>
      </c>
      <c r="B8" s="16">
        <v>0</v>
      </c>
      <c r="C8" s="21"/>
      <c r="D8" s="21"/>
      <c r="E8" s="21"/>
    </row>
    <row r="9" spans="1:5" ht="12.75">
      <c r="A9" s="59" t="s">
        <v>153</v>
      </c>
      <c r="B9" s="60">
        <v>0</v>
      </c>
      <c r="C9" s="21"/>
      <c r="D9" s="21"/>
      <c r="E9" s="21"/>
    </row>
    <row r="10" spans="1:5" ht="12.75">
      <c r="A10" s="59" t="s">
        <v>154</v>
      </c>
      <c r="B10" s="60">
        <v>0</v>
      </c>
      <c r="C10" s="21"/>
      <c r="D10" s="21"/>
      <c r="E10" s="21"/>
    </row>
    <row r="11" spans="1:5" ht="12.75">
      <c r="A11" s="59" t="s">
        <v>155</v>
      </c>
      <c r="B11" s="60">
        <v>0</v>
      </c>
      <c r="C11" s="21"/>
      <c r="D11" s="21"/>
      <c r="E11" s="21"/>
    </row>
    <row r="12" spans="1:5" ht="27.75" customHeight="1">
      <c r="A12" s="61" t="s">
        <v>156</v>
      </c>
      <c r="B12" s="60">
        <v>0</v>
      </c>
      <c r="C12" s="21"/>
      <c r="D12" s="21"/>
      <c r="E12" s="21"/>
    </row>
    <row r="13" spans="1:5" ht="12.75">
      <c r="A13" s="59" t="s">
        <v>157</v>
      </c>
      <c r="B13" s="60">
        <v>0</v>
      </c>
      <c r="C13" s="21"/>
      <c r="D13" s="21"/>
      <c r="E13" s="21"/>
    </row>
    <row r="14" spans="1:5" ht="25.5" customHeight="1">
      <c r="A14" s="61" t="s">
        <v>158</v>
      </c>
      <c r="B14" s="60">
        <v>0</v>
      </c>
      <c r="C14" s="21"/>
      <c r="D14" s="21"/>
      <c r="E14" s="21"/>
    </row>
    <row r="15" spans="1:5" ht="24.75" customHeight="1">
      <c r="A15" s="61" t="s">
        <v>159</v>
      </c>
      <c r="B15" s="60">
        <v>0</v>
      </c>
      <c r="C15" s="21"/>
      <c r="D15" s="21"/>
      <c r="E15" s="21"/>
    </row>
    <row r="16" spans="1:5" ht="36.75" customHeight="1">
      <c r="A16" s="61" t="s">
        <v>160</v>
      </c>
      <c r="B16" s="60">
        <v>0</v>
      </c>
      <c r="C16" s="21"/>
      <c r="D16" s="21"/>
      <c r="E16" s="21"/>
    </row>
    <row r="17" spans="1:5" ht="27" customHeight="1">
      <c r="A17" s="61" t="s">
        <v>161</v>
      </c>
      <c r="B17" s="60">
        <v>0</v>
      </c>
      <c r="C17" s="21"/>
      <c r="D17" s="21"/>
      <c r="E17" s="21"/>
    </row>
    <row r="18" spans="1:5" ht="29.25" customHeight="1">
      <c r="A18" s="61" t="s">
        <v>162</v>
      </c>
      <c r="B18" s="60">
        <v>0</v>
      </c>
      <c r="C18" s="21"/>
      <c r="D18" s="21"/>
      <c r="E18" s="21"/>
    </row>
    <row r="19" spans="1:5" ht="18" customHeight="1">
      <c r="A19" s="62" t="s">
        <v>163</v>
      </c>
      <c r="B19" s="63">
        <v>0</v>
      </c>
      <c r="C19" s="21"/>
      <c r="D19" s="21"/>
      <c r="E19" s="21"/>
    </row>
    <row r="20" spans="1:5" ht="10.5" customHeight="1">
      <c r="A20" s="64"/>
      <c r="B20" s="56"/>
      <c r="C20" s="21"/>
      <c r="D20" s="21"/>
      <c r="E20" s="21"/>
    </row>
    <row r="21" spans="1:5" ht="12.75" customHeight="1">
      <c r="A21" s="289" t="s">
        <v>164</v>
      </c>
      <c r="B21" s="289"/>
      <c r="C21" s="21"/>
      <c r="D21" s="21"/>
      <c r="E21" s="21"/>
    </row>
    <row r="22" spans="1:5" ht="12.75">
      <c r="A22" s="21"/>
      <c r="B22" s="21"/>
      <c r="C22" s="21"/>
      <c r="D22" s="21"/>
      <c r="E22" s="21"/>
    </row>
    <row r="23" spans="1:5" ht="12.75">
      <c r="A23" s="21"/>
      <c r="B23" s="55"/>
      <c r="C23" s="21"/>
      <c r="D23" s="21"/>
      <c r="E23" s="21"/>
    </row>
    <row r="24" spans="1:5" ht="12.75" customHeight="1">
      <c r="A24" s="275" t="s">
        <v>165</v>
      </c>
      <c r="B24" s="275"/>
      <c r="C24" s="21"/>
      <c r="D24" s="21"/>
      <c r="E24" s="21"/>
    </row>
    <row r="25" spans="1:5" ht="15.75" customHeight="1">
      <c r="A25" s="290" t="s">
        <v>166</v>
      </c>
      <c r="B25" s="290"/>
      <c r="C25" s="21"/>
      <c r="D25" s="21"/>
      <c r="E25" s="21"/>
    </row>
    <row r="26" spans="1:5" ht="9" customHeight="1">
      <c r="A26" s="21"/>
      <c r="B26" s="21"/>
      <c r="C26" s="21"/>
      <c r="D26" s="21"/>
      <c r="E26" s="21"/>
    </row>
    <row r="27" spans="1:5" ht="12.75">
      <c r="A27" s="21"/>
      <c r="B27" s="55" t="s">
        <v>167</v>
      </c>
      <c r="C27" s="21"/>
      <c r="D27" s="21"/>
      <c r="E27" s="21"/>
    </row>
    <row r="28" spans="1:5" ht="12.75">
      <c r="A28" s="25" t="s">
        <v>168</v>
      </c>
      <c r="B28" s="25" t="s">
        <v>151</v>
      </c>
      <c r="C28" s="21"/>
      <c r="D28" s="21"/>
      <c r="E28" s="21"/>
    </row>
    <row r="29" spans="1:5" ht="12.75">
      <c r="A29" s="16"/>
      <c r="B29" s="16"/>
      <c r="C29" s="21"/>
      <c r="D29" s="21"/>
      <c r="E29" s="21"/>
    </row>
    <row r="30" spans="1:5" ht="12.75">
      <c r="A30" s="16"/>
      <c r="B30" s="16"/>
      <c r="C30" s="21"/>
      <c r="D30" s="21"/>
      <c r="E30" s="21"/>
    </row>
    <row r="31" spans="1:5" ht="12.75">
      <c r="A31" s="16"/>
      <c r="B31" s="16"/>
      <c r="C31" s="21"/>
      <c r="D31" s="21"/>
      <c r="E31" s="21"/>
    </row>
    <row r="32" spans="1:5" ht="12.75">
      <c r="A32" s="16" t="s">
        <v>48</v>
      </c>
      <c r="B32" s="16">
        <v>0</v>
      </c>
      <c r="C32" s="21"/>
      <c r="D32" s="21"/>
      <c r="E32" s="21"/>
    </row>
  </sheetData>
  <sheetProtection selectLockedCells="1" selectUnlockedCells="1"/>
  <mergeCells count="7">
    <mergeCell ref="A21:B21"/>
    <mergeCell ref="A24:B24"/>
    <mergeCell ref="A25:B25"/>
    <mergeCell ref="A2:E2"/>
    <mergeCell ref="A3:B3"/>
    <mergeCell ref="A4:B4"/>
    <mergeCell ref="A5:B5"/>
  </mergeCells>
  <printOptions/>
  <pageMargins left="0.7875" right="0.5902777777777778" top="0.39375" bottom="0.39375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68.125" style="0" customWidth="1"/>
    <col min="2" max="2" width="16.875" style="0" customWidth="1"/>
  </cols>
  <sheetData>
    <row r="1" spans="1:5" ht="12.75">
      <c r="A1" s="21"/>
      <c r="B1" s="21"/>
      <c r="C1" s="21"/>
      <c r="D1" s="21"/>
      <c r="E1" s="21"/>
    </row>
    <row r="2" spans="1:5" ht="12.75" customHeight="1">
      <c r="A2" s="285" t="s">
        <v>567</v>
      </c>
      <c r="B2" s="285"/>
      <c r="C2" s="285"/>
      <c r="D2" s="285"/>
      <c r="E2" s="285"/>
    </row>
    <row r="3" spans="1:5" ht="12.75">
      <c r="A3" s="295"/>
      <c r="B3" s="295"/>
      <c r="C3" s="21"/>
      <c r="D3" s="21"/>
      <c r="E3" s="21"/>
    </row>
    <row r="4" spans="1:5" ht="12.75">
      <c r="A4" s="292" t="s">
        <v>148</v>
      </c>
      <c r="B4" s="292"/>
      <c r="C4" s="21"/>
      <c r="D4" s="21"/>
      <c r="E4" s="21"/>
    </row>
    <row r="5" spans="1:5" ht="12.75">
      <c r="A5" s="292" t="s">
        <v>169</v>
      </c>
      <c r="B5" s="292"/>
      <c r="C5" s="21"/>
      <c r="D5" s="21"/>
      <c r="E5" s="21"/>
    </row>
    <row r="6" spans="1:5" ht="12.75">
      <c r="A6" s="56"/>
      <c r="B6" s="57" t="s">
        <v>388</v>
      </c>
      <c r="C6" s="21"/>
      <c r="D6" s="21"/>
      <c r="E6" s="21"/>
    </row>
    <row r="7" spans="1:5" ht="12.75">
      <c r="A7" s="58" t="s">
        <v>170</v>
      </c>
      <c r="B7" s="58" t="s">
        <v>171</v>
      </c>
      <c r="C7" s="21"/>
      <c r="D7" s="21"/>
      <c r="E7" s="21"/>
    </row>
    <row r="8" spans="1:5" ht="12.75">
      <c r="A8" s="59" t="s">
        <v>172</v>
      </c>
      <c r="B8" s="65">
        <v>33120000</v>
      </c>
      <c r="C8" s="21"/>
      <c r="D8" s="21"/>
      <c r="E8" s="21"/>
    </row>
    <row r="9" spans="1:5" ht="27.75" customHeight="1">
      <c r="A9" s="61" t="s">
        <v>173</v>
      </c>
      <c r="B9" s="65"/>
      <c r="C9" s="21"/>
      <c r="D9" s="21"/>
      <c r="E9" s="21"/>
    </row>
    <row r="10" spans="1:5" ht="12.75">
      <c r="A10" s="59" t="s">
        <v>174</v>
      </c>
      <c r="B10" s="65"/>
      <c r="C10" s="21"/>
      <c r="D10" s="21"/>
      <c r="E10" s="21"/>
    </row>
    <row r="11" spans="1:5" ht="12.75">
      <c r="A11" s="59" t="s">
        <v>175</v>
      </c>
      <c r="B11" s="65"/>
      <c r="C11" s="21"/>
      <c r="D11" s="21"/>
      <c r="E11" s="21"/>
    </row>
    <row r="12" spans="1:5" ht="12.75">
      <c r="A12" s="59" t="s">
        <v>176</v>
      </c>
      <c r="B12" s="65"/>
      <c r="C12" s="21"/>
      <c r="D12" s="21"/>
      <c r="E12" s="21"/>
    </row>
    <row r="13" spans="1:5" ht="12.75">
      <c r="A13" s="59" t="s">
        <v>177</v>
      </c>
      <c r="B13" s="65"/>
      <c r="C13" s="21"/>
      <c r="D13" s="21"/>
      <c r="E13" s="21"/>
    </row>
    <row r="14" spans="1:5" ht="12.75">
      <c r="A14" s="59" t="s">
        <v>178</v>
      </c>
      <c r="B14" s="65"/>
      <c r="C14" s="21"/>
      <c r="D14" s="21"/>
      <c r="E14" s="21"/>
    </row>
    <row r="15" spans="1:5" ht="12.75">
      <c r="A15" s="59" t="s">
        <v>179</v>
      </c>
      <c r="B15" s="65"/>
      <c r="C15" s="21"/>
      <c r="D15" s="21"/>
      <c r="E15" s="21"/>
    </row>
    <row r="16" spans="1:5" ht="12.75">
      <c r="A16" s="59" t="s">
        <v>180</v>
      </c>
      <c r="B16" s="65">
        <v>180000</v>
      </c>
      <c r="C16" s="21"/>
      <c r="D16" s="21"/>
      <c r="E16" s="21"/>
    </row>
    <row r="17" spans="1:5" ht="12.75">
      <c r="A17" s="59" t="s">
        <v>181</v>
      </c>
      <c r="B17" s="65"/>
      <c r="C17" s="21"/>
      <c r="D17" s="21"/>
      <c r="E17" s="21"/>
    </row>
    <row r="18" spans="1:5" ht="12.75">
      <c r="A18" s="66" t="s">
        <v>182</v>
      </c>
      <c r="B18" s="67">
        <f>SUM(B8:B17)</f>
        <v>33300000</v>
      </c>
      <c r="C18" s="21"/>
      <c r="D18" s="21"/>
      <c r="E18" s="21"/>
    </row>
    <row r="19" spans="1:5" ht="12.75">
      <c r="A19" s="68"/>
      <c r="B19" s="68"/>
      <c r="C19" s="21"/>
      <c r="D19" s="21"/>
      <c r="E19" s="21"/>
    </row>
    <row r="20" spans="1:5" ht="24" customHeight="1">
      <c r="A20" s="294" t="s">
        <v>183</v>
      </c>
      <c r="B20" s="294"/>
      <c r="C20" s="21"/>
      <c r="D20" s="21"/>
      <c r="E20" s="21"/>
    </row>
    <row r="21" spans="1:5" ht="12.75">
      <c r="A21" s="21"/>
      <c r="B21" s="21"/>
      <c r="C21" s="21"/>
      <c r="D21" s="21"/>
      <c r="E21" s="21"/>
    </row>
  </sheetData>
  <sheetProtection selectLockedCells="1" selectUnlockedCells="1"/>
  <mergeCells count="5">
    <mergeCell ref="A20:B20"/>
    <mergeCell ref="A2:E2"/>
    <mergeCell ref="A3:B3"/>
    <mergeCell ref="A4:B4"/>
    <mergeCell ref="A5:B5"/>
  </mergeCells>
  <printOptions/>
  <pageMargins left="0.7875" right="0.5902777777777778" top="0.39375" bottom="0.39375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0.125" style="0" customWidth="1"/>
    <col min="2" max="2" width="19.625" style="0" customWidth="1"/>
  </cols>
  <sheetData>
    <row r="1" spans="1:5" ht="12.75">
      <c r="A1" s="285" t="s">
        <v>568</v>
      </c>
      <c r="B1" s="285"/>
      <c r="C1" s="285"/>
      <c r="D1" s="285"/>
      <c r="E1" s="285"/>
    </row>
    <row r="2" spans="1:5" ht="12.75">
      <c r="A2" s="69"/>
      <c r="B2" s="69"/>
      <c r="C2" s="21"/>
      <c r="D2" s="21"/>
      <c r="E2" s="21"/>
    </row>
    <row r="3" spans="1:5" ht="12.75">
      <c r="A3" s="286" t="s">
        <v>165</v>
      </c>
      <c r="B3" s="286"/>
      <c r="C3" s="21"/>
      <c r="D3" s="21"/>
      <c r="E3" s="21"/>
    </row>
    <row r="4" spans="1:5" ht="51" customHeight="1">
      <c r="A4" s="296" t="s">
        <v>184</v>
      </c>
      <c r="B4" s="296"/>
      <c r="C4" s="21"/>
      <c r="D4" s="21"/>
      <c r="E4" s="21"/>
    </row>
    <row r="5" spans="1:5" ht="12" customHeight="1">
      <c r="A5" s="70"/>
      <c r="B5" s="70"/>
      <c r="C5" s="21"/>
      <c r="D5" s="21"/>
      <c r="E5" s="21"/>
    </row>
    <row r="6" spans="1:5" ht="12.75">
      <c r="A6" s="69"/>
      <c r="B6" s="71" t="s">
        <v>388</v>
      </c>
      <c r="C6" s="21"/>
      <c r="D6" s="21"/>
      <c r="E6" s="21"/>
    </row>
    <row r="7" spans="1:5" ht="12.75">
      <c r="A7" s="72" t="s">
        <v>185</v>
      </c>
      <c r="B7" s="72" t="s">
        <v>151</v>
      </c>
      <c r="C7" s="21"/>
      <c r="D7" s="21"/>
      <c r="E7" s="21"/>
    </row>
    <row r="8" spans="1:5" ht="26.25" customHeight="1">
      <c r="A8" s="73" t="s">
        <v>186</v>
      </c>
      <c r="B8" s="74">
        <v>0</v>
      </c>
      <c r="C8" s="21"/>
      <c r="D8" s="21"/>
      <c r="E8" s="21"/>
    </row>
    <row r="9" spans="1:5" ht="12.75">
      <c r="A9" s="75"/>
      <c r="B9" s="76"/>
      <c r="C9" s="21"/>
      <c r="D9" s="21"/>
      <c r="E9" s="21"/>
    </row>
    <row r="10" spans="1:5" ht="12.75">
      <c r="A10" s="75"/>
      <c r="B10" s="76"/>
      <c r="C10" s="21"/>
      <c r="D10" s="21"/>
      <c r="E10" s="21"/>
    </row>
    <row r="11" spans="1:5" ht="12.75">
      <c r="A11" s="74"/>
      <c r="B11" s="76"/>
      <c r="C11" s="21"/>
      <c r="D11" s="21"/>
      <c r="E11" s="21"/>
    </row>
    <row r="12" spans="1:5" ht="12.75">
      <c r="A12" s="74"/>
      <c r="B12" s="76"/>
      <c r="C12" s="21"/>
      <c r="D12" s="21"/>
      <c r="E12" s="21"/>
    </row>
    <row r="13" spans="1:5" ht="12.75">
      <c r="A13" s="74"/>
      <c r="B13" s="76"/>
      <c r="C13" s="21"/>
      <c r="D13" s="21"/>
      <c r="E13" s="21"/>
    </row>
    <row r="14" spans="1:5" ht="12.75">
      <c r="A14" s="77" t="s">
        <v>48</v>
      </c>
      <c r="B14" s="78">
        <f>SUM(B9:B13)</f>
        <v>0</v>
      </c>
      <c r="C14" s="21"/>
      <c r="D14" s="21"/>
      <c r="E14" s="21"/>
    </row>
    <row r="15" spans="1:5" ht="12.75">
      <c r="A15" s="69"/>
      <c r="B15" s="69"/>
      <c r="C15" s="21"/>
      <c r="D15" s="21"/>
      <c r="E15" s="21"/>
    </row>
    <row r="16" spans="1:5" ht="12.75">
      <c r="A16" s="79" t="s">
        <v>187</v>
      </c>
      <c r="B16" s="21"/>
      <c r="C16" s="21"/>
      <c r="D16" s="21"/>
      <c r="E16" s="21"/>
    </row>
  </sheetData>
  <sheetProtection selectLockedCells="1" selectUnlockedCells="1"/>
  <mergeCells count="3">
    <mergeCell ref="A3:B3"/>
    <mergeCell ref="A4:B4"/>
    <mergeCell ref="A1:E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1.125" style="27" customWidth="1"/>
    <col min="2" max="2" width="10.00390625" style="27" customWidth="1"/>
    <col min="3" max="3" width="8.875" style="27" customWidth="1"/>
    <col min="4" max="4" width="10.875" style="27" customWidth="1"/>
    <col min="5" max="16384" width="9.125" style="27" customWidth="1"/>
  </cols>
  <sheetData>
    <row r="1" spans="1:5" ht="12.75">
      <c r="A1" s="285" t="s">
        <v>569</v>
      </c>
      <c r="B1" s="285"/>
      <c r="C1" s="285"/>
      <c r="D1" s="285"/>
      <c r="E1" s="285"/>
    </row>
    <row r="2" spans="1:5" ht="0.75" customHeight="1" hidden="1">
      <c r="A2" s="298"/>
      <c r="B2" s="298"/>
      <c r="C2" s="298"/>
      <c r="D2" s="298"/>
      <c r="E2" s="80"/>
    </row>
    <row r="3" spans="1:5" ht="12.75">
      <c r="A3" s="298" t="s">
        <v>188</v>
      </c>
      <c r="B3" s="298"/>
      <c r="C3" s="298"/>
      <c r="D3" s="298"/>
      <c r="E3" s="80"/>
    </row>
    <row r="4" spans="1:5" ht="24.75" customHeight="1">
      <c r="A4" s="81" t="s">
        <v>189</v>
      </c>
      <c r="B4" s="297" t="s">
        <v>528</v>
      </c>
      <c r="C4" s="297"/>
      <c r="D4" s="297"/>
      <c r="E4" s="297"/>
    </row>
    <row r="5" spans="1:5" s="98" customFormat="1" ht="16.5" customHeight="1">
      <c r="A5" s="82" t="s">
        <v>170</v>
      </c>
      <c r="B5" s="82">
        <v>2020</v>
      </c>
      <c r="C5" s="82">
        <v>2021</v>
      </c>
      <c r="D5" s="82">
        <v>2022</v>
      </c>
      <c r="E5" s="82">
        <v>2023</v>
      </c>
    </row>
    <row r="6" spans="1:5" ht="14.25" customHeight="1">
      <c r="A6" s="83" t="s">
        <v>172</v>
      </c>
      <c r="B6" s="84">
        <v>33120000</v>
      </c>
      <c r="C6" s="84">
        <v>33000000</v>
      </c>
      <c r="D6" s="84">
        <v>33500000</v>
      </c>
      <c r="E6" s="84">
        <v>33500000</v>
      </c>
    </row>
    <row r="7" spans="1:5" ht="22.5">
      <c r="A7" s="85" t="s">
        <v>173</v>
      </c>
      <c r="B7" s="84"/>
      <c r="C7" s="84"/>
      <c r="D7" s="84"/>
      <c r="E7" s="83"/>
    </row>
    <row r="8" spans="1:5" ht="12.75">
      <c r="A8" s="83" t="s">
        <v>174</v>
      </c>
      <c r="B8" s="84"/>
      <c r="C8" s="84"/>
      <c r="D8" s="84"/>
      <c r="E8" s="83"/>
    </row>
    <row r="9" spans="1:5" ht="12.75">
      <c r="A9" s="83" t="s">
        <v>175</v>
      </c>
      <c r="B9" s="84"/>
      <c r="C9" s="84"/>
      <c r="D9" s="84"/>
      <c r="E9" s="83"/>
    </row>
    <row r="10" spans="1:5" ht="12.75">
      <c r="A10" s="83" t="s">
        <v>176</v>
      </c>
      <c r="B10" s="84"/>
      <c r="C10" s="84"/>
      <c r="D10" s="84"/>
      <c r="E10" s="83"/>
    </row>
    <row r="11" spans="1:5" ht="12.75">
      <c r="A11" s="83" t="s">
        <v>177</v>
      </c>
      <c r="B11" s="84"/>
      <c r="C11" s="84"/>
      <c r="D11" s="84"/>
      <c r="E11" s="83"/>
    </row>
    <row r="12" spans="1:5" ht="12.75">
      <c r="A12" s="83" t="s">
        <v>178</v>
      </c>
      <c r="B12" s="84"/>
      <c r="C12" s="84"/>
      <c r="D12" s="84"/>
      <c r="E12" s="83"/>
    </row>
    <row r="13" spans="1:5" ht="12.75">
      <c r="A13" s="83" t="s">
        <v>179</v>
      </c>
      <c r="B13" s="84"/>
      <c r="C13" s="84"/>
      <c r="D13" s="84"/>
      <c r="E13" s="83"/>
    </row>
    <row r="14" spans="1:5" ht="12.75">
      <c r="A14" s="83" t="s">
        <v>180</v>
      </c>
      <c r="B14" s="84">
        <v>180000</v>
      </c>
      <c r="C14" s="84">
        <v>100000</v>
      </c>
      <c r="D14" s="84">
        <v>100000</v>
      </c>
      <c r="E14" s="83">
        <v>100000</v>
      </c>
    </row>
    <row r="15" spans="1:5" ht="12.75">
      <c r="A15" s="83" t="s">
        <v>181</v>
      </c>
      <c r="B15" s="84"/>
      <c r="C15" s="84"/>
      <c r="D15" s="84"/>
      <c r="E15" s="83"/>
    </row>
    <row r="16" spans="1:5" ht="12.75">
      <c r="A16" s="86" t="s">
        <v>182</v>
      </c>
      <c r="B16" s="87">
        <f>SUM(B6:B15)</f>
        <v>33300000</v>
      </c>
      <c r="C16" s="87">
        <f>SUM(C6:C15)</f>
        <v>33100000</v>
      </c>
      <c r="D16" s="87">
        <f>SUM(D6:D15)</f>
        <v>33600000</v>
      </c>
      <c r="E16" s="87">
        <f>SUM(E6:E15)</f>
        <v>33600000</v>
      </c>
    </row>
    <row r="17" spans="1:5" s="28" customFormat="1" ht="12.75">
      <c r="A17" s="88" t="s">
        <v>190</v>
      </c>
      <c r="B17" s="87">
        <f>B16*0.5</f>
        <v>16650000</v>
      </c>
      <c r="C17" s="87">
        <f>C16*0.5</f>
        <v>16550000</v>
      </c>
      <c r="D17" s="87">
        <f>D16*0.5</f>
        <v>16800000</v>
      </c>
      <c r="E17" s="87">
        <f>E16*0.5</f>
        <v>16800000</v>
      </c>
    </row>
    <row r="18" spans="1:5" ht="19.5" customHeight="1">
      <c r="A18" s="89" t="s">
        <v>191</v>
      </c>
      <c r="B18" s="90">
        <f>SUM(B19:B29)</f>
        <v>0</v>
      </c>
      <c r="C18" s="90">
        <f>SUM(C19:C29)</f>
        <v>0</v>
      </c>
      <c r="D18" s="90">
        <f>SUM(D19:D29)</f>
        <v>0</v>
      </c>
      <c r="E18" s="90">
        <f>SUM(E19:E29)</f>
        <v>0</v>
      </c>
    </row>
    <row r="19" spans="1:5" ht="13.5" customHeight="1">
      <c r="A19" s="83" t="s">
        <v>152</v>
      </c>
      <c r="B19" s="91"/>
      <c r="C19" s="91"/>
      <c r="D19" s="91"/>
      <c r="E19" s="83"/>
    </row>
    <row r="20" spans="1:5" ht="13.5" customHeight="1">
      <c r="A20" s="83" t="s">
        <v>153</v>
      </c>
      <c r="B20" s="92"/>
      <c r="C20" s="92"/>
      <c r="D20" s="92"/>
      <c r="E20" s="93"/>
    </row>
    <row r="21" spans="1:5" ht="13.5" customHeight="1">
      <c r="A21" s="83" t="s">
        <v>154</v>
      </c>
      <c r="B21" s="92"/>
      <c r="C21" s="92"/>
      <c r="D21" s="92"/>
      <c r="E21" s="93"/>
    </row>
    <row r="22" spans="1:5" ht="12.75">
      <c r="A22" s="83" t="s">
        <v>155</v>
      </c>
      <c r="B22" s="92"/>
      <c r="C22" s="92"/>
      <c r="D22" s="92"/>
      <c r="E22" s="93"/>
    </row>
    <row r="23" spans="1:5" ht="33.75">
      <c r="A23" s="85" t="s">
        <v>156</v>
      </c>
      <c r="B23" s="92"/>
      <c r="C23" s="92"/>
      <c r="D23" s="92"/>
      <c r="E23" s="93"/>
    </row>
    <row r="24" spans="1:5" ht="12.75">
      <c r="A24" s="83" t="s">
        <v>157</v>
      </c>
      <c r="B24" s="92"/>
      <c r="C24" s="92"/>
      <c r="D24" s="92"/>
      <c r="E24" s="93"/>
    </row>
    <row r="25" spans="1:5" ht="22.5">
      <c r="A25" s="85" t="s">
        <v>158</v>
      </c>
      <c r="B25" s="92"/>
      <c r="C25" s="92"/>
      <c r="D25" s="92"/>
      <c r="E25" s="93"/>
    </row>
    <row r="26" spans="1:5" ht="33.75">
      <c r="A26" s="85" t="s">
        <v>159</v>
      </c>
      <c r="B26" s="92"/>
      <c r="C26" s="92"/>
      <c r="D26" s="92"/>
      <c r="E26" s="93"/>
    </row>
    <row r="27" spans="1:5" ht="49.5" customHeight="1">
      <c r="A27" s="85" t="s">
        <v>160</v>
      </c>
      <c r="B27" s="92"/>
      <c r="C27" s="92"/>
      <c r="D27" s="92"/>
      <c r="E27" s="93"/>
    </row>
    <row r="28" spans="1:5" ht="26.25" customHeight="1">
      <c r="A28" s="85" t="s">
        <v>161</v>
      </c>
      <c r="B28" s="92"/>
      <c r="C28" s="92"/>
      <c r="D28" s="92"/>
      <c r="E28" s="93"/>
    </row>
    <row r="29" spans="1:5" ht="33.75">
      <c r="A29" s="85" t="s">
        <v>162</v>
      </c>
      <c r="B29" s="92"/>
      <c r="C29" s="92"/>
      <c r="D29" s="92"/>
      <c r="E29" s="93"/>
    </row>
    <row r="30" spans="1:5" ht="21">
      <c r="A30" s="94" t="s">
        <v>192</v>
      </c>
      <c r="B30" s="95">
        <f>SUM(B31:B41)</f>
        <v>0</v>
      </c>
      <c r="C30" s="95">
        <f>SUM(C31:C41)</f>
        <v>0</v>
      </c>
      <c r="D30" s="95">
        <f>SUM(D31:D41)</f>
        <v>0</v>
      </c>
      <c r="E30" s="95">
        <f>SUM(E31:E41)</f>
        <v>0</v>
      </c>
    </row>
    <row r="31" spans="1:5" ht="13.5" customHeight="1">
      <c r="A31" s="83" t="s">
        <v>152</v>
      </c>
      <c r="B31" s="92"/>
      <c r="C31" s="92"/>
      <c r="D31" s="92"/>
      <c r="E31" s="93"/>
    </row>
    <row r="32" spans="1:5" ht="12.75" customHeight="1">
      <c r="A32" s="83" t="s">
        <v>153</v>
      </c>
      <c r="B32" s="92"/>
      <c r="C32" s="92"/>
      <c r="D32" s="92"/>
      <c r="E32" s="93"/>
    </row>
    <row r="33" spans="1:5" ht="12.75">
      <c r="A33" s="83" t="s">
        <v>154</v>
      </c>
      <c r="B33" s="92"/>
      <c r="C33" s="92"/>
      <c r="D33" s="92"/>
      <c r="E33" s="93"/>
    </row>
    <row r="34" spans="1:5" ht="12.75">
      <c r="A34" s="83" t="s">
        <v>155</v>
      </c>
      <c r="B34" s="92"/>
      <c r="C34" s="92"/>
      <c r="D34" s="92"/>
      <c r="E34" s="93"/>
    </row>
    <row r="35" spans="1:5" ht="33.75">
      <c r="A35" s="85" t="s">
        <v>156</v>
      </c>
      <c r="B35" s="92"/>
      <c r="C35" s="92"/>
      <c r="D35" s="92"/>
      <c r="E35" s="93"/>
    </row>
    <row r="36" spans="1:5" ht="12.75">
      <c r="A36" s="83" t="s">
        <v>157</v>
      </c>
      <c r="B36" s="92"/>
      <c r="C36" s="92"/>
      <c r="D36" s="92"/>
      <c r="E36" s="93"/>
    </row>
    <row r="37" spans="1:5" ht="25.5" customHeight="1">
      <c r="A37" s="85" t="s">
        <v>158</v>
      </c>
      <c r="B37" s="92"/>
      <c r="C37" s="92"/>
      <c r="D37" s="92"/>
      <c r="E37" s="93"/>
    </row>
    <row r="38" spans="1:5" ht="33.75">
      <c r="A38" s="85" t="s">
        <v>159</v>
      </c>
      <c r="B38" s="92"/>
      <c r="C38" s="92"/>
      <c r="D38" s="92"/>
      <c r="E38" s="93"/>
    </row>
    <row r="39" spans="1:5" ht="45">
      <c r="A39" s="85" t="s">
        <v>160</v>
      </c>
      <c r="B39" s="92"/>
      <c r="C39" s="92"/>
      <c r="D39" s="92"/>
      <c r="E39" s="93"/>
    </row>
    <row r="40" spans="1:5" ht="22.5">
      <c r="A40" s="85" t="s">
        <v>161</v>
      </c>
      <c r="B40" s="92"/>
      <c r="C40" s="92"/>
      <c r="D40" s="92"/>
      <c r="E40" s="93"/>
    </row>
    <row r="41" spans="1:5" ht="28.5" customHeight="1">
      <c r="A41" s="85" t="s">
        <v>162</v>
      </c>
      <c r="B41" s="92"/>
      <c r="C41" s="92"/>
      <c r="D41" s="92"/>
      <c r="E41" s="93"/>
    </row>
    <row r="42" spans="1:5" s="28" customFormat="1" ht="12" customHeight="1">
      <c r="A42" s="96" t="s">
        <v>193</v>
      </c>
      <c r="B42" s="97">
        <v>0</v>
      </c>
      <c r="C42" s="97">
        <v>0</v>
      </c>
      <c r="D42" s="97">
        <v>0</v>
      </c>
      <c r="E42" s="97">
        <v>0</v>
      </c>
    </row>
  </sheetData>
  <sheetProtection selectLockedCells="1" selectUnlockedCells="1"/>
  <mergeCells count="4">
    <mergeCell ref="B4:E4"/>
    <mergeCell ref="A1:E1"/>
    <mergeCell ref="A2:D2"/>
    <mergeCell ref="A3:D3"/>
  </mergeCells>
  <printOptions/>
  <pageMargins left="0.5902777777777778" right="0.39375" top="0.25" bottom="0.1701388888888889" header="0.5118055555555555" footer="0.511805555555555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0.25390625" style="0" customWidth="1"/>
    <col min="2" max="2" width="20.125" style="0" customWidth="1"/>
  </cols>
  <sheetData>
    <row r="1" spans="1:5" s="21" customFormat="1" ht="12.75">
      <c r="A1" s="285" t="s">
        <v>570</v>
      </c>
      <c r="B1" s="285"/>
      <c r="C1" s="285"/>
      <c r="D1" s="285"/>
      <c r="E1" s="285"/>
    </row>
    <row r="2" s="21" customFormat="1" ht="12.75"/>
    <row r="3" s="21" customFormat="1" ht="12.75"/>
    <row r="4" spans="1:2" s="21" customFormat="1" ht="12.75" customHeight="1">
      <c r="A4" s="299" t="s">
        <v>148</v>
      </c>
      <c r="B4" s="299"/>
    </row>
    <row r="5" spans="1:2" s="21" customFormat="1" ht="12.75">
      <c r="A5" s="275" t="s">
        <v>194</v>
      </c>
      <c r="B5" s="275"/>
    </row>
    <row r="6" s="21" customFormat="1" ht="12.75"/>
    <row r="7" s="21" customFormat="1" ht="12.75">
      <c r="B7" s="55" t="s">
        <v>394</v>
      </c>
    </row>
    <row r="8" spans="1:2" s="21" customFormat="1" ht="24.75" customHeight="1">
      <c r="A8" s="99" t="s">
        <v>195</v>
      </c>
      <c r="B8" s="100" t="s">
        <v>196</v>
      </c>
    </row>
    <row r="9" spans="1:2" s="21" customFormat="1" ht="13.5" customHeight="1">
      <c r="A9" s="274" t="s">
        <v>197</v>
      </c>
      <c r="B9" s="287"/>
    </row>
    <row r="10" spans="1:2" s="21" customFormat="1" ht="13.5" customHeight="1">
      <c r="A10" s="274"/>
      <c r="B10" s="287"/>
    </row>
    <row r="11" spans="1:2" s="21" customFormat="1" ht="13.5" customHeight="1">
      <c r="A11" s="274" t="s">
        <v>198</v>
      </c>
      <c r="B11" s="287"/>
    </row>
    <row r="12" spans="1:2" s="21" customFormat="1" ht="13.5" customHeight="1">
      <c r="A12" s="274"/>
      <c r="B12" s="287"/>
    </row>
    <row r="13" spans="1:2" s="21" customFormat="1" ht="13.5" customHeight="1">
      <c r="A13" s="16" t="s">
        <v>199</v>
      </c>
      <c r="B13" s="16"/>
    </row>
    <row r="14" spans="1:2" s="21" customFormat="1" ht="13.5" customHeight="1">
      <c r="A14" s="102" t="s">
        <v>200</v>
      </c>
      <c r="B14" s="16"/>
    </row>
    <row r="15" spans="1:2" s="21" customFormat="1" ht="13.5" customHeight="1">
      <c r="A15" s="102" t="s">
        <v>201</v>
      </c>
      <c r="B15" s="16"/>
    </row>
    <row r="16" spans="1:2" s="21" customFormat="1" ht="13.5" customHeight="1">
      <c r="A16" s="102" t="s">
        <v>202</v>
      </c>
      <c r="B16" s="16"/>
    </row>
    <row r="17" spans="1:2" s="21" customFormat="1" ht="13.5" customHeight="1">
      <c r="A17" s="102" t="s">
        <v>203</v>
      </c>
      <c r="B17" s="16"/>
    </row>
    <row r="18" spans="1:2" s="21" customFormat="1" ht="13.5" customHeight="1">
      <c r="A18" s="102" t="s">
        <v>204</v>
      </c>
      <c r="B18" s="16"/>
    </row>
    <row r="19" spans="1:2" s="21" customFormat="1" ht="13.5" customHeight="1">
      <c r="A19" s="102" t="s">
        <v>205</v>
      </c>
      <c r="B19" s="16"/>
    </row>
    <row r="20" spans="1:2" s="21" customFormat="1" ht="13.5" customHeight="1">
      <c r="A20" s="102" t="s">
        <v>206</v>
      </c>
      <c r="B20" s="16"/>
    </row>
    <row r="21" spans="1:2" s="21" customFormat="1" ht="13.5" customHeight="1">
      <c r="A21" s="103" t="s">
        <v>207</v>
      </c>
      <c r="B21" s="16"/>
    </row>
    <row r="22" spans="1:2" s="21" customFormat="1" ht="13.5" customHeight="1">
      <c r="A22" s="103" t="s">
        <v>208</v>
      </c>
      <c r="B22" s="16"/>
    </row>
    <row r="23" spans="1:2" s="21" customFormat="1" ht="13.5" customHeight="1">
      <c r="A23" s="17" t="s">
        <v>209</v>
      </c>
      <c r="B23" s="16">
        <v>6348</v>
      </c>
    </row>
    <row r="24" spans="1:2" s="21" customFormat="1" ht="13.5" customHeight="1">
      <c r="A24" s="16" t="s">
        <v>210</v>
      </c>
      <c r="B24" s="16"/>
    </row>
    <row r="25" spans="1:2" s="21" customFormat="1" ht="13.5" customHeight="1">
      <c r="A25" s="102" t="s">
        <v>200</v>
      </c>
      <c r="B25" s="16"/>
    </row>
    <row r="26" spans="1:2" s="21" customFormat="1" ht="13.5" customHeight="1">
      <c r="A26" s="102" t="s">
        <v>201</v>
      </c>
      <c r="B26" s="16"/>
    </row>
    <row r="27" spans="1:2" s="21" customFormat="1" ht="13.5" customHeight="1">
      <c r="A27" s="102" t="s">
        <v>202</v>
      </c>
      <c r="B27" s="16"/>
    </row>
    <row r="28" spans="1:2" s="21" customFormat="1" ht="13.5" customHeight="1">
      <c r="A28" s="102" t="s">
        <v>203</v>
      </c>
      <c r="B28" s="16"/>
    </row>
    <row r="29" spans="1:2" s="21" customFormat="1" ht="13.5" customHeight="1">
      <c r="A29" s="102" t="s">
        <v>204</v>
      </c>
      <c r="B29" s="16"/>
    </row>
    <row r="30" spans="1:2" s="21" customFormat="1" ht="13.5" customHeight="1">
      <c r="A30" s="102" t="s">
        <v>205</v>
      </c>
      <c r="B30" s="16"/>
    </row>
    <row r="31" spans="1:2" s="21" customFormat="1" ht="13.5" customHeight="1">
      <c r="A31" s="102" t="s">
        <v>206</v>
      </c>
      <c r="B31" s="16"/>
    </row>
    <row r="32" spans="1:2" s="21" customFormat="1" ht="13.5" customHeight="1">
      <c r="A32" s="103" t="s">
        <v>207</v>
      </c>
      <c r="B32" s="16"/>
    </row>
    <row r="33" spans="1:2" s="21" customFormat="1" ht="13.5" customHeight="1">
      <c r="A33" s="103" t="s">
        <v>208</v>
      </c>
      <c r="B33" s="16"/>
    </row>
    <row r="34" spans="1:2" s="21" customFormat="1" ht="13.5" customHeight="1">
      <c r="A34" s="17" t="s">
        <v>211</v>
      </c>
      <c r="B34" s="18">
        <v>132627</v>
      </c>
    </row>
    <row r="35" spans="1:2" s="21" customFormat="1" ht="13.5" customHeight="1">
      <c r="A35" s="101" t="s">
        <v>212</v>
      </c>
      <c r="B35" s="18"/>
    </row>
    <row r="36" spans="1:2" s="21" customFormat="1" ht="13.5" customHeight="1">
      <c r="A36" s="101" t="s">
        <v>213</v>
      </c>
      <c r="B36" s="18"/>
    </row>
    <row r="37" spans="1:2" s="21" customFormat="1" ht="13.5" customHeight="1">
      <c r="A37" s="101" t="s">
        <v>214</v>
      </c>
      <c r="B37" s="18">
        <v>1150200</v>
      </c>
    </row>
    <row r="38" spans="1:2" s="21" customFormat="1" ht="15" customHeight="1">
      <c r="A38" s="19" t="s">
        <v>215</v>
      </c>
      <c r="B38" s="20">
        <f>B9+B11+B13+B23+B24+B34+B35+B36+B37</f>
        <v>1289175</v>
      </c>
    </row>
    <row r="39" s="21" customFormat="1" ht="12.75"/>
    <row r="40" s="105" customFormat="1" ht="12.75">
      <c r="A40" s="104" t="s">
        <v>216</v>
      </c>
    </row>
    <row r="41" s="21" customFormat="1" ht="25.5">
      <c r="A41" s="106" t="s">
        <v>491</v>
      </c>
    </row>
    <row r="42" s="21" customFormat="1" ht="102">
      <c r="A42" s="106" t="s">
        <v>492</v>
      </c>
    </row>
  </sheetData>
  <sheetProtection selectLockedCells="1" selectUnlockedCells="1"/>
  <mergeCells count="7">
    <mergeCell ref="A11:A12"/>
    <mergeCell ref="B11:B12"/>
    <mergeCell ref="A1:E1"/>
    <mergeCell ref="A4:B4"/>
    <mergeCell ref="A5:B5"/>
    <mergeCell ref="A9:A10"/>
    <mergeCell ref="B9:B10"/>
  </mergeCells>
  <printOptions/>
  <pageMargins left="0.7875" right="0.5902777777777778" top="0.9840277777777777" bottom="0.9840277777777777" header="0.5118055555555555" footer="0.511805555555555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64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4.125" style="30" customWidth="1"/>
    <col min="2" max="2" width="15.25390625" style="30" customWidth="1"/>
    <col min="3" max="3" width="8.375" style="30" customWidth="1"/>
    <col min="4" max="4" width="17.00390625" style="30" customWidth="1"/>
    <col min="5" max="5" width="11.25390625" style="30" customWidth="1"/>
    <col min="6" max="8" width="11.125" style="30" bestFit="1" customWidth="1"/>
    <col min="9" max="9" width="10.25390625" style="30" customWidth="1"/>
    <col min="10" max="10" width="9.125" style="30" customWidth="1"/>
    <col min="11" max="11" width="12.625" style="30" customWidth="1"/>
    <col min="12" max="12" width="15.00390625" style="30" customWidth="1"/>
    <col min="13" max="13" width="9.75390625" style="30" customWidth="1"/>
    <col min="14" max="16384" width="9.125" style="30" customWidth="1"/>
  </cols>
  <sheetData>
    <row r="1" spans="1:6" ht="12.75" customHeight="1">
      <c r="A1" s="21"/>
      <c r="B1" s="285" t="s">
        <v>571</v>
      </c>
      <c r="C1" s="285"/>
      <c r="D1" s="285"/>
      <c r="E1" s="285"/>
      <c r="F1" s="285"/>
    </row>
    <row r="3" spans="1:13" s="31" customFormat="1" ht="19.5" customHeight="1">
      <c r="A3" s="322" t="s">
        <v>217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</row>
    <row r="7" spans="1:12" s="31" customFormat="1" ht="12.75">
      <c r="A7" s="107"/>
      <c r="B7" s="301" t="s">
        <v>396</v>
      </c>
      <c r="C7" s="301"/>
      <c r="D7" s="301"/>
      <c r="E7" s="301"/>
      <c r="F7" s="301"/>
      <c r="G7" s="301"/>
      <c r="H7" s="301"/>
      <c r="I7" s="301"/>
      <c r="J7" s="301"/>
      <c r="K7" s="301"/>
      <c r="L7" s="301"/>
    </row>
    <row r="8" spans="1:12" ht="12.75">
      <c r="A8" s="109"/>
      <c r="B8" s="306" t="s">
        <v>397</v>
      </c>
      <c r="C8" s="306"/>
      <c r="D8" s="306"/>
      <c r="E8" s="306"/>
      <c r="F8" s="306"/>
      <c r="G8" s="306"/>
      <c r="H8" s="306"/>
      <c r="I8" s="306"/>
      <c r="J8" s="306"/>
      <c r="K8" s="306"/>
      <c r="L8" s="306"/>
    </row>
    <row r="9" spans="1:12" ht="12.75">
      <c r="A9" s="109"/>
      <c r="B9" s="21"/>
      <c r="C9" s="21"/>
      <c r="D9" s="21"/>
      <c r="E9" s="21"/>
      <c r="F9" s="21"/>
      <c r="G9" s="21"/>
      <c r="H9" s="21"/>
      <c r="I9" s="21"/>
      <c r="J9" s="21"/>
      <c r="K9" s="55" t="s">
        <v>394</v>
      </c>
      <c r="L9" s="21"/>
    </row>
    <row r="10" spans="1:12" ht="25.5">
      <c r="A10" s="109"/>
      <c r="B10" s="288" t="s">
        <v>218</v>
      </c>
      <c r="C10" s="288"/>
      <c r="D10" s="288"/>
      <c r="E10" s="49" t="s">
        <v>447</v>
      </c>
      <c r="F10" s="49" t="s">
        <v>445</v>
      </c>
      <c r="G10" s="51" t="s">
        <v>529</v>
      </c>
      <c r="H10" s="51">
        <v>2020</v>
      </c>
      <c r="I10" s="51">
        <v>2021</v>
      </c>
      <c r="J10" s="51">
        <v>2022</v>
      </c>
      <c r="K10" s="51" t="s">
        <v>48</v>
      </c>
      <c r="L10" s="21"/>
    </row>
    <row r="11" spans="1:12" ht="12.75">
      <c r="A11" s="109"/>
      <c r="B11" s="288" t="s">
        <v>219</v>
      </c>
      <c r="C11" s="288"/>
      <c r="D11" s="288"/>
      <c r="E11" s="111">
        <v>57534684</v>
      </c>
      <c r="F11" s="111"/>
      <c r="G11" s="111">
        <f>G18+G17+G12</f>
        <v>0</v>
      </c>
      <c r="H11" s="111">
        <f>H18+H17+H12</f>
        <v>0</v>
      </c>
      <c r="I11" s="111">
        <f>I18+I17+I12</f>
        <v>0</v>
      </c>
      <c r="J11" s="111">
        <f>J18+J17+J12</f>
        <v>0</v>
      </c>
      <c r="K11" s="111">
        <f aca="true" t="shared" si="0" ref="K11:K18">SUM(E11:J11)</f>
        <v>57534684</v>
      </c>
      <c r="L11" s="105"/>
    </row>
    <row r="12" spans="1:12" ht="12.75">
      <c r="A12" s="109"/>
      <c r="B12" s="300" t="s">
        <v>220</v>
      </c>
      <c r="C12" s="300"/>
      <c r="D12" s="300"/>
      <c r="E12" s="20">
        <f aca="true" t="shared" si="1" ref="E12:J12">SUM(E13:E16)</f>
        <v>0</v>
      </c>
      <c r="F12" s="20">
        <f t="shared" si="1"/>
        <v>0</v>
      </c>
      <c r="G12" s="20">
        <f t="shared" si="1"/>
        <v>0</v>
      </c>
      <c r="H12" s="20">
        <f t="shared" si="1"/>
        <v>0</v>
      </c>
      <c r="I12" s="20">
        <f t="shared" si="1"/>
        <v>0</v>
      </c>
      <c r="J12" s="20">
        <f t="shared" si="1"/>
        <v>0</v>
      </c>
      <c r="K12" s="111">
        <f t="shared" si="0"/>
        <v>0</v>
      </c>
      <c r="L12" s="105"/>
    </row>
    <row r="13" spans="1:12" ht="12.75">
      <c r="A13" s="109"/>
      <c r="B13" s="304" t="s">
        <v>221</v>
      </c>
      <c r="C13" s="304"/>
      <c r="D13" s="304"/>
      <c r="E13" s="18"/>
      <c r="F13" s="18"/>
      <c r="G13" s="18"/>
      <c r="H13" s="18"/>
      <c r="I13" s="18"/>
      <c r="J13" s="18"/>
      <c r="K13" s="112">
        <f t="shared" si="0"/>
        <v>0</v>
      </c>
      <c r="L13" s="21"/>
    </row>
    <row r="14" spans="1:12" ht="12.75">
      <c r="A14" s="109"/>
      <c r="B14" s="304" t="s">
        <v>222</v>
      </c>
      <c r="C14" s="304"/>
      <c r="D14" s="304"/>
      <c r="E14" s="18"/>
      <c r="F14" s="18"/>
      <c r="G14" s="18"/>
      <c r="H14" s="18"/>
      <c r="I14" s="18"/>
      <c r="J14" s="18"/>
      <c r="K14" s="112">
        <f t="shared" si="0"/>
        <v>0</v>
      </c>
      <c r="L14" s="21"/>
    </row>
    <row r="15" spans="1:12" ht="12.75">
      <c r="A15" s="109"/>
      <c r="B15" s="303" t="s">
        <v>330</v>
      </c>
      <c r="C15" s="303"/>
      <c r="D15" s="303"/>
      <c r="E15" s="18"/>
      <c r="F15" s="18"/>
      <c r="G15" s="18"/>
      <c r="H15" s="18"/>
      <c r="I15" s="18"/>
      <c r="J15" s="18"/>
      <c r="K15" s="112">
        <f t="shared" si="0"/>
        <v>0</v>
      </c>
      <c r="L15" s="21"/>
    </row>
    <row r="16" spans="1:12" ht="12.75">
      <c r="A16" s="109"/>
      <c r="B16" s="303" t="s">
        <v>224</v>
      </c>
      <c r="C16" s="303"/>
      <c r="D16" s="303"/>
      <c r="E16" s="18"/>
      <c r="F16" s="18"/>
      <c r="G16" s="18"/>
      <c r="H16" s="18"/>
      <c r="I16" s="18"/>
      <c r="J16" s="18"/>
      <c r="K16" s="112">
        <f t="shared" si="0"/>
        <v>0</v>
      </c>
      <c r="L16" s="21"/>
    </row>
    <row r="17" spans="1:12" ht="12.75">
      <c r="A17" s="109"/>
      <c r="B17" s="305" t="s">
        <v>225</v>
      </c>
      <c r="C17" s="305"/>
      <c r="D17" s="305"/>
      <c r="E17" s="20">
        <v>57534684</v>
      </c>
      <c r="F17" s="20"/>
      <c r="G17" s="20"/>
      <c r="H17" s="20"/>
      <c r="I17" s="20"/>
      <c r="J17" s="20"/>
      <c r="K17" s="111">
        <f t="shared" si="0"/>
        <v>57534684</v>
      </c>
      <c r="L17" s="105"/>
    </row>
    <row r="18" spans="1:12" ht="12.75">
      <c r="A18" s="109"/>
      <c r="B18" s="305" t="s">
        <v>226</v>
      </c>
      <c r="C18" s="305"/>
      <c r="D18" s="305"/>
      <c r="E18" s="20"/>
      <c r="F18" s="18"/>
      <c r="G18" s="18"/>
      <c r="H18" s="18"/>
      <c r="I18" s="18"/>
      <c r="J18" s="18"/>
      <c r="K18" s="111">
        <f t="shared" si="0"/>
        <v>0</v>
      </c>
      <c r="L18" s="21"/>
    </row>
    <row r="19" spans="1:12" ht="12.75">
      <c r="A19" s="109"/>
      <c r="B19" s="300" t="s">
        <v>227</v>
      </c>
      <c r="C19" s="300"/>
      <c r="D19" s="300"/>
      <c r="E19" s="18"/>
      <c r="F19" s="20"/>
      <c r="G19" s="18"/>
      <c r="H19" s="18"/>
      <c r="I19" s="18"/>
      <c r="J19" s="18"/>
      <c r="K19" s="18"/>
      <c r="L19" s="21"/>
    </row>
    <row r="20" spans="1:12" ht="12.75">
      <c r="A20" s="109"/>
      <c r="B20" s="304" t="s">
        <v>220</v>
      </c>
      <c r="C20" s="304"/>
      <c r="D20" s="304"/>
      <c r="E20" s="18"/>
      <c r="F20" s="18"/>
      <c r="G20" s="18"/>
      <c r="H20" s="18"/>
      <c r="I20" s="18"/>
      <c r="J20" s="18"/>
      <c r="K20" s="18"/>
      <c r="L20" s="21"/>
    </row>
    <row r="21" spans="1:12" ht="12.75">
      <c r="A21" s="109"/>
      <c r="B21" s="304" t="s">
        <v>221</v>
      </c>
      <c r="C21" s="304"/>
      <c r="D21" s="304"/>
      <c r="E21" s="18"/>
      <c r="F21" s="18"/>
      <c r="G21" s="18"/>
      <c r="H21" s="18"/>
      <c r="I21" s="18"/>
      <c r="J21" s="18"/>
      <c r="K21" s="18"/>
      <c r="L21" s="21"/>
    </row>
    <row r="22" spans="1:12" ht="12.75">
      <c r="A22" s="109"/>
      <c r="B22" s="304" t="s">
        <v>228</v>
      </c>
      <c r="C22" s="304"/>
      <c r="D22" s="304"/>
      <c r="E22" s="18"/>
      <c r="F22" s="18"/>
      <c r="G22" s="18"/>
      <c r="H22" s="18"/>
      <c r="I22" s="18"/>
      <c r="J22" s="18"/>
      <c r="K22" s="18"/>
      <c r="L22" s="21"/>
    </row>
    <row r="23" spans="1:12" ht="12.75">
      <c r="A23" s="109"/>
      <c r="B23" s="303" t="s">
        <v>223</v>
      </c>
      <c r="C23" s="303"/>
      <c r="D23" s="303"/>
      <c r="E23" s="18"/>
      <c r="F23" s="18"/>
      <c r="G23" s="18"/>
      <c r="H23" s="18"/>
      <c r="I23" s="18"/>
      <c r="J23" s="18"/>
      <c r="K23" s="18"/>
      <c r="L23" s="21"/>
    </row>
    <row r="24" spans="1:12" ht="12.75">
      <c r="A24" s="109"/>
      <c r="B24" s="303" t="s">
        <v>224</v>
      </c>
      <c r="C24" s="303"/>
      <c r="D24" s="303"/>
      <c r="E24" s="18"/>
      <c r="F24" s="18"/>
      <c r="G24" s="18"/>
      <c r="H24" s="18"/>
      <c r="I24" s="18"/>
      <c r="J24" s="18"/>
      <c r="K24" s="18"/>
      <c r="L24" s="21"/>
    </row>
    <row r="25" spans="1:12" ht="12.75">
      <c r="A25" s="109"/>
      <c r="B25" s="303"/>
      <c r="C25" s="303"/>
      <c r="D25" s="303"/>
      <c r="E25" s="18"/>
      <c r="F25" s="18"/>
      <c r="G25" s="18"/>
      <c r="H25" s="18"/>
      <c r="I25" s="18"/>
      <c r="J25" s="18"/>
      <c r="K25" s="18"/>
      <c r="L25" s="21"/>
    </row>
    <row r="26" spans="1:12" ht="12.75">
      <c r="A26" s="109"/>
      <c r="B26" s="300" t="s">
        <v>229</v>
      </c>
      <c r="C26" s="300"/>
      <c r="D26" s="300"/>
      <c r="E26" s="20">
        <f aca="true" t="shared" si="2" ref="E26:K26">E11+E19</f>
        <v>57534684</v>
      </c>
      <c r="F26" s="20">
        <f t="shared" si="2"/>
        <v>0</v>
      </c>
      <c r="G26" s="20">
        <f t="shared" si="2"/>
        <v>0</v>
      </c>
      <c r="H26" s="20">
        <f t="shared" si="2"/>
        <v>0</v>
      </c>
      <c r="I26" s="20">
        <f t="shared" si="2"/>
        <v>0</v>
      </c>
      <c r="J26" s="20">
        <f t="shared" si="2"/>
        <v>0</v>
      </c>
      <c r="K26" s="20">
        <f t="shared" si="2"/>
        <v>57534684</v>
      </c>
      <c r="L26" s="21"/>
    </row>
    <row r="27" spans="1:12" ht="12.75">
      <c r="A27" s="109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ht="12.75">
      <c r="A28" s="109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25.5">
      <c r="A29" s="109"/>
      <c r="B29" s="287" t="s">
        <v>230</v>
      </c>
      <c r="C29" s="287"/>
      <c r="D29" s="287"/>
      <c r="E29" s="49" t="s">
        <v>444</v>
      </c>
      <c r="F29" s="49" t="s">
        <v>445</v>
      </c>
      <c r="G29" s="51" t="s">
        <v>374</v>
      </c>
      <c r="H29" s="51" t="s">
        <v>375</v>
      </c>
      <c r="I29" s="51" t="s">
        <v>381</v>
      </c>
      <c r="J29" s="51" t="s">
        <v>395</v>
      </c>
      <c r="K29" s="51" t="s">
        <v>48</v>
      </c>
      <c r="L29" s="21"/>
    </row>
    <row r="30" spans="1:12" ht="12.75">
      <c r="A30" s="109"/>
      <c r="B30" s="300" t="s">
        <v>231</v>
      </c>
      <c r="C30" s="300"/>
      <c r="D30" s="300"/>
      <c r="E30" s="20">
        <f>SUM(E31:E35)</f>
        <v>6684063</v>
      </c>
      <c r="F30" s="20">
        <f>SUM(F31:F35)</f>
        <v>5353189</v>
      </c>
      <c r="G30" s="20">
        <v>2352390</v>
      </c>
      <c r="H30" s="20">
        <v>42965042</v>
      </c>
      <c r="I30" s="20">
        <f>SUM(I31:I35)</f>
        <v>0</v>
      </c>
      <c r="J30" s="20">
        <f>SUM(J31:J35)</f>
        <v>0</v>
      </c>
      <c r="K30" s="20">
        <f>SUM(K31:K35)</f>
        <v>57354684</v>
      </c>
      <c r="L30" s="105"/>
    </row>
    <row r="31" spans="1:12" ht="12.75">
      <c r="A31" s="109"/>
      <c r="B31" s="304" t="s">
        <v>448</v>
      </c>
      <c r="C31" s="304"/>
      <c r="D31" s="304"/>
      <c r="E31" s="18">
        <v>6684063</v>
      </c>
      <c r="F31" s="18">
        <v>5353189</v>
      </c>
      <c r="G31" s="18">
        <v>2352390</v>
      </c>
      <c r="H31" s="18">
        <v>42965042</v>
      </c>
      <c r="I31" s="18"/>
      <c r="J31" s="18"/>
      <c r="K31" s="20">
        <f>SUM(E31:J31)</f>
        <v>57354684</v>
      </c>
      <c r="L31" s="21"/>
    </row>
    <row r="32" spans="1:12" ht="12.75">
      <c r="A32" s="109"/>
      <c r="B32" s="304"/>
      <c r="C32" s="304"/>
      <c r="D32" s="304"/>
      <c r="E32" s="18"/>
      <c r="F32" s="18"/>
      <c r="G32" s="18"/>
      <c r="H32" s="18"/>
      <c r="I32" s="18"/>
      <c r="J32" s="18"/>
      <c r="K32" s="18">
        <f>SUM(E32:J32)</f>
        <v>0</v>
      </c>
      <c r="L32" s="21"/>
    </row>
    <row r="33" spans="1:12" ht="12.75">
      <c r="A33" s="109"/>
      <c r="B33" s="304"/>
      <c r="C33" s="304"/>
      <c r="D33" s="304"/>
      <c r="E33" s="18"/>
      <c r="F33" s="18"/>
      <c r="G33" s="18"/>
      <c r="H33" s="18"/>
      <c r="I33" s="18"/>
      <c r="J33" s="18"/>
      <c r="K33" s="18">
        <f>SUM(E33:J33)</f>
        <v>0</v>
      </c>
      <c r="L33" s="21"/>
    </row>
    <row r="34" spans="1:12" ht="12.75">
      <c r="A34" s="109"/>
      <c r="B34" s="304"/>
      <c r="C34" s="304"/>
      <c r="D34" s="304"/>
      <c r="E34" s="18"/>
      <c r="F34" s="18"/>
      <c r="G34" s="18"/>
      <c r="H34" s="18"/>
      <c r="I34" s="18"/>
      <c r="J34" s="18"/>
      <c r="K34" s="18">
        <f>SUM(E34:J34)</f>
        <v>0</v>
      </c>
      <c r="L34" s="21"/>
    </row>
    <row r="35" spans="1:15" ht="12.75">
      <c r="A35" s="109"/>
      <c r="B35" s="53"/>
      <c r="C35" s="53"/>
      <c r="D35" s="53"/>
      <c r="E35" s="18"/>
      <c r="F35" s="18"/>
      <c r="G35" s="18"/>
      <c r="H35" s="18"/>
      <c r="I35" s="18"/>
      <c r="J35" s="18"/>
      <c r="K35" s="18">
        <f>SUM(E35:J35)</f>
        <v>0</v>
      </c>
      <c r="L35" s="21"/>
      <c r="O35" s="43"/>
    </row>
    <row r="36" spans="1:12" ht="12.75">
      <c r="A36" s="109"/>
      <c r="B36" s="113" t="s">
        <v>233</v>
      </c>
      <c r="C36" s="113"/>
      <c r="D36" s="113"/>
      <c r="E36" s="20"/>
      <c r="F36" s="20"/>
      <c r="G36" s="20"/>
      <c r="H36" s="20"/>
      <c r="I36" s="20"/>
      <c r="J36" s="20"/>
      <c r="K36" s="20"/>
      <c r="L36" s="105"/>
    </row>
    <row r="37" spans="1:12" ht="12.75">
      <c r="A37" s="109"/>
      <c r="B37" s="304" t="s">
        <v>385</v>
      </c>
      <c r="C37" s="304"/>
      <c r="D37" s="304"/>
      <c r="E37" s="18"/>
      <c r="F37" s="18"/>
      <c r="G37" s="18"/>
      <c r="H37" s="18"/>
      <c r="I37" s="18"/>
      <c r="J37" s="18"/>
      <c r="K37" s="18"/>
      <c r="L37" s="21"/>
    </row>
    <row r="38" spans="1:12" ht="12.75">
      <c r="A38" s="109"/>
      <c r="B38" s="300" t="s">
        <v>234</v>
      </c>
      <c r="C38" s="300"/>
      <c r="D38" s="300"/>
      <c r="E38" s="20">
        <f aca="true" t="shared" si="3" ref="E38:K38">E30+E36</f>
        <v>6684063</v>
      </c>
      <c r="F38" s="20">
        <f t="shared" si="3"/>
        <v>5353189</v>
      </c>
      <c r="G38" s="20">
        <f t="shared" si="3"/>
        <v>2352390</v>
      </c>
      <c r="H38" s="20">
        <f t="shared" si="3"/>
        <v>42965042</v>
      </c>
      <c r="I38" s="20">
        <f t="shared" si="3"/>
        <v>0</v>
      </c>
      <c r="J38" s="20">
        <f t="shared" si="3"/>
        <v>0</v>
      </c>
      <c r="K38" s="20">
        <f t="shared" si="3"/>
        <v>57354684</v>
      </c>
      <c r="L38" s="117">
        <v>0.09090909090909091</v>
      </c>
    </row>
    <row r="39" spans="1:12" ht="12.75">
      <c r="A39" s="109"/>
      <c r="B39" s="108"/>
      <c r="C39" s="110"/>
      <c r="D39" s="110"/>
      <c r="E39" s="114"/>
      <c r="F39" s="114"/>
      <c r="G39" s="114"/>
      <c r="H39" s="114"/>
      <c r="I39" s="114"/>
      <c r="J39" s="114"/>
      <c r="K39" s="114"/>
      <c r="L39" s="21"/>
    </row>
    <row r="40" s="109" customFormat="1" ht="12.75"/>
    <row r="41" s="109" customFormat="1" ht="12.75"/>
    <row r="42" spans="2:12" s="109" customFormat="1" ht="12.75">
      <c r="B42" s="301" t="s">
        <v>398</v>
      </c>
      <c r="C42" s="301"/>
      <c r="D42" s="301"/>
      <c r="E42" s="301"/>
      <c r="F42" s="301"/>
      <c r="G42" s="301"/>
      <c r="H42" s="301"/>
      <c r="I42" s="301"/>
      <c r="J42" s="301"/>
      <c r="K42" s="301"/>
      <c r="L42" s="301"/>
    </row>
    <row r="43" spans="2:12" s="109" customFormat="1" ht="12.75">
      <c r="B43" s="306" t="s">
        <v>399</v>
      </c>
      <c r="C43" s="306"/>
      <c r="D43" s="306"/>
      <c r="E43" s="306"/>
      <c r="F43" s="306"/>
      <c r="G43" s="306"/>
      <c r="H43" s="306"/>
      <c r="I43" s="306"/>
      <c r="J43" s="306"/>
      <c r="K43" s="306"/>
      <c r="L43" s="306"/>
    </row>
    <row r="44" spans="2:12" s="109" customFormat="1" ht="12.75">
      <c r="B44" s="21"/>
      <c r="C44" s="21"/>
      <c r="D44" s="21"/>
      <c r="E44" s="21"/>
      <c r="F44" s="21"/>
      <c r="G44" s="21"/>
      <c r="H44" s="21"/>
      <c r="I44" s="21"/>
      <c r="J44" s="21"/>
      <c r="K44" s="55" t="s">
        <v>394</v>
      </c>
      <c r="L44" s="21"/>
    </row>
    <row r="45" spans="2:12" s="109" customFormat="1" ht="25.5">
      <c r="B45" s="288" t="s">
        <v>218</v>
      </c>
      <c r="C45" s="288"/>
      <c r="D45" s="288"/>
      <c r="E45" s="49" t="s">
        <v>446</v>
      </c>
      <c r="F45" s="49" t="s">
        <v>530</v>
      </c>
      <c r="G45" s="51" t="s">
        <v>529</v>
      </c>
      <c r="H45" s="51">
        <v>2020</v>
      </c>
      <c r="I45" s="51">
        <v>2021</v>
      </c>
      <c r="J45" s="51">
        <v>2022</v>
      </c>
      <c r="K45" s="51" t="s">
        <v>48</v>
      </c>
      <c r="L45" s="21"/>
    </row>
    <row r="46" spans="2:12" s="109" customFormat="1" ht="12.75">
      <c r="B46" s="288" t="s">
        <v>219</v>
      </c>
      <c r="C46" s="288"/>
      <c r="D46" s="288"/>
      <c r="E46" s="111">
        <f>E47+E52+E53</f>
        <v>0</v>
      </c>
      <c r="F46" s="111">
        <f aca="true" t="shared" si="4" ref="F46:K46">F47+F52+F53</f>
        <v>144089532</v>
      </c>
      <c r="G46" s="111">
        <f t="shared" si="4"/>
        <v>0</v>
      </c>
      <c r="H46" s="111">
        <f t="shared" si="4"/>
        <v>0</v>
      </c>
      <c r="I46" s="111">
        <f t="shared" si="4"/>
        <v>0</v>
      </c>
      <c r="J46" s="111">
        <f t="shared" si="4"/>
        <v>0</v>
      </c>
      <c r="K46" s="111">
        <f t="shared" si="4"/>
        <v>144089532</v>
      </c>
      <c r="L46" s="105"/>
    </row>
    <row r="47" spans="2:12" s="109" customFormat="1" ht="12.75">
      <c r="B47" s="300" t="s">
        <v>220</v>
      </c>
      <c r="C47" s="300"/>
      <c r="D47" s="300"/>
      <c r="E47" s="20">
        <f aca="true" t="shared" si="5" ref="E47:J47">SUM(E48:E51)</f>
        <v>0</v>
      </c>
      <c r="F47" s="20">
        <f t="shared" si="5"/>
        <v>46189532</v>
      </c>
      <c r="G47" s="20">
        <f t="shared" si="5"/>
        <v>0</v>
      </c>
      <c r="H47" s="20">
        <f t="shared" si="5"/>
        <v>0</v>
      </c>
      <c r="I47" s="20">
        <f t="shared" si="5"/>
        <v>0</v>
      </c>
      <c r="J47" s="20">
        <f t="shared" si="5"/>
        <v>0</v>
      </c>
      <c r="K47" s="111">
        <f aca="true" t="shared" si="6" ref="K47:K53">SUM(E47:J47)</f>
        <v>46189532</v>
      </c>
      <c r="L47" s="105"/>
    </row>
    <row r="48" spans="2:12" s="109" customFormat="1" ht="12.75">
      <c r="B48" s="304" t="s">
        <v>221</v>
      </c>
      <c r="C48" s="304"/>
      <c r="D48" s="304"/>
      <c r="E48" s="18"/>
      <c r="F48" s="18"/>
      <c r="G48" s="18"/>
      <c r="H48" s="18"/>
      <c r="I48" s="18"/>
      <c r="J48" s="18"/>
      <c r="K48" s="112">
        <f t="shared" si="6"/>
        <v>0</v>
      </c>
      <c r="L48" s="21"/>
    </row>
    <row r="49" spans="2:12" s="109" customFormat="1" ht="12.75">
      <c r="B49" s="304" t="s">
        <v>222</v>
      </c>
      <c r="C49" s="304"/>
      <c r="D49" s="304"/>
      <c r="E49" s="18"/>
      <c r="F49" s="18">
        <v>26189532</v>
      </c>
      <c r="G49" s="18"/>
      <c r="H49" s="18"/>
      <c r="I49" s="18"/>
      <c r="J49" s="18"/>
      <c r="K49" s="112">
        <f t="shared" si="6"/>
        <v>26189532</v>
      </c>
      <c r="L49" s="21"/>
    </row>
    <row r="50" spans="2:12" s="109" customFormat="1" ht="12.75">
      <c r="B50" s="303" t="s">
        <v>330</v>
      </c>
      <c r="C50" s="303"/>
      <c r="D50" s="303"/>
      <c r="E50" s="18"/>
      <c r="F50" s="18"/>
      <c r="G50" s="18"/>
      <c r="H50" s="18"/>
      <c r="I50" s="18"/>
      <c r="J50" s="18"/>
      <c r="K50" s="112">
        <f t="shared" si="6"/>
        <v>0</v>
      </c>
      <c r="L50" s="21"/>
    </row>
    <row r="51" spans="2:12" s="109" customFormat="1" ht="12.75">
      <c r="B51" s="303" t="s">
        <v>224</v>
      </c>
      <c r="C51" s="303"/>
      <c r="D51" s="303"/>
      <c r="E51" s="18"/>
      <c r="F51" s="18">
        <v>20000000</v>
      </c>
      <c r="G51" s="18"/>
      <c r="H51" s="18"/>
      <c r="I51" s="18"/>
      <c r="J51" s="18"/>
      <c r="K51" s="112">
        <f t="shared" si="6"/>
        <v>20000000</v>
      </c>
      <c r="L51" s="21"/>
    </row>
    <row r="52" spans="2:12" s="109" customFormat="1" ht="12.75">
      <c r="B52" s="305" t="s">
        <v>225</v>
      </c>
      <c r="C52" s="305"/>
      <c r="D52" s="305"/>
      <c r="E52" s="20"/>
      <c r="F52" s="20">
        <v>97900000</v>
      </c>
      <c r="G52" s="20"/>
      <c r="H52" s="20"/>
      <c r="I52" s="20"/>
      <c r="J52" s="20"/>
      <c r="K52" s="111">
        <f t="shared" si="6"/>
        <v>97900000</v>
      </c>
      <c r="L52" s="105"/>
    </row>
    <row r="53" spans="2:12" s="109" customFormat="1" ht="12.75">
      <c r="B53" s="305" t="s">
        <v>226</v>
      </c>
      <c r="C53" s="305"/>
      <c r="D53" s="305"/>
      <c r="E53" s="20"/>
      <c r="F53" s="18"/>
      <c r="G53" s="18"/>
      <c r="H53" s="18"/>
      <c r="I53" s="18"/>
      <c r="J53" s="18"/>
      <c r="K53" s="111">
        <f t="shared" si="6"/>
        <v>0</v>
      </c>
      <c r="L53" s="21"/>
    </row>
    <row r="54" spans="2:12" s="109" customFormat="1" ht="12.75">
      <c r="B54" s="300" t="s">
        <v>227</v>
      </c>
      <c r="C54" s="300"/>
      <c r="D54" s="300"/>
      <c r="E54" s="18"/>
      <c r="F54" s="20"/>
      <c r="G54" s="18"/>
      <c r="H54" s="18"/>
      <c r="I54" s="18"/>
      <c r="J54" s="18"/>
      <c r="K54" s="18"/>
      <c r="L54" s="21"/>
    </row>
    <row r="55" spans="2:12" s="109" customFormat="1" ht="12.75">
      <c r="B55" s="304" t="s">
        <v>220</v>
      </c>
      <c r="C55" s="304"/>
      <c r="D55" s="304"/>
      <c r="E55" s="18"/>
      <c r="F55" s="18"/>
      <c r="G55" s="18"/>
      <c r="H55" s="18"/>
      <c r="I55" s="18"/>
      <c r="J55" s="18"/>
      <c r="K55" s="18"/>
      <c r="L55" s="21"/>
    </row>
    <row r="56" spans="2:12" s="109" customFormat="1" ht="12.75">
      <c r="B56" s="304" t="s">
        <v>221</v>
      </c>
      <c r="C56" s="304"/>
      <c r="D56" s="304"/>
      <c r="E56" s="18"/>
      <c r="F56" s="18"/>
      <c r="G56" s="18"/>
      <c r="H56" s="18"/>
      <c r="I56" s="18"/>
      <c r="J56" s="18"/>
      <c r="K56" s="18"/>
      <c r="L56" s="21"/>
    </row>
    <row r="57" spans="2:12" s="109" customFormat="1" ht="12.75">
      <c r="B57" s="304" t="s">
        <v>228</v>
      </c>
      <c r="C57" s="304"/>
      <c r="D57" s="304"/>
      <c r="E57" s="18"/>
      <c r="F57" s="18"/>
      <c r="G57" s="18"/>
      <c r="H57" s="18"/>
      <c r="I57" s="18"/>
      <c r="J57" s="18"/>
      <c r="K57" s="18"/>
      <c r="L57" s="21"/>
    </row>
    <row r="58" spans="2:12" s="109" customFormat="1" ht="12.75">
      <c r="B58" s="303" t="s">
        <v>223</v>
      </c>
      <c r="C58" s="303"/>
      <c r="D58" s="303"/>
      <c r="E58" s="18"/>
      <c r="F58" s="18"/>
      <c r="G58" s="18"/>
      <c r="H58" s="18"/>
      <c r="I58" s="18"/>
      <c r="J58" s="18"/>
      <c r="K58" s="18"/>
      <c r="L58" s="21"/>
    </row>
    <row r="59" spans="2:12" s="109" customFormat="1" ht="12.75">
      <c r="B59" s="303" t="s">
        <v>224</v>
      </c>
      <c r="C59" s="303"/>
      <c r="D59" s="303"/>
      <c r="E59" s="18"/>
      <c r="F59" s="18"/>
      <c r="G59" s="18"/>
      <c r="H59" s="18"/>
      <c r="I59" s="18"/>
      <c r="J59" s="18"/>
      <c r="K59" s="18"/>
      <c r="L59" s="21"/>
    </row>
    <row r="60" spans="2:12" s="109" customFormat="1" ht="12.75">
      <c r="B60" s="303"/>
      <c r="C60" s="303"/>
      <c r="D60" s="303"/>
      <c r="E60" s="18"/>
      <c r="F60" s="18"/>
      <c r="G60" s="18"/>
      <c r="H60" s="18"/>
      <c r="I60" s="18"/>
      <c r="J60" s="18"/>
      <c r="K60" s="18"/>
      <c r="L60" s="21"/>
    </row>
    <row r="61" spans="2:12" s="109" customFormat="1" ht="12.75">
      <c r="B61" s="300" t="s">
        <v>229</v>
      </c>
      <c r="C61" s="300"/>
      <c r="D61" s="300"/>
      <c r="E61" s="20">
        <f aca="true" t="shared" si="7" ref="E61:K61">E46+E54</f>
        <v>0</v>
      </c>
      <c r="F61" s="20">
        <f t="shared" si="7"/>
        <v>144089532</v>
      </c>
      <c r="G61" s="20">
        <f t="shared" si="7"/>
        <v>0</v>
      </c>
      <c r="H61" s="20">
        <f t="shared" si="7"/>
        <v>0</v>
      </c>
      <c r="I61" s="20">
        <f t="shared" si="7"/>
        <v>0</v>
      </c>
      <c r="J61" s="20">
        <f t="shared" si="7"/>
        <v>0</v>
      </c>
      <c r="K61" s="20">
        <f t="shared" si="7"/>
        <v>144089532</v>
      </c>
      <c r="L61" s="21"/>
    </row>
    <row r="62" spans="2:12" s="109" customFormat="1" ht="12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2:12" s="109" customFormat="1" ht="12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</row>
    <row r="64" spans="2:12" s="109" customFormat="1" ht="25.5">
      <c r="B64" s="287" t="s">
        <v>230</v>
      </c>
      <c r="C64" s="287"/>
      <c r="D64" s="287"/>
      <c r="E64" s="49" t="s">
        <v>444</v>
      </c>
      <c r="F64" s="49" t="s">
        <v>531</v>
      </c>
      <c r="G64" s="51" t="s">
        <v>529</v>
      </c>
      <c r="H64" s="51">
        <v>2020</v>
      </c>
      <c r="I64" s="51">
        <v>2021</v>
      </c>
      <c r="J64" s="51">
        <v>2022</v>
      </c>
      <c r="K64" s="51" t="s">
        <v>48</v>
      </c>
      <c r="L64" s="21"/>
    </row>
    <row r="65" spans="2:12" s="109" customFormat="1" ht="12.75">
      <c r="B65" s="300" t="s">
        <v>231</v>
      </c>
      <c r="C65" s="300"/>
      <c r="D65" s="300"/>
      <c r="E65" s="20">
        <f aca="true" t="shared" si="8" ref="E65:J65">SUM(E66:E70)</f>
        <v>2709600</v>
      </c>
      <c r="F65" s="20">
        <f t="shared" si="8"/>
        <v>890712</v>
      </c>
      <c r="G65" s="20">
        <f>5450100-3600000-312</f>
        <v>1849788</v>
      </c>
      <c r="H65" s="20">
        <f>92449900+46189532</f>
        <v>138639432</v>
      </c>
      <c r="I65" s="20">
        <f t="shared" si="8"/>
        <v>0</v>
      </c>
      <c r="J65" s="20">
        <f t="shared" si="8"/>
        <v>0</v>
      </c>
      <c r="K65" s="20">
        <f>SUM(E65:J65)</f>
        <v>144089532</v>
      </c>
      <c r="L65" s="105"/>
    </row>
    <row r="66" spans="2:12" s="109" customFormat="1" ht="12.75">
      <c r="B66" s="304" t="s">
        <v>443</v>
      </c>
      <c r="C66" s="304"/>
      <c r="D66" s="304"/>
      <c r="E66" s="18">
        <v>2709600</v>
      </c>
      <c r="F66" s="18">
        <v>890712</v>
      </c>
      <c r="G66" s="18">
        <v>1849788</v>
      </c>
      <c r="H66" s="18">
        <v>138639432</v>
      </c>
      <c r="I66" s="18"/>
      <c r="J66" s="18"/>
      <c r="K66" s="20">
        <f aca="true" t="shared" si="9" ref="K66:K72">SUM(E66:J66)</f>
        <v>144089532</v>
      </c>
      <c r="L66" s="21"/>
    </row>
    <row r="67" spans="2:12" s="109" customFormat="1" ht="12.75">
      <c r="B67" s="304"/>
      <c r="C67" s="304"/>
      <c r="D67" s="304"/>
      <c r="E67" s="18"/>
      <c r="F67" s="18"/>
      <c r="G67" s="18"/>
      <c r="H67" s="18"/>
      <c r="I67" s="18"/>
      <c r="J67" s="18"/>
      <c r="K67" s="20">
        <f t="shared" si="9"/>
        <v>0</v>
      </c>
      <c r="L67" s="21"/>
    </row>
    <row r="68" spans="2:12" s="109" customFormat="1" ht="12.75">
      <c r="B68" s="304"/>
      <c r="C68" s="304"/>
      <c r="D68" s="304"/>
      <c r="E68" s="18"/>
      <c r="F68" s="18"/>
      <c r="G68" s="18"/>
      <c r="H68" s="18"/>
      <c r="I68" s="18"/>
      <c r="J68" s="18"/>
      <c r="K68" s="20">
        <f t="shared" si="9"/>
        <v>0</v>
      </c>
      <c r="L68" s="21"/>
    </row>
    <row r="69" spans="2:12" s="109" customFormat="1" ht="12.75">
      <c r="B69" s="304"/>
      <c r="C69" s="304"/>
      <c r="D69" s="304"/>
      <c r="E69" s="18"/>
      <c r="F69" s="18"/>
      <c r="G69" s="18"/>
      <c r="H69" s="18"/>
      <c r="I69" s="18"/>
      <c r="J69" s="18"/>
      <c r="K69" s="20">
        <f t="shared" si="9"/>
        <v>0</v>
      </c>
      <c r="L69" s="21"/>
    </row>
    <row r="70" spans="2:12" s="109" customFormat="1" ht="12.75">
      <c r="B70" s="304"/>
      <c r="C70" s="304"/>
      <c r="D70" s="304"/>
      <c r="E70" s="18"/>
      <c r="F70" s="18"/>
      <c r="G70" s="18"/>
      <c r="H70" s="18"/>
      <c r="I70" s="18"/>
      <c r="J70" s="18"/>
      <c r="K70" s="20">
        <f t="shared" si="9"/>
        <v>0</v>
      </c>
      <c r="L70" s="21"/>
    </row>
    <row r="71" spans="2:12" s="109" customFormat="1" ht="12.75">
      <c r="B71" s="113" t="s">
        <v>233</v>
      </c>
      <c r="C71" s="113"/>
      <c r="D71" s="113"/>
      <c r="E71" s="20"/>
      <c r="F71" s="20"/>
      <c r="G71" s="20"/>
      <c r="H71" s="20"/>
      <c r="I71" s="20"/>
      <c r="J71" s="20"/>
      <c r="K71" s="20">
        <f t="shared" si="9"/>
        <v>0</v>
      </c>
      <c r="L71" s="105"/>
    </row>
    <row r="72" spans="2:12" s="109" customFormat="1" ht="12.75">
      <c r="B72" s="304" t="s">
        <v>385</v>
      </c>
      <c r="C72" s="304"/>
      <c r="D72" s="304"/>
      <c r="E72" s="18"/>
      <c r="F72" s="18"/>
      <c r="G72" s="18"/>
      <c r="H72" s="18"/>
      <c r="I72" s="18"/>
      <c r="J72" s="18"/>
      <c r="K72" s="20">
        <f t="shared" si="9"/>
        <v>0</v>
      </c>
      <c r="L72" s="21"/>
    </row>
    <row r="73" spans="2:12" s="109" customFormat="1" ht="12.75">
      <c r="B73" s="300" t="s">
        <v>234</v>
      </c>
      <c r="C73" s="300"/>
      <c r="D73" s="300"/>
      <c r="E73" s="20">
        <f>E65+E71</f>
        <v>2709600</v>
      </c>
      <c r="F73" s="20">
        <f aca="true" t="shared" si="10" ref="F73:K73">F65+F71</f>
        <v>890712</v>
      </c>
      <c r="G73" s="20">
        <f t="shared" si="10"/>
        <v>1849788</v>
      </c>
      <c r="H73" s="20">
        <f t="shared" si="10"/>
        <v>138639432</v>
      </c>
      <c r="I73" s="20">
        <f t="shared" si="10"/>
        <v>0</v>
      </c>
      <c r="J73" s="20">
        <f t="shared" si="10"/>
        <v>0</v>
      </c>
      <c r="K73" s="20">
        <f t="shared" si="10"/>
        <v>144089532</v>
      </c>
      <c r="L73" s="117">
        <v>0.18181818181818182</v>
      </c>
    </row>
    <row r="74" spans="2:12" s="109" customFormat="1" ht="12.75">
      <c r="B74" s="108"/>
      <c r="C74" s="110"/>
      <c r="D74" s="110"/>
      <c r="E74" s="114"/>
      <c r="F74" s="114"/>
      <c r="G74" s="114"/>
      <c r="H74" s="114"/>
      <c r="I74" s="114"/>
      <c r="J74" s="114"/>
      <c r="K74" s="114"/>
      <c r="L74" s="21"/>
    </row>
    <row r="77" spans="2:12" s="109" customFormat="1" ht="12.75">
      <c r="B77" s="301" t="s">
        <v>400</v>
      </c>
      <c r="C77" s="301"/>
      <c r="D77" s="301"/>
      <c r="E77" s="301"/>
      <c r="F77" s="301"/>
      <c r="G77" s="301"/>
      <c r="H77" s="301"/>
      <c r="I77" s="301"/>
      <c r="J77" s="301"/>
      <c r="K77" s="301"/>
      <c r="L77" s="301"/>
    </row>
    <row r="78" spans="2:12" s="109" customFormat="1" ht="12.75">
      <c r="B78" s="306" t="s">
        <v>401</v>
      </c>
      <c r="C78" s="306"/>
      <c r="D78" s="306"/>
      <c r="E78" s="306"/>
      <c r="F78" s="306"/>
      <c r="G78" s="306"/>
      <c r="H78" s="306"/>
      <c r="I78" s="306"/>
      <c r="J78" s="306"/>
      <c r="K78" s="306"/>
      <c r="L78" s="306"/>
    </row>
    <row r="79" spans="2:12" s="109" customFormat="1" ht="12.75">
      <c r="B79" s="21"/>
      <c r="C79" s="21"/>
      <c r="D79" s="21"/>
      <c r="E79" s="21"/>
      <c r="F79" s="21"/>
      <c r="G79" s="21"/>
      <c r="H79" s="21"/>
      <c r="I79" s="21"/>
      <c r="J79" s="21"/>
      <c r="K79" s="55" t="s">
        <v>394</v>
      </c>
      <c r="L79" s="21"/>
    </row>
    <row r="80" spans="2:12" s="109" customFormat="1" ht="38.25">
      <c r="B80" s="288" t="s">
        <v>218</v>
      </c>
      <c r="C80" s="288"/>
      <c r="D80" s="288"/>
      <c r="E80" s="49" t="s">
        <v>442</v>
      </c>
      <c r="F80" s="49" t="s">
        <v>529</v>
      </c>
      <c r="G80" s="51">
        <v>2020</v>
      </c>
      <c r="H80" s="51">
        <v>2021</v>
      </c>
      <c r="I80" s="51">
        <v>2022</v>
      </c>
      <c r="J80" s="51">
        <v>2023</v>
      </c>
      <c r="K80" s="51" t="s">
        <v>48</v>
      </c>
      <c r="L80" s="21"/>
    </row>
    <row r="81" spans="2:12" s="109" customFormat="1" ht="12.75">
      <c r="B81" s="288" t="s">
        <v>219</v>
      </c>
      <c r="C81" s="288"/>
      <c r="D81" s="288"/>
      <c r="E81" s="111">
        <f aca="true" t="shared" si="11" ref="E81:J81">E82+E87+E88</f>
        <v>16494922</v>
      </c>
      <c r="F81" s="111">
        <v>7853678</v>
      </c>
      <c r="G81" s="111">
        <v>651400</v>
      </c>
      <c r="H81" s="111">
        <f t="shared" si="11"/>
        <v>0</v>
      </c>
      <c r="I81" s="111">
        <f t="shared" si="11"/>
        <v>0</v>
      </c>
      <c r="J81" s="111">
        <f t="shared" si="11"/>
        <v>0</v>
      </c>
      <c r="K81" s="111">
        <f>K82+K87+K88</f>
        <v>25000000</v>
      </c>
      <c r="L81" s="105"/>
    </row>
    <row r="82" spans="2:12" s="109" customFormat="1" ht="12.75">
      <c r="B82" s="300" t="s">
        <v>220</v>
      </c>
      <c r="C82" s="300"/>
      <c r="D82" s="300"/>
      <c r="E82" s="20">
        <f aca="true" t="shared" si="12" ref="E82:J82">SUM(E83:E86)</f>
        <v>0</v>
      </c>
      <c r="F82" s="20">
        <f t="shared" si="12"/>
        <v>0</v>
      </c>
      <c r="G82" s="20">
        <f t="shared" si="12"/>
        <v>0</v>
      </c>
      <c r="H82" s="20">
        <f t="shared" si="12"/>
        <v>0</v>
      </c>
      <c r="I82" s="20">
        <f t="shared" si="12"/>
        <v>0</v>
      </c>
      <c r="J82" s="20">
        <f t="shared" si="12"/>
        <v>0</v>
      </c>
      <c r="K82" s="111">
        <f aca="true" t="shared" si="13" ref="K82:K88">SUM(E82:J82)</f>
        <v>0</v>
      </c>
      <c r="L82" s="105"/>
    </row>
    <row r="83" spans="2:12" s="109" customFormat="1" ht="12.75">
      <c r="B83" s="304" t="s">
        <v>221</v>
      </c>
      <c r="C83" s="304"/>
      <c r="D83" s="304"/>
      <c r="E83" s="18"/>
      <c r="F83" s="18"/>
      <c r="G83" s="18"/>
      <c r="H83" s="18"/>
      <c r="I83" s="18"/>
      <c r="J83" s="18"/>
      <c r="K83" s="112">
        <f t="shared" si="13"/>
        <v>0</v>
      </c>
      <c r="L83" s="21"/>
    </row>
    <row r="84" spans="2:12" s="109" customFormat="1" ht="12.75">
      <c r="B84" s="304" t="s">
        <v>222</v>
      </c>
      <c r="C84" s="304"/>
      <c r="D84" s="304"/>
      <c r="E84" s="18"/>
      <c r="F84" s="18"/>
      <c r="G84" s="18"/>
      <c r="H84" s="18"/>
      <c r="I84" s="18"/>
      <c r="J84" s="18"/>
      <c r="K84" s="112">
        <f t="shared" si="13"/>
        <v>0</v>
      </c>
      <c r="L84" s="21"/>
    </row>
    <row r="85" spans="2:12" s="109" customFormat="1" ht="12.75">
      <c r="B85" s="303" t="s">
        <v>330</v>
      </c>
      <c r="C85" s="303"/>
      <c r="D85" s="303"/>
      <c r="E85" s="18"/>
      <c r="F85" s="18"/>
      <c r="G85" s="18"/>
      <c r="H85" s="18"/>
      <c r="I85" s="18"/>
      <c r="J85" s="18"/>
      <c r="K85" s="112">
        <f t="shared" si="13"/>
        <v>0</v>
      </c>
      <c r="L85" s="21"/>
    </row>
    <row r="86" spans="2:12" s="109" customFormat="1" ht="12.75">
      <c r="B86" s="303" t="s">
        <v>224</v>
      </c>
      <c r="C86" s="303"/>
      <c r="D86" s="303"/>
      <c r="E86" s="18"/>
      <c r="F86" s="18"/>
      <c r="G86" s="18"/>
      <c r="H86" s="18"/>
      <c r="I86" s="18"/>
      <c r="J86" s="18"/>
      <c r="K86" s="112">
        <f t="shared" si="13"/>
        <v>0</v>
      </c>
      <c r="L86" s="21"/>
    </row>
    <row r="87" spans="2:12" s="109" customFormat="1" ht="12.75">
      <c r="B87" s="305" t="s">
        <v>225</v>
      </c>
      <c r="C87" s="305"/>
      <c r="D87" s="305"/>
      <c r="E87" s="20">
        <v>16494922</v>
      </c>
      <c r="F87" s="20">
        <v>7853678</v>
      </c>
      <c r="G87" s="20">
        <v>651400</v>
      </c>
      <c r="H87" s="20"/>
      <c r="I87" s="20"/>
      <c r="J87" s="20"/>
      <c r="K87" s="111">
        <f t="shared" si="13"/>
        <v>25000000</v>
      </c>
      <c r="L87" s="105"/>
    </row>
    <row r="88" spans="2:12" s="109" customFormat="1" ht="12.75">
      <c r="B88" s="305" t="s">
        <v>226</v>
      </c>
      <c r="C88" s="305"/>
      <c r="D88" s="305"/>
      <c r="E88" s="20"/>
      <c r="F88" s="18"/>
      <c r="G88" s="18"/>
      <c r="H88" s="18"/>
      <c r="I88" s="18"/>
      <c r="J88" s="18"/>
      <c r="K88" s="111">
        <f t="shared" si="13"/>
        <v>0</v>
      </c>
      <c r="L88" s="21"/>
    </row>
    <row r="89" spans="2:12" s="109" customFormat="1" ht="12.75">
      <c r="B89" s="300" t="s">
        <v>227</v>
      </c>
      <c r="C89" s="300"/>
      <c r="D89" s="300"/>
      <c r="E89" s="18"/>
      <c r="F89" s="20"/>
      <c r="G89" s="18"/>
      <c r="H89" s="18"/>
      <c r="I89" s="18"/>
      <c r="J89" s="18"/>
      <c r="K89" s="18"/>
      <c r="L89" s="21"/>
    </row>
    <row r="90" spans="2:12" s="109" customFormat="1" ht="12.75">
      <c r="B90" s="304" t="s">
        <v>220</v>
      </c>
      <c r="C90" s="304"/>
      <c r="D90" s="304"/>
      <c r="E90" s="18"/>
      <c r="F90" s="18"/>
      <c r="G90" s="18"/>
      <c r="H90" s="18"/>
      <c r="I90" s="18"/>
      <c r="J90" s="18"/>
      <c r="K90" s="18"/>
      <c r="L90" s="21"/>
    </row>
    <row r="91" spans="2:12" s="109" customFormat="1" ht="12.75">
      <c r="B91" s="304" t="s">
        <v>221</v>
      </c>
      <c r="C91" s="304"/>
      <c r="D91" s="304"/>
      <c r="E91" s="18"/>
      <c r="F91" s="18"/>
      <c r="G91" s="18"/>
      <c r="H91" s="18"/>
      <c r="I91" s="18"/>
      <c r="J91" s="18"/>
      <c r="K91" s="18"/>
      <c r="L91" s="21"/>
    </row>
    <row r="92" spans="2:12" s="109" customFormat="1" ht="12.75">
      <c r="B92" s="304" t="s">
        <v>228</v>
      </c>
      <c r="C92" s="304"/>
      <c r="D92" s="304"/>
      <c r="E92" s="18"/>
      <c r="F92" s="18"/>
      <c r="G92" s="18"/>
      <c r="H92" s="18"/>
      <c r="I92" s="18"/>
      <c r="J92" s="18"/>
      <c r="K92" s="18"/>
      <c r="L92" s="21"/>
    </row>
    <row r="93" spans="2:12" s="109" customFormat="1" ht="12.75">
      <c r="B93" s="303" t="s">
        <v>223</v>
      </c>
      <c r="C93" s="303"/>
      <c r="D93" s="303"/>
      <c r="E93" s="18"/>
      <c r="F93" s="18"/>
      <c r="G93" s="18"/>
      <c r="H93" s="18"/>
      <c r="I93" s="18"/>
      <c r="J93" s="18"/>
      <c r="K93" s="18"/>
      <c r="L93" s="21"/>
    </row>
    <row r="94" spans="2:12" s="109" customFormat="1" ht="12.75">
      <c r="B94" s="303" t="s">
        <v>224</v>
      </c>
      <c r="C94" s="303"/>
      <c r="D94" s="303"/>
      <c r="E94" s="18"/>
      <c r="F94" s="18"/>
      <c r="G94" s="18"/>
      <c r="H94" s="18"/>
      <c r="I94" s="18"/>
      <c r="J94" s="18"/>
      <c r="K94" s="18"/>
      <c r="L94" s="21"/>
    </row>
    <row r="95" spans="2:12" s="109" customFormat="1" ht="12.75">
      <c r="B95" s="303"/>
      <c r="C95" s="303"/>
      <c r="D95" s="303"/>
      <c r="E95" s="18"/>
      <c r="F95" s="18"/>
      <c r="G95" s="18"/>
      <c r="H95" s="18"/>
      <c r="I95" s="18"/>
      <c r="J95" s="18"/>
      <c r="K95" s="18"/>
      <c r="L95" s="21"/>
    </row>
    <row r="96" spans="2:12" s="109" customFormat="1" ht="12.75">
      <c r="B96" s="300" t="s">
        <v>229</v>
      </c>
      <c r="C96" s="300"/>
      <c r="D96" s="300"/>
      <c r="E96" s="20">
        <f aca="true" t="shared" si="14" ref="E96:K96">E81+E89</f>
        <v>16494922</v>
      </c>
      <c r="F96" s="20">
        <f t="shared" si="14"/>
        <v>7853678</v>
      </c>
      <c r="G96" s="20">
        <f t="shared" si="14"/>
        <v>651400</v>
      </c>
      <c r="H96" s="20">
        <f t="shared" si="14"/>
        <v>0</v>
      </c>
      <c r="I96" s="20">
        <f t="shared" si="14"/>
        <v>0</v>
      </c>
      <c r="J96" s="20">
        <f t="shared" si="14"/>
        <v>0</v>
      </c>
      <c r="K96" s="20">
        <f t="shared" si="14"/>
        <v>25000000</v>
      </c>
      <c r="L96" s="21"/>
    </row>
    <row r="97" spans="2:12" s="109" customFormat="1" ht="12.75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2:12" s="109" customFormat="1" ht="12.75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2:12" s="109" customFormat="1" ht="38.25">
      <c r="B99" s="287" t="s">
        <v>230</v>
      </c>
      <c r="C99" s="287"/>
      <c r="D99" s="287"/>
      <c r="E99" s="49" t="s">
        <v>449</v>
      </c>
      <c r="F99" s="49" t="s">
        <v>529</v>
      </c>
      <c r="G99" s="51">
        <v>2020</v>
      </c>
      <c r="H99" s="51">
        <v>2021</v>
      </c>
      <c r="I99" s="51">
        <v>2022</v>
      </c>
      <c r="J99" s="51">
        <v>2023</v>
      </c>
      <c r="K99" s="51" t="s">
        <v>48</v>
      </c>
      <c r="L99" s="21"/>
    </row>
    <row r="100" spans="2:12" s="109" customFormat="1" ht="12.75">
      <c r="B100" s="300" t="s">
        <v>231</v>
      </c>
      <c r="C100" s="300"/>
      <c r="D100" s="300"/>
      <c r="E100" s="20">
        <f aca="true" t="shared" si="15" ref="E100:K100">E101</f>
        <v>7318119</v>
      </c>
      <c r="F100" s="20">
        <f t="shared" si="15"/>
        <v>17030481</v>
      </c>
      <c r="G100" s="20">
        <v>651400</v>
      </c>
      <c r="H100" s="20">
        <f t="shared" si="15"/>
        <v>0</v>
      </c>
      <c r="I100" s="20">
        <f t="shared" si="15"/>
        <v>0</v>
      </c>
      <c r="J100" s="20">
        <f t="shared" si="15"/>
        <v>0</v>
      </c>
      <c r="K100" s="20">
        <f t="shared" si="15"/>
        <v>25000000</v>
      </c>
      <c r="L100" s="105"/>
    </row>
    <row r="101" spans="2:12" s="109" customFormat="1" ht="12.75">
      <c r="B101" s="304" t="s">
        <v>232</v>
      </c>
      <c r="C101" s="304"/>
      <c r="D101" s="304"/>
      <c r="E101" s="18">
        <v>7318119</v>
      </c>
      <c r="F101" s="18">
        <v>17030481</v>
      </c>
      <c r="G101" s="18">
        <v>651400</v>
      </c>
      <c r="H101" s="18"/>
      <c r="I101" s="18"/>
      <c r="J101" s="18"/>
      <c r="K101" s="20">
        <f>SUM(E101:J101)</f>
        <v>25000000</v>
      </c>
      <c r="L101" s="21"/>
    </row>
    <row r="102" spans="2:12" s="109" customFormat="1" ht="12.75">
      <c r="B102" s="303"/>
      <c r="C102" s="303"/>
      <c r="D102" s="303"/>
      <c r="E102" s="18"/>
      <c r="F102" s="18"/>
      <c r="G102" s="18"/>
      <c r="H102" s="18"/>
      <c r="I102" s="18"/>
      <c r="J102" s="18"/>
      <c r="K102" s="18">
        <f>SUM(E102:J102)</f>
        <v>0</v>
      </c>
      <c r="L102" s="21"/>
    </row>
    <row r="103" spans="2:12" s="109" customFormat="1" ht="12.75">
      <c r="B103" s="303"/>
      <c r="C103" s="303"/>
      <c r="D103" s="303"/>
      <c r="E103" s="18"/>
      <c r="F103" s="18"/>
      <c r="G103" s="18"/>
      <c r="H103" s="18"/>
      <c r="I103" s="18"/>
      <c r="J103" s="18"/>
      <c r="K103" s="18"/>
      <c r="L103" s="21"/>
    </row>
    <row r="104" spans="2:12" s="109" customFormat="1" ht="12.75">
      <c r="B104" s="113" t="s">
        <v>233</v>
      </c>
      <c r="C104" s="113"/>
      <c r="D104" s="113"/>
      <c r="E104" s="20"/>
      <c r="F104" s="20"/>
      <c r="G104" s="20"/>
      <c r="H104" s="20"/>
      <c r="I104" s="20"/>
      <c r="J104" s="20"/>
      <c r="K104" s="20"/>
      <c r="L104" s="105"/>
    </row>
    <row r="105" spans="2:12" s="109" customFormat="1" ht="12.75">
      <c r="B105" s="304" t="s">
        <v>385</v>
      </c>
      <c r="C105" s="304"/>
      <c r="D105" s="304"/>
      <c r="E105" s="18"/>
      <c r="F105" s="18"/>
      <c r="G105" s="18"/>
      <c r="H105" s="18"/>
      <c r="I105" s="18"/>
      <c r="J105" s="18"/>
      <c r="K105" s="18"/>
      <c r="L105" s="21"/>
    </row>
    <row r="106" spans="2:12" s="109" customFormat="1" ht="12.75">
      <c r="B106" s="300" t="s">
        <v>234</v>
      </c>
      <c r="C106" s="300"/>
      <c r="D106" s="300"/>
      <c r="E106" s="20">
        <f>E100+E104</f>
        <v>7318119</v>
      </c>
      <c r="F106" s="20">
        <f aca="true" t="shared" si="16" ref="F106:K106">F100+F104</f>
        <v>17030481</v>
      </c>
      <c r="G106" s="20">
        <f t="shared" si="16"/>
        <v>651400</v>
      </c>
      <c r="H106" s="20">
        <f t="shared" si="16"/>
        <v>0</v>
      </c>
      <c r="I106" s="20">
        <f t="shared" si="16"/>
        <v>0</v>
      </c>
      <c r="J106" s="20">
        <f t="shared" si="16"/>
        <v>0</v>
      </c>
      <c r="K106" s="20">
        <f t="shared" si="16"/>
        <v>25000000</v>
      </c>
      <c r="L106" s="117">
        <v>0.2727272727272727</v>
      </c>
    </row>
    <row r="107" spans="2:12" s="109" customFormat="1" ht="12.75">
      <c r="B107" s="108"/>
      <c r="C107" s="110"/>
      <c r="D107" s="110"/>
      <c r="E107" s="114"/>
      <c r="F107" s="114"/>
      <c r="G107" s="114"/>
      <c r="H107" s="114"/>
      <c r="I107" s="114"/>
      <c r="J107" s="114"/>
      <c r="K107" s="114"/>
      <c r="L107" s="21"/>
    </row>
    <row r="108" ht="10.5" customHeight="1"/>
    <row r="109" s="41" customFormat="1" ht="14.25"/>
    <row r="110" spans="2:12" s="109" customFormat="1" ht="12.75">
      <c r="B110" s="301" t="s">
        <v>402</v>
      </c>
      <c r="C110" s="301"/>
      <c r="D110" s="301"/>
      <c r="E110" s="301"/>
      <c r="F110" s="301"/>
      <c r="G110" s="301"/>
      <c r="H110" s="301"/>
      <c r="I110" s="301"/>
      <c r="J110" s="301"/>
      <c r="K110" s="301"/>
      <c r="L110" s="301"/>
    </row>
    <row r="111" spans="2:12" s="109" customFormat="1" ht="12.75">
      <c r="B111" s="306" t="s">
        <v>403</v>
      </c>
      <c r="C111" s="306"/>
      <c r="D111" s="306"/>
      <c r="E111" s="306"/>
      <c r="F111" s="306"/>
      <c r="G111" s="306"/>
      <c r="H111" s="306"/>
      <c r="I111" s="306"/>
      <c r="J111" s="306"/>
      <c r="K111" s="306"/>
      <c r="L111" s="306"/>
    </row>
    <row r="112" spans="2:12" s="109" customFormat="1" ht="12.75">
      <c r="B112" s="21"/>
      <c r="C112" s="21"/>
      <c r="D112" s="21"/>
      <c r="E112" s="21"/>
      <c r="F112" s="21"/>
      <c r="G112" s="21"/>
      <c r="H112" s="21"/>
      <c r="I112" s="21"/>
      <c r="J112" s="21"/>
      <c r="K112" s="55" t="s">
        <v>394</v>
      </c>
      <c r="L112" s="21"/>
    </row>
    <row r="113" spans="2:12" s="109" customFormat="1" ht="38.25">
      <c r="B113" s="288" t="s">
        <v>218</v>
      </c>
      <c r="C113" s="288"/>
      <c r="D113" s="288"/>
      <c r="E113" s="49" t="s">
        <v>442</v>
      </c>
      <c r="F113" s="51" t="s">
        <v>529</v>
      </c>
      <c r="G113" s="51">
        <v>2020</v>
      </c>
      <c r="H113" s="51">
        <v>2021</v>
      </c>
      <c r="I113" s="51">
        <v>2022</v>
      </c>
      <c r="J113" s="51">
        <v>2023</v>
      </c>
      <c r="K113" s="51" t="s">
        <v>48</v>
      </c>
      <c r="L113" s="21"/>
    </row>
    <row r="114" spans="2:12" s="109" customFormat="1" ht="12.75">
      <c r="B114" s="288" t="s">
        <v>219</v>
      </c>
      <c r="C114" s="288"/>
      <c r="D114" s="288"/>
      <c r="E114" s="111">
        <v>151765500</v>
      </c>
      <c r="F114" s="111">
        <f aca="true" t="shared" si="17" ref="F114:K114">F115+F120+F121</f>
        <v>0</v>
      </c>
      <c r="G114" s="111">
        <f t="shared" si="17"/>
        <v>0</v>
      </c>
      <c r="H114" s="111">
        <f t="shared" si="17"/>
        <v>0</v>
      </c>
      <c r="I114" s="111">
        <f t="shared" si="17"/>
        <v>0</v>
      </c>
      <c r="J114" s="111">
        <f t="shared" si="17"/>
        <v>0</v>
      </c>
      <c r="K114" s="111">
        <f t="shared" si="17"/>
        <v>151765500</v>
      </c>
      <c r="L114" s="105"/>
    </row>
    <row r="115" spans="2:12" s="109" customFormat="1" ht="12.75">
      <c r="B115" s="300" t="s">
        <v>220</v>
      </c>
      <c r="C115" s="300"/>
      <c r="D115" s="300"/>
      <c r="E115" s="20">
        <f aca="true" t="shared" si="18" ref="E115:J115">SUM(E116:E119)</f>
        <v>0</v>
      </c>
      <c r="F115" s="20">
        <f t="shared" si="18"/>
        <v>0</v>
      </c>
      <c r="G115" s="20">
        <f t="shared" si="18"/>
        <v>0</v>
      </c>
      <c r="H115" s="20">
        <f t="shared" si="18"/>
        <v>0</v>
      </c>
      <c r="I115" s="20">
        <f t="shared" si="18"/>
        <v>0</v>
      </c>
      <c r="J115" s="20">
        <f t="shared" si="18"/>
        <v>0</v>
      </c>
      <c r="K115" s="111">
        <f aca="true" t="shared" si="19" ref="K115:K121">SUM(E115:J115)</f>
        <v>0</v>
      </c>
      <c r="L115" s="105"/>
    </row>
    <row r="116" spans="2:12" s="109" customFormat="1" ht="12.75">
      <c r="B116" s="304" t="s">
        <v>221</v>
      </c>
      <c r="C116" s="304"/>
      <c r="D116" s="304"/>
      <c r="E116" s="18"/>
      <c r="F116" s="18"/>
      <c r="G116" s="18"/>
      <c r="H116" s="18"/>
      <c r="I116" s="18"/>
      <c r="J116" s="18"/>
      <c r="K116" s="112">
        <f t="shared" si="19"/>
        <v>0</v>
      </c>
      <c r="L116" s="21"/>
    </row>
    <row r="117" spans="2:12" s="109" customFormat="1" ht="12.75">
      <c r="B117" s="304" t="s">
        <v>222</v>
      </c>
      <c r="C117" s="304"/>
      <c r="D117" s="304"/>
      <c r="E117" s="18"/>
      <c r="F117" s="18"/>
      <c r="G117" s="18"/>
      <c r="H117" s="18"/>
      <c r="I117" s="18"/>
      <c r="J117" s="18"/>
      <c r="K117" s="112">
        <f t="shared" si="19"/>
        <v>0</v>
      </c>
      <c r="L117" s="21"/>
    </row>
    <row r="118" spans="2:12" s="109" customFormat="1" ht="12.75">
      <c r="B118" s="303" t="s">
        <v>330</v>
      </c>
      <c r="C118" s="303"/>
      <c r="D118" s="303"/>
      <c r="E118" s="18"/>
      <c r="F118" s="18"/>
      <c r="G118" s="18"/>
      <c r="H118" s="18"/>
      <c r="I118" s="18"/>
      <c r="J118" s="18"/>
      <c r="K118" s="112">
        <f t="shared" si="19"/>
        <v>0</v>
      </c>
      <c r="L118" s="21"/>
    </row>
    <row r="119" spans="2:12" s="109" customFormat="1" ht="12.75">
      <c r="B119" s="303" t="s">
        <v>224</v>
      </c>
      <c r="C119" s="303"/>
      <c r="D119" s="303"/>
      <c r="E119" s="18"/>
      <c r="F119" s="18"/>
      <c r="G119" s="18"/>
      <c r="H119" s="18"/>
      <c r="I119" s="18"/>
      <c r="J119" s="18"/>
      <c r="K119" s="112">
        <f t="shared" si="19"/>
        <v>0</v>
      </c>
      <c r="L119" s="21"/>
    </row>
    <row r="120" spans="2:12" s="109" customFormat="1" ht="12.75">
      <c r="B120" s="305" t="s">
        <v>225</v>
      </c>
      <c r="C120" s="305"/>
      <c r="D120" s="305"/>
      <c r="E120" s="20">
        <v>151765500</v>
      </c>
      <c r="F120" s="20"/>
      <c r="G120" s="20"/>
      <c r="H120" s="20"/>
      <c r="I120" s="20"/>
      <c r="J120" s="20"/>
      <c r="K120" s="111">
        <f t="shared" si="19"/>
        <v>151765500</v>
      </c>
      <c r="L120" s="105"/>
    </row>
    <row r="121" spans="2:12" s="109" customFormat="1" ht="12.75">
      <c r="B121" s="305" t="s">
        <v>226</v>
      </c>
      <c r="C121" s="305"/>
      <c r="D121" s="305"/>
      <c r="E121" s="20"/>
      <c r="F121" s="18"/>
      <c r="G121" s="18"/>
      <c r="H121" s="18"/>
      <c r="I121" s="18"/>
      <c r="J121" s="18"/>
      <c r="K121" s="111">
        <f t="shared" si="19"/>
        <v>0</v>
      </c>
      <c r="L121" s="21"/>
    </row>
    <row r="122" spans="2:12" s="109" customFormat="1" ht="12.75">
      <c r="B122" s="300" t="s">
        <v>227</v>
      </c>
      <c r="C122" s="300"/>
      <c r="D122" s="300"/>
      <c r="E122" s="18"/>
      <c r="F122" s="20"/>
      <c r="G122" s="18"/>
      <c r="H122" s="18"/>
      <c r="I122" s="18"/>
      <c r="J122" s="18"/>
      <c r="K122" s="18"/>
      <c r="L122" s="21"/>
    </row>
    <row r="123" spans="2:12" s="109" customFormat="1" ht="12.75">
      <c r="B123" s="304" t="s">
        <v>220</v>
      </c>
      <c r="C123" s="304"/>
      <c r="D123" s="304"/>
      <c r="E123" s="18"/>
      <c r="F123" s="18"/>
      <c r="G123" s="18"/>
      <c r="H123" s="18"/>
      <c r="I123" s="18"/>
      <c r="J123" s="18"/>
      <c r="K123" s="18"/>
      <c r="L123" s="21"/>
    </row>
    <row r="124" spans="2:12" s="109" customFormat="1" ht="12.75">
      <c r="B124" s="304" t="s">
        <v>221</v>
      </c>
      <c r="C124" s="304"/>
      <c r="D124" s="304"/>
      <c r="E124" s="18"/>
      <c r="F124" s="18"/>
      <c r="G124" s="18"/>
      <c r="H124" s="18"/>
      <c r="I124" s="18"/>
      <c r="J124" s="18"/>
      <c r="K124" s="18"/>
      <c r="L124" s="21"/>
    </row>
    <row r="125" spans="2:12" s="109" customFormat="1" ht="12.75">
      <c r="B125" s="304" t="s">
        <v>228</v>
      </c>
      <c r="C125" s="304"/>
      <c r="D125" s="304"/>
      <c r="E125" s="18"/>
      <c r="F125" s="18"/>
      <c r="G125" s="18"/>
      <c r="H125" s="18"/>
      <c r="I125" s="18"/>
      <c r="J125" s="18"/>
      <c r="K125" s="18"/>
      <c r="L125" s="21"/>
    </row>
    <row r="126" spans="2:12" s="109" customFormat="1" ht="12.75">
      <c r="B126" s="303" t="s">
        <v>223</v>
      </c>
      <c r="C126" s="303"/>
      <c r="D126" s="303"/>
      <c r="E126" s="18"/>
      <c r="F126" s="18"/>
      <c r="G126" s="18"/>
      <c r="H126" s="18"/>
      <c r="I126" s="18"/>
      <c r="J126" s="18"/>
      <c r="K126" s="18"/>
      <c r="L126" s="21"/>
    </row>
    <row r="127" spans="2:12" s="109" customFormat="1" ht="12.75">
      <c r="B127" s="303" t="s">
        <v>224</v>
      </c>
      <c r="C127" s="303"/>
      <c r="D127" s="303"/>
      <c r="E127" s="18"/>
      <c r="F127" s="18"/>
      <c r="G127" s="18"/>
      <c r="H127" s="18"/>
      <c r="I127" s="18"/>
      <c r="J127" s="18"/>
      <c r="K127" s="18"/>
      <c r="L127" s="21"/>
    </row>
    <row r="128" spans="2:12" s="109" customFormat="1" ht="12.75">
      <c r="B128" s="303"/>
      <c r="C128" s="303"/>
      <c r="D128" s="303"/>
      <c r="E128" s="18"/>
      <c r="F128" s="18"/>
      <c r="G128" s="18"/>
      <c r="H128" s="18"/>
      <c r="I128" s="18"/>
      <c r="J128" s="18"/>
      <c r="K128" s="18"/>
      <c r="L128" s="21"/>
    </row>
    <row r="129" spans="2:12" s="109" customFormat="1" ht="12.75">
      <c r="B129" s="300" t="s">
        <v>229</v>
      </c>
      <c r="C129" s="300"/>
      <c r="D129" s="300"/>
      <c r="E129" s="20">
        <f aca="true" t="shared" si="20" ref="E129:K129">E114+E122</f>
        <v>151765500</v>
      </c>
      <c r="F129" s="20">
        <f t="shared" si="20"/>
        <v>0</v>
      </c>
      <c r="G129" s="20">
        <f t="shared" si="20"/>
        <v>0</v>
      </c>
      <c r="H129" s="20">
        <f t="shared" si="20"/>
        <v>0</v>
      </c>
      <c r="I129" s="20">
        <f t="shared" si="20"/>
        <v>0</v>
      </c>
      <c r="J129" s="20">
        <f t="shared" si="20"/>
        <v>0</v>
      </c>
      <c r="K129" s="20">
        <f t="shared" si="20"/>
        <v>151765500</v>
      </c>
      <c r="L129" s="21"/>
    </row>
    <row r="130" spans="2:12" s="109" customFormat="1" ht="12.75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2:12" s="109" customFormat="1" ht="12.75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2:12" s="109" customFormat="1" ht="38.25">
      <c r="B132" s="287" t="s">
        <v>230</v>
      </c>
      <c r="C132" s="287"/>
      <c r="D132" s="287"/>
      <c r="E132" s="49" t="s">
        <v>449</v>
      </c>
      <c r="F132" s="51">
        <v>2019</v>
      </c>
      <c r="G132" s="51">
        <v>2020</v>
      </c>
      <c r="H132" s="51">
        <v>2021</v>
      </c>
      <c r="I132" s="51">
        <v>2022</v>
      </c>
      <c r="J132" s="51">
        <v>2023</v>
      </c>
      <c r="K132" s="51" t="s">
        <v>48</v>
      </c>
      <c r="L132" s="21"/>
    </row>
    <row r="133" spans="2:12" s="109" customFormat="1" ht="12.75">
      <c r="B133" s="300" t="s">
        <v>231</v>
      </c>
      <c r="C133" s="300"/>
      <c r="D133" s="300"/>
      <c r="E133" s="20">
        <f aca="true" t="shared" si="21" ref="E133:J133">E134</f>
        <v>7128185</v>
      </c>
      <c r="F133" s="20">
        <v>1432090</v>
      </c>
      <c r="G133" s="20">
        <v>142495830</v>
      </c>
      <c r="H133" s="20">
        <f t="shared" si="21"/>
        <v>709395</v>
      </c>
      <c r="I133" s="20">
        <f t="shared" si="21"/>
        <v>0</v>
      </c>
      <c r="J133" s="20">
        <f t="shared" si="21"/>
        <v>0</v>
      </c>
      <c r="K133" s="20">
        <f>SUM(E133:J133)</f>
        <v>151765500</v>
      </c>
      <c r="L133" s="105"/>
    </row>
    <row r="134" spans="2:12" s="109" customFormat="1" ht="12.75">
      <c r="B134" s="304" t="s">
        <v>232</v>
      </c>
      <c r="C134" s="304"/>
      <c r="D134" s="304"/>
      <c r="E134" s="18">
        <v>7128185</v>
      </c>
      <c r="F134" s="18">
        <v>1432090</v>
      </c>
      <c r="G134" s="18">
        <v>142495830</v>
      </c>
      <c r="H134" s="18">
        <v>709395</v>
      </c>
      <c r="I134" s="18"/>
      <c r="J134" s="18"/>
      <c r="K134" s="20">
        <f>SUM(E134:J134)</f>
        <v>151765500</v>
      </c>
      <c r="L134" s="21"/>
    </row>
    <row r="135" spans="2:12" s="109" customFormat="1" ht="12.75">
      <c r="B135" s="303"/>
      <c r="C135" s="303"/>
      <c r="D135" s="303"/>
      <c r="E135" s="18"/>
      <c r="F135" s="18"/>
      <c r="G135" s="18"/>
      <c r="H135" s="18"/>
      <c r="I135" s="18"/>
      <c r="J135" s="18"/>
      <c r="K135" s="18">
        <f>SUM(E135:J135)</f>
        <v>0</v>
      </c>
      <c r="L135" s="21"/>
    </row>
    <row r="136" spans="2:12" s="109" customFormat="1" ht="12.75">
      <c r="B136" s="303"/>
      <c r="C136" s="303"/>
      <c r="D136" s="303"/>
      <c r="E136" s="18"/>
      <c r="F136" s="18"/>
      <c r="G136" s="18"/>
      <c r="H136" s="18"/>
      <c r="I136" s="18"/>
      <c r="J136" s="18"/>
      <c r="K136" s="18"/>
      <c r="L136" s="21"/>
    </row>
    <row r="137" spans="2:12" s="109" customFormat="1" ht="12.75">
      <c r="B137" s="113" t="s">
        <v>233</v>
      </c>
      <c r="C137" s="113"/>
      <c r="D137" s="113"/>
      <c r="E137" s="20"/>
      <c r="F137" s="20"/>
      <c r="G137" s="20"/>
      <c r="H137" s="20"/>
      <c r="I137" s="20"/>
      <c r="J137" s="20"/>
      <c r="K137" s="20"/>
      <c r="L137" s="105"/>
    </row>
    <row r="138" spans="2:12" s="109" customFormat="1" ht="12.75">
      <c r="B138" s="304" t="s">
        <v>385</v>
      </c>
      <c r="C138" s="304"/>
      <c r="D138" s="304"/>
      <c r="E138" s="18"/>
      <c r="F138" s="18"/>
      <c r="G138" s="18"/>
      <c r="H138" s="18"/>
      <c r="I138" s="18"/>
      <c r="J138" s="18"/>
      <c r="K138" s="18"/>
      <c r="L138" s="21"/>
    </row>
    <row r="139" spans="2:12" s="109" customFormat="1" ht="12.75">
      <c r="B139" s="300" t="s">
        <v>234</v>
      </c>
      <c r="C139" s="300"/>
      <c r="D139" s="300"/>
      <c r="E139" s="20">
        <f>E133+E137</f>
        <v>7128185</v>
      </c>
      <c r="F139" s="20">
        <f aca="true" t="shared" si="22" ref="F139:K139">F133+F137</f>
        <v>1432090</v>
      </c>
      <c r="G139" s="20">
        <f t="shared" si="22"/>
        <v>142495830</v>
      </c>
      <c r="H139" s="20">
        <f t="shared" si="22"/>
        <v>709395</v>
      </c>
      <c r="I139" s="20">
        <f t="shared" si="22"/>
        <v>0</v>
      </c>
      <c r="J139" s="20">
        <f t="shared" si="22"/>
        <v>0</v>
      </c>
      <c r="K139" s="20">
        <f t="shared" si="22"/>
        <v>151765500</v>
      </c>
      <c r="L139" s="117">
        <v>0.36363636363636365</v>
      </c>
    </row>
    <row r="140" spans="2:12" ht="12.75">
      <c r="B140" s="34"/>
      <c r="C140" s="33"/>
      <c r="D140" s="33"/>
      <c r="E140" s="35"/>
      <c r="F140" s="35"/>
      <c r="G140" s="35"/>
      <c r="H140" s="35"/>
      <c r="I140" s="35"/>
      <c r="J140" s="35"/>
      <c r="K140" s="35"/>
      <c r="L140" s="32"/>
    </row>
    <row r="141" s="109" customFormat="1" ht="12.75"/>
    <row r="142" s="109" customFormat="1" ht="12.75"/>
    <row r="143" spans="2:12" s="109" customFormat="1" ht="12.75">
      <c r="B143" s="301" t="s">
        <v>404</v>
      </c>
      <c r="C143" s="301"/>
      <c r="D143" s="301"/>
      <c r="E143" s="301"/>
      <c r="F143" s="301"/>
      <c r="G143" s="301"/>
      <c r="H143" s="301"/>
      <c r="I143" s="301"/>
      <c r="J143" s="301"/>
      <c r="K143" s="301"/>
      <c r="L143" s="301"/>
    </row>
    <row r="144" spans="2:12" s="109" customFormat="1" ht="12.75">
      <c r="B144" s="306" t="s">
        <v>405</v>
      </c>
      <c r="C144" s="306"/>
      <c r="D144" s="306"/>
      <c r="E144" s="306"/>
      <c r="F144" s="306"/>
      <c r="G144" s="306"/>
      <c r="H144" s="306"/>
      <c r="I144" s="306"/>
      <c r="J144" s="306"/>
      <c r="K144" s="306"/>
      <c r="L144" s="306"/>
    </row>
    <row r="145" spans="2:12" s="109" customFormat="1" ht="12.75">
      <c r="B145" s="21"/>
      <c r="C145" s="21"/>
      <c r="D145" s="21"/>
      <c r="E145" s="21"/>
      <c r="F145" s="21"/>
      <c r="G145" s="21"/>
      <c r="H145" s="21"/>
      <c r="I145" s="21"/>
      <c r="J145" s="21"/>
      <c r="K145" s="55" t="s">
        <v>394</v>
      </c>
      <c r="L145" s="21"/>
    </row>
    <row r="146" spans="2:12" s="109" customFormat="1" ht="38.25">
      <c r="B146" s="288" t="s">
        <v>218</v>
      </c>
      <c r="C146" s="288"/>
      <c r="D146" s="288"/>
      <c r="E146" s="49" t="s">
        <v>442</v>
      </c>
      <c r="F146" s="51" t="s">
        <v>529</v>
      </c>
      <c r="G146" s="51">
        <v>2020</v>
      </c>
      <c r="H146" s="51">
        <v>2021</v>
      </c>
      <c r="I146" s="51">
        <v>2022</v>
      </c>
      <c r="J146" s="51">
        <v>2023</v>
      </c>
      <c r="K146" s="51" t="s">
        <v>48</v>
      </c>
      <c r="L146" s="21"/>
    </row>
    <row r="147" spans="2:12" s="109" customFormat="1" ht="12.75">
      <c r="B147" s="288" t="s">
        <v>219</v>
      </c>
      <c r="C147" s="288"/>
      <c r="D147" s="288"/>
      <c r="E147" s="111">
        <f aca="true" t="shared" si="23" ref="E147:K147">E148+E153+E154</f>
        <v>271378625</v>
      </c>
      <c r="F147" s="111">
        <f t="shared" si="23"/>
        <v>0</v>
      </c>
      <c r="G147" s="111">
        <f t="shared" si="23"/>
        <v>0</v>
      </c>
      <c r="H147" s="111">
        <f t="shared" si="23"/>
        <v>0</v>
      </c>
      <c r="I147" s="111">
        <f t="shared" si="23"/>
        <v>0</v>
      </c>
      <c r="J147" s="111">
        <f t="shared" si="23"/>
        <v>0</v>
      </c>
      <c r="K147" s="111">
        <f t="shared" si="23"/>
        <v>271378625</v>
      </c>
      <c r="L147" s="105"/>
    </row>
    <row r="148" spans="2:12" s="109" customFormat="1" ht="12.75">
      <c r="B148" s="300" t="s">
        <v>220</v>
      </c>
      <c r="C148" s="300"/>
      <c r="D148" s="300"/>
      <c r="E148" s="20">
        <f aca="true" t="shared" si="24" ref="E148:J148">SUM(E149:E152)</f>
        <v>0</v>
      </c>
      <c r="F148" s="20">
        <f t="shared" si="24"/>
        <v>0</v>
      </c>
      <c r="G148" s="20">
        <f t="shared" si="24"/>
        <v>0</v>
      </c>
      <c r="H148" s="20">
        <f t="shared" si="24"/>
        <v>0</v>
      </c>
      <c r="I148" s="20">
        <f t="shared" si="24"/>
        <v>0</v>
      </c>
      <c r="J148" s="20">
        <f t="shared" si="24"/>
        <v>0</v>
      </c>
      <c r="K148" s="111">
        <f aca="true" t="shared" si="25" ref="K148:K154">SUM(E148:J148)</f>
        <v>0</v>
      </c>
      <c r="L148" s="105"/>
    </row>
    <row r="149" spans="2:12" s="109" customFormat="1" ht="12.75">
      <c r="B149" s="304" t="s">
        <v>221</v>
      </c>
      <c r="C149" s="304"/>
      <c r="D149" s="304"/>
      <c r="E149" s="18"/>
      <c r="F149" s="18"/>
      <c r="G149" s="18"/>
      <c r="H149" s="18"/>
      <c r="I149" s="18"/>
      <c r="J149" s="18"/>
      <c r="K149" s="112">
        <f t="shared" si="25"/>
        <v>0</v>
      </c>
      <c r="L149" s="21"/>
    </row>
    <row r="150" spans="2:12" s="109" customFormat="1" ht="12.75">
      <c r="B150" s="304" t="s">
        <v>222</v>
      </c>
      <c r="C150" s="304"/>
      <c r="D150" s="304"/>
      <c r="E150" s="18"/>
      <c r="F150" s="18"/>
      <c r="G150" s="18"/>
      <c r="H150" s="18"/>
      <c r="I150" s="18"/>
      <c r="J150" s="18"/>
      <c r="K150" s="112">
        <f t="shared" si="25"/>
        <v>0</v>
      </c>
      <c r="L150" s="21"/>
    </row>
    <row r="151" spans="2:12" s="109" customFormat="1" ht="12.75">
      <c r="B151" s="303" t="s">
        <v>330</v>
      </c>
      <c r="C151" s="303"/>
      <c r="D151" s="303"/>
      <c r="E151" s="18"/>
      <c r="F151" s="18"/>
      <c r="G151" s="18"/>
      <c r="H151" s="18"/>
      <c r="I151" s="18"/>
      <c r="J151" s="18"/>
      <c r="K151" s="112">
        <f t="shared" si="25"/>
        <v>0</v>
      </c>
      <c r="L151" s="21"/>
    </row>
    <row r="152" spans="2:12" s="109" customFormat="1" ht="12.75">
      <c r="B152" s="303" t="s">
        <v>224</v>
      </c>
      <c r="C152" s="303"/>
      <c r="D152" s="303"/>
      <c r="E152" s="18"/>
      <c r="F152" s="18"/>
      <c r="G152" s="18"/>
      <c r="H152" s="18"/>
      <c r="I152" s="18"/>
      <c r="J152" s="18"/>
      <c r="K152" s="112">
        <f t="shared" si="25"/>
        <v>0</v>
      </c>
      <c r="L152" s="21"/>
    </row>
    <row r="153" spans="2:12" s="109" customFormat="1" ht="12.75">
      <c r="B153" s="305" t="s">
        <v>225</v>
      </c>
      <c r="C153" s="305"/>
      <c r="D153" s="305"/>
      <c r="E153" s="20">
        <v>271378625</v>
      </c>
      <c r="F153" s="20"/>
      <c r="G153" s="20"/>
      <c r="H153" s="20"/>
      <c r="I153" s="20"/>
      <c r="J153" s="20"/>
      <c r="K153" s="111">
        <f t="shared" si="25"/>
        <v>271378625</v>
      </c>
      <c r="L153" s="105"/>
    </row>
    <row r="154" spans="2:12" s="109" customFormat="1" ht="12.75">
      <c r="B154" s="305" t="s">
        <v>226</v>
      </c>
      <c r="C154" s="305"/>
      <c r="D154" s="305"/>
      <c r="E154" s="20"/>
      <c r="F154" s="18"/>
      <c r="G154" s="18"/>
      <c r="H154" s="18"/>
      <c r="I154" s="18"/>
      <c r="J154" s="18"/>
      <c r="K154" s="111">
        <f t="shared" si="25"/>
        <v>0</v>
      </c>
      <c r="L154" s="21"/>
    </row>
    <row r="155" spans="2:12" s="109" customFormat="1" ht="12.75">
      <c r="B155" s="300" t="s">
        <v>227</v>
      </c>
      <c r="C155" s="300"/>
      <c r="D155" s="300"/>
      <c r="E155" s="18"/>
      <c r="F155" s="20"/>
      <c r="G155" s="18"/>
      <c r="H155" s="18"/>
      <c r="I155" s="18"/>
      <c r="J155" s="18"/>
      <c r="K155" s="18"/>
      <c r="L155" s="21"/>
    </row>
    <row r="156" spans="2:12" s="109" customFormat="1" ht="12.75">
      <c r="B156" s="304" t="s">
        <v>220</v>
      </c>
      <c r="C156" s="304"/>
      <c r="D156" s="304"/>
      <c r="E156" s="18"/>
      <c r="F156" s="18"/>
      <c r="G156" s="18"/>
      <c r="H156" s="18"/>
      <c r="I156" s="18"/>
      <c r="J156" s="18"/>
      <c r="K156" s="18"/>
      <c r="L156" s="21"/>
    </row>
    <row r="157" spans="2:12" s="109" customFormat="1" ht="12.75">
      <c r="B157" s="304" t="s">
        <v>221</v>
      </c>
      <c r="C157" s="304"/>
      <c r="D157" s="304"/>
      <c r="E157" s="18"/>
      <c r="F157" s="18"/>
      <c r="G157" s="18"/>
      <c r="H157" s="18"/>
      <c r="I157" s="18"/>
      <c r="J157" s="18"/>
      <c r="K157" s="18"/>
      <c r="L157" s="21"/>
    </row>
    <row r="158" spans="2:12" s="109" customFormat="1" ht="12.75">
      <c r="B158" s="304" t="s">
        <v>228</v>
      </c>
      <c r="C158" s="304"/>
      <c r="D158" s="304"/>
      <c r="E158" s="18"/>
      <c r="F158" s="18"/>
      <c r="G158" s="18"/>
      <c r="H158" s="18"/>
      <c r="I158" s="18"/>
      <c r="J158" s="18"/>
      <c r="K158" s="18"/>
      <c r="L158" s="21"/>
    </row>
    <row r="159" spans="2:12" s="109" customFormat="1" ht="12.75">
      <c r="B159" s="303" t="s">
        <v>223</v>
      </c>
      <c r="C159" s="303"/>
      <c r="D159" s="303"/>
      <c r="E159" s="18"/>
      <c r="F159" s="18"/>
      <c r="G159" s="18"/>
      <c r="H159" s="18"/>
      <c r="I159" s="18"/>
      <c r="J159" s="18"/>
      <c r="K159" s="18"/>
      <c r="L159" s="21"/>
    </row>
    <row r="160" spans="2:12" s="109" customFormat="1" ht="12.75">
      <c r="B160" s="303" t="s">
        <v>224</v>
      </c>
      <c r="C160" s="303"/>
      <c r="D160" s="303"/>
      <c r="E160" s="18"/>
      <c r="F160" s="18"/>
      <c r="G160" s="18"/>
      <c r="H160" s="18"/>
      <c r="I160" s="18"/>
      <c r="J160" s="18"/>
      <c r="K160" s="18"/>
      <c r="L160" s="21"/>
    </row>
    <row r="161" spans="2:12" s="109" customFormat="1" ht="12.75">
      <c r="B161" s="303"/>
      <c r="C161" s="303"/>
      <c r="D161" s="303"/>
      <c r="E161" s="18"/>
      <c r="F161" s="18"/>
      <c r="G161" s="18"/>
      <c r="H161" s="18"/>
      <c r="I161" s="18"/>
      <c r="J161" s="18"/>
      <c r="K161" s="18"/>
      <c r="L161" s="21"/>
    </row>
    <row r="162" spans="2:12" s="109" customFormat="1" ht="12.75">
      <c r="B162" s="300" t="s">
        <v>229</v>
      </c>
      <c r="C162" s="300"/>
      <c r="D162" s="300"/>
      <c r="E162" s="20">
        <f aca="true" t="shared" si="26" ref="E162:K162">E147+E155</f>
        <v>271378625</v>
      </c>
      <c r="F162" s="20">
        <f t="shared" si="26"/>
        <v>0</v>
      </c>
      <c r="G162" s="20">
        <f t="shared" si="26"/>
        <v>0</v>
      </c>
      <c r="H162" s="20">
        <f t="shared" si="26"/>
        <v>0</v>
      </c>
      <c r="I162" s="20">
        <f t="shared" si="26"/>
        <v>0</v>
      </c>
      <c r="J162" s="20">
        <f t="shared" si="26"/>
        <v>0</v>
      </c>
      <c r="K162" s="20">
        <f t="shared" si="26"/>
        <v>271378625</v>
      </c>
      <c r="L162" s="21"/>
    </row>
    <row r="163" spans="2:12" s="109" customFormat="1" ht="12.75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</row>
    <row r="164" spans="2:12" s="109" customFormat="1" ht="12.75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  <row r="165" spans="2:12" s="109" customFormat="1" ht="38.25">
      <c r="B165" s="287" t="s">
        <v>230</v>
      </c>
      <c r="C165" s="287"/>
      <c r="D165" s="287"/>
      <c r="E165" s="49" t="s">
        <v>449</v>
      </c>
      <c r="F165" s="51" t="s">
        <v>529</v>
      </c>
      <c r="G165" s="51">
        <v>2020</v>
      </c>
      <c r="H165" s="51">
        <v>2021</v>
      </c>
      <c r="I165" s="51">
        <v>2022</v>
      </c>
      <c r="J165" s="51">
        <v>2023</v>
      </c>
      <c r="K165" s="51" t="s">
        <v>48</v>
      </c>
      <c r="L165" s="21"/>
    </row>
    <row r="166" spans="2:12" s="109" customFormat="1" ht="12.75">
      <c r="B166" s="300" t="s">
        <v>231</v>
      </c>
      <c r="C166" s="300"/>
      <c r="D166" s="300"/>
      <c r="E166" s="20">
        <f aca="true" t="shared" si="27" ref="E166:K166">E167</f>
        <v>0</v>
      </c>
      <c r="F166" s="20"/>
      <c r="G166" s="20">
        <f>G167</f>
        <v>271378625</v>
      </c>
      <c r="H166" s="20">
        <f>H167</f>
        <v>0</v>
      </c>
      <c r="I166" s="20">
        <f t="shared" si="27"/>
        <v>0</v>
      </c>
      <c r="J166" s="20">
        <f t="shared" si="27"/>
        <v>0</v>
      </c>
      <c r="K166" s="20">
        <f t="shared" si="27"/>
        <v>271378625</v>
      </c>
      <c r="L166" s="105"/>
    </row>
    <row r="167" spans="2:12" s="109" customFormat="1" ht="12.75">
      <c r="B167" s="304" t="s">
        <v>232</v>
      </c>
      <c r="C167" s="304"/>
      <c r="D167" s="304"/>
      <c r="E167" s="18"/>
      <c r="G167" s="18">
        <v>271378625</v>
      </c>
      <c r="H167" s="18"/>
      <c r="I167" s="18"/>
      <c r="J167" s="18"/>
      <c r="K167" s="20">
        <f>SUM(E167:J167)</f>
        <v>271378625</v>
      </c>
      <c r="L167" s="21"/>
    </row>
    <row r="168" spans="2:12" s="109" customFormat="1" ht="12.75">
      <c r="B168" s="303"/>
      <c r="C168" s="303"/>
      <c r="D168" s="303"/>
      <c r="E168" s="18"/>
      <c r="F168" s="18"/>
      <c r="G168" s="18"/>
      <c r="H168" s="18"/>
      <c r="I168" s="18"/>
      <c r="J168" s="18"/>
      <c r="K168" s="18">
        <f>SUM(E168:J168)</f>
        <v>0</v>
      </c>
      <c r="L168" s="21"/>
    </row>
    <row r="169" spans="2:12" s="109" customFormat="1" ht="12.75">
      <c r="B169" s="303"/>
      <c r="C169" s="303"/>
      <c r="D169" s="303"/>
      <c r="E169" s="18"/>
      <c r="F169" s="18"/>
      <c r="G169" s="18"/>
      <c r="H169" s="18"/>
      <c r="I169" s="18"/>
      <c r="J169" s="18"/>
      <c r="K169" s="18"/>
      <c r="L169" s="21"/>
    </row>
    <row r="170" spans="2:12" s="109" customFormat="1" ht="12.75">
      <c r="B170" s="113" t="s">
        <v>233</v>
      </c>
      <c r="C170" s="113"/>
      <c r="D170" s="113"/>
      <c r="E170" s="20"/>
      <c r="F170" s="20"/>
      <c r="G170" s="20"/>
      <c r="H170" s="20"/>
      <c r="I170" s="20"/>
      <c r="J170" s="20"/>
      <c r="K170" s="20"/>
      <c r="L170" s="105"/>
    </row>
    <row r="171" spans="2:12" s="109" customFormat="1" ht="12.75">
      <c r="B171" s="304" t="s">
        <v>385</v>
      </c>
      <c r="C171" s="304"/>
      <c r="D171" s="304"/>
      <c r="E171" s="18"/>
      <c r="F171" s="18"/>
      <c r="G171" s="18"/>
      <c r="H171" s="18"/>
      <c r="I171" s="18"/>
      <c r="J171" s="18"/>
      <c r="K171" s="18"/>
      <c r="L171" s="21"/>
    </row>
    <row r="172" spans="2:12" s="109" customFormat="1" ht="12.75">
      <c r="B172" s="300" t="s">
        <v>234</v>
      </c>
      <c r="C172" s="300"/>
      <c r="D172" s="300"/>
      <c r="E172" s="20">
        <f aca="true" t="shared" si="28" ref="E172:K172">E166+E170</f>
        <v>0</v>
      </c>
      <c r="F172" s="20">
        <f t="shared" si="28"/>
        <v>0</v>
      </c>
      <c r="G172" s="20">
        <f t="shared" si="28"/>
        <v>271378625</v>
      </c>
      <c r="H172" s="20">
        <f t="shared" si="28"/>
        <v>0</v>
      </c>
      <c r="I172" s="20">
        <f t="shared" si="28"/>
        <v>0</v>
      </c>
      <c r="J172" s="20">
        <f t="shared" si="28"/>
        <v>0</v>
      </c>
      <c r="K172" s="20">
        <f t="shared" si="28"/>
        <v>271378625</v>
      </c>
      <c r="L172" s="117">
        <v>0.45454545454545453</v>
      </c>
    </row>
    <row r="173" spans="2:12" ht="12.75">
      <c r="B173" s="34"/>
      <c r="C173" s="33"/>
      <c r="D173" s="33"/>
      <c r="E173" s="35"/>
      <c r="F173" s="35"/>
      <c r="G173" s="35"/>
      <c r="H173" s="35"/>
      <c r="I173" s="35"/>
      <c r="J173" s="35"/>
      <c r="K173" s="35"/>
      <c r="L173" s="42"/>
    </row>
    <row r="174" spans="2:11" ht="12.75">
      <c r="B174" s="34"/>
      <c r="C174" s="33"/>
      <c r="D174" s="33"/>
      <c r="E174" s="35"/>
      <c r="F174" s="35"/>
      <c r="G174" s="35"/>
      <c r="H174" s="35"/>
      <c r="I174" s="35"/>
      <c r="J174" s="35"/>
      <c r="K174" s="35"/>
    </row>
    <row r="175" s="109" customFormat="1" ht="12.75"/>
    <row r="176" spans="2:12" s="109" customFormat="1" ht="12.75">
      <c r="B176" s="301" t="s">
        <v>533</v>
      </c>
      <c r="C176" s="301"/>
      <c r="D176" s="301"/>
      <c r="E176" s="301"/>
      <c r="F176" s="301"/>
      <c r="G176" s="301"/>
      <c r="H176" s="301"/>
      <c r="I176" s="301"/>
      <c r="J176" s="301"/>
      <c r="K176" s="301"/>
      <c r="L176" s="301"/>
    </row>
    <row r="177" spans="2:12" s="109" customFormat="1" ht="12.75">
      <c r="B177" s="306" t="s">
        <v>534</v>
      </c>
      <c r="C177" s="306"/>
      <c r="D177" s="306"/>
      <c r="E177" s="306"/>
      <c r="F177" s="306"/>
      <c r="G177" s="306"/>
      <c r="H177" s="306"/>
      <c r="I177" s="306"/>
      <c r="J177" s="306"/>
      <c r="K177" s="306"/>
      <c r="L177" s="306"/>
    </row>
    <row r="178" spans="2:12" s="109" customFormat="1" ht="12.75">
      <c r="B178" s="21"/>
      <c r="C178" s="21"/>
      <c r="D178" s="21"/>
      <c r="E178" s="21"/>
      <c r="F178" s="21"/>
      <c r="G178" s="21"/>
      <c r="H178" s="21"/>
      <c r="I178" s="21"/>
      <c r="J178" s="21"/>
      <c r="K178" s="55" t="s">
        <v>394</v>
      </c>
      <c r="L178" s="21"/>
    </row>
    <row r="179" spans="2:12" s="109" customFormat="1" ht="38.25">
      <c r="B179" s="288" t="s">
        <v>218</v>
      </c>
      <c r="C179" s="288"/>
      <c r="D179" s="288"/>
      <c r="E179" s="49" t="s">
        <v>442</v>
      </c>
      <c r="F179" s="51" t="s">
        <v>529</v>
      </c>
      <c r="G179" s="51">
        <v>2020</v>
      </c>
      <c r="H179" s="51">
        <v>2021</v>
      </c>
      <c r="I179" s="51">
        <v>2022</v>
      </c>
      <c r="J179" s="51">
        <v>2023</v>
      </c>
      <c r="K179" s="51" t="s">
        <v>48</v>
      </c>
      <c r="L179" s="21"/>
    </row>
    <row r="180" spans="2:12" s="109" customFormat="1" ht="12.75">
      <c r="B180" s="288" t="s">
        <v>219</v>
      </c>
      <c r="C180" s="288"/>
      <c r="D180" s="288"/>
      <c r="E180" s="111">
        <f aca="true" t="shared" si="29" ref="E180:K180">E181+E186+E187</f>
        <v>0</v>
      </c>
      <c r="F180" s="111">
        <f t="shared" si="29"/>
        <v>127000000</v>
      </c>
      <c r="G180" s="111">
        <f t="shared" si="29"/>
        <v>0</v>
      </c>
      <c r="H180" s="111">
        <f t="shared" si="29"/>
        <v>0</v>
      </c>
      <c r="I180" s="111">
        <f t="shared" si="29"/>
        <v>0</v>
      </c>
      <c r="J180" s="111">
        <f t="shared" si="29"/>
        <v>0</v>
      </c>
      <c r="K180" s="111">
        <f t="shared" si="29"/>
        <v>127000000</v>
      </c>
      <c r="L180" s="105"/>
    </row>
    <row r="181" spans="2:12" s="109" customFormat="1" ht="12.75">
      <c r="B181" s="300" t="s">
        <v>220</v>
      </c>
      <c r="C181" s="300"/>
      <c r="D181" s="300"/>
      <c r="E181" s="20">
        <f aca="true" t="shared" si="30" ref="E181:J181">SUM(E182:E185)</f>
        <v>0</v>
      </c>
      <c r="F181" s="20">
        <f t="shared" si="30"/>
        <v>0</v>
      </c>
      <c r="G181" s="20">
        <f t="shared" si="30"/>
        <v>0</v>
      </c>
      <c r="H181" s="20">
        <f t="shared" si="30"/>
        <v>0</v>
      </c>
      <c r="I181" s="20">
        <f t="shared" si="30"/>
        <v>0</v>
      </c>
      <c r="J181" s="20">
        <f t="shared" si="30"/>
        <v>0</v>
      </c>
      <c r="K181" s="111">
        <f aca="true" t="shared" si="31" ref="K181:K187">SUM(E181:J181)</f>
        <v>0</v>
      </c>
      <c r="L181" s="105"/>
    </row>
    <row r="182" spans="2:12" s="109" customFormat="1" ht="12.75">
      <c r="B182" s="304" t="s">
        <v>221</v>
      </c>
      <c r="C182" s="304"/>
      <c r="D182" s="304"/>
      <c r="E182" s="18"/>
      <c r="F182" s="18"/>
      <c r="G182" s="18"/>
      <c r="H182" s="18"/>
      <c r="I182" s="18"/>
      <c r="J182" s="18"/>
      <c r="K182" s="112">
        <f t="shared" si="31"/>
        <v>0</v>
      </c>
      <c r="L182" s="21"/>
    </row>
    <row r="183" spans="2:12" s="109" customFormat="1" ht="12.75">
      <c r="B183" s="304" t="s">
        <v>222</v>
      </c>
      <c r="C183" s="304"/>
      <c r="D183" s="304"/>
      <c r="E183" s="18"/>
      <c r="F183" s="18"/>
      <c r="G183" s="18"/>
      <c r="H183" s="18"/>
      <c r="I183" s="18"/>
      <c r="J183" s="18"/>
      <c r="K183" s="112">
        <f t="shared" si="31"/>
        <v>0</v>
      </c>
      <c r="L183" s="21"/>
    </row>
    <row r="184" spans="2:12" s="109" customFormat="1" ht="12.75">
      <c r="B184" s="303" t="s">
        <v>330</v>
      </c>
      <c r="C184" s="303"/>
      <c r="D184" s="303"/>
      <c r="E184" s="18"/>
      <c r="F184" s="18"/>
      <c r="G184" s="18"/>
      <c r="H184" s="18"/>
      <c r="I184" s="18"/>
      <c r="J184" s="18"/>
      <c r="K184" s="112">
        <f t="shared" si="31"/>
        <v>0</v>
      </c>
      <c r="L184" s="21"/>
    </row>
    <row r="185" spans="2:12" s="109" customFormat="1" ht="12.75">
      <c r="B185" s="303" t="s">
        <v>224</v>
      </c>
      <c r="C185" s="303"/>
      <c r="D185" s="303"/>
      <c r="E185" s="18"/>
      <c r="F185" s="18"/>
      <c r="G185" s="18"/>
      <c r="H185" s="18"/>
      <c r="I185" s="18"/>
      <c r="J185" s="18"/>
      <c r="K185" s="112">
        <f t="shared" si="31"/>
        <v>0</v>
      </c>
      <c r="L185" s="21"/>
    </row>
    <row r="186" spans="2:12" s="109" customFormat="1" ht="12.75">
      <c r="B186" s="305" t="s">
        <v>225</v>
      </c>
      <c r="C186" s="305"/>
      <c r="D186" s="305"/>
      <c r="E186" s="20"/>
      <c r="F186" s="20">
        <v>127000000</v>
      </c>
      <c r="G186" s="20"/>
      <c r="H186" s="20"/>
      <c r="I186" s="20"/>
      <c r="J186" s="20"/>
      <c r="K186" s="111">
        <f t="shared" si="31"/>
        <v>127000000</v>
      </c>
      <c r="L186" s="105"/>
    </row>
    <row r="187" spans="2:12" s="109" customFormat="1" ht="12.75">
      <c r="B187" s="305" t="s">
        <v>226</v>
      </c>
      <c r="C187" s="305"/>
      <c r="D187" s="305"/>
      <c r="E187" s="20"/>
      <c r="F187" s="18"/>
      <c r="G187" s="18"/>
      <c r="H187" s="18"/>
      <c r="I187" s="18"/>
      <c r="J187" s="18"/>
      <c r="K187" s="111">
        <f t="shared" si="31"/>
        <v>0</v>
      </c>
      <c r="L187" s="21"/>
    </row>
    <row r="188" spans="2:12" s="109" customFormat="1" ht="12.75">
      <c r="B188" s="300" t="s">
        <v>227</v>
      </c>
      <c r="C188" s="300"/>
      <c r="D188" s="300"/>
      <c r="E188" s="18"/>
      <c r="F188" s="20"/>
      <c r="G188" s="18"/>
      <c r="H188" s="18"/>
      <c r="I188" s="18"/>
      <c r="J188" s="18"/>
      <c r="K188" s="18"/>
      <c r="L188" s="21"/>
    </row>
    <row r="189" spans="2:12" s="109" customFormat="1" ht="12.75">
      <c r="B189" s="304" t="s">
        <v>220</v>
      </c>
      <c r="C189" s="304"/>
      <c r="D189" s="304"/>
      <c r="E189" s="18"/>
      <c r="F189" s="18"/>
      <c r="G189" s="18"/>
      <c r="H189" s="18"/>
      <c r="I189" s="18"/>
      <c r="J189" s="18"/>
      <c r="K189" s="18"/>
      <c r="L189" s="21"/>
    </row>
    <row r="190" spans="2:12" s="109" customFormat="1" ht="12.75">
      <c r="B190" s="304" t="s">
        <v>221</v>
      </c>
      <c r="C190" s="304"/>
      <c r="D190" s="304"/>
      <c r="E190" s="18"/>
      <c r="F190" s="18"/>
      <c r="G190" s="18"/>
      <c r="H190" s="18"/>
      <c r="I190" s="18"/>
      <c r="J190" s="18"/>
      <c r="K190" s="18"/>
      <c r="L190" s="21"/>
    </row>
    <row r="191" spans="2:12" s="109" customFormat="1" ht="12.75">
      <c r="B191" s="304" t="s">
        <v>228</v>
      </c>
      <c r="C191" s="304"/>
      <c r="D191" s="304"/>
      <c r="E191" s="18"/>
      <c r="F191" s="18"/>
      <c r="G191" s="18"/>
      <c r="H191" s="18"/>
      <c r="I191" s="18"/>
      <c r="J191" s="18"/>
      <c r="K191" s="18"/>
      <c r="L191" s="21"/>
    </row>
    <row r="192" spans="2:12" s="109" customFormat="1" ht="12.75">
      <c r="B192" s="303" t="s">
        <v>223</v>
      </c>
      <c r="C192" s="303"/>
      <c r="D192" s="303"/>
      <c r="E192" s="18"/>
      <c r="F192" s="18"/>
      <c r="G192" s="18"/>
      <c r="H192" s="18"/>
      <c r="I192" s="18"/>
      <c r="J192" s="18"/>
      <c r="K192" s="18"/>
      <c r="L192" s="21"/>
    </row>
    <row r="193" spans="2:12" s="109" customFormat="1" ht="12.75">
      <c r="B193" s="303" t="s">
        <v>224</v>
      </c>
      <c r="C193" s="303"/>
      <c r="D193" s="303"/>
      <c r="E193" s="18"/>
      <c r="F193" s="18"/>
      <c r="G193" s="18"/>
      <c r="H193" s="18"/>
      <c r="I193" s="18"/>
      <c r="J193" s="18"/>
      <c r="K193" s="18"/>
      <c r="L193" s="21"/>
    </row>
    <row r="194" spans="2:12" s="109" customFormat="1" ht="12.75">
      <c r="B194" s="303"/>
      <c r="C194" s="303"/>
      <c r="D194" s="303"/>
      <c r="E194" s="18"/>
      <c r="F194" s="18"/>
      <c r="G194" s="18"/>
      <c r="H194" s="18"/>
      <c r="I194" s="18"/>
      <c r="J194" s="18"/>
      <c r="K194" s="18"/>
      <c r="L194" s="21"/>
    </row>
    <row r="195" spans="2:12" s="109" customFormat="1" ht="12.75">
      <c r="B195" s="300" t="s">
        <v>229</v>
      </c>
      <c r="C195" s="300"/>
      <c r="D195" s="300"/>
      <c r="E195" s="20">
        <f aca="true" t="shared" si="32" ref="E195:K195">E180+E188</f>
        <v>0</v>
      </c>
      <c r="F195" s="20">
        <f t="shared" si="32"/>
        <v>127000000</v>
      </c>
      <c r="G195" s="20">
        <f t="shared" si="32"/>
        <v>0</v>
      </c>
      <c r="H195" s="20">
        <f t="shared" si="32"/>
        <v>0</v>
      </c>
      <c r="I195" s="20">
        <f t="shared" si="32"/>
        <v>0</v>
      </c>
      <c r="J195" s="20">
        <f t="shared" si="32"/>
        <v>0</v>
      </c>
      <c r="K195" s="20">
        <f t="shared" si="32"/>
        <v>127000000</v>
      </c>
      <c r="L195" s="21"/>
    </row>
    <row r="196" spans="2:12" s="109" customFormat="1" ht="12.75"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</row>
    <row r="197" spans="2:12" s="109" customFormat="1" ht="12.75"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</row>
    <row r="198" spans="2:12" s="109" customFormat="1" ht="38.25">
      <c r="B198" s="287" t="s">
        <v>230</v>
      </c>
      <c r="C198" s="287"/>
      <c r="D198" s="287"/>
      <c r="E198" s="49" t="s">
        <v>449</v>
      </c>
      <c r="F198" s="51" t="s">
        <v>529</v>
      </c>
      <c r="G198" s="51">
        <v>2020</v>
      </c>
      <c r="H198" s="51">
        <v>2021</v>
      </c>
      <c r="I198" s="51">
        <v>2022</v>
      </c>
      <c r="J198" s="51">
        <v>2023</v>
      </c>
      <c r="K198" s="51" t="s">
        <v>48</v>
      </c>
      <c r="L198" s="21"/>
    </row>
    <row r="199" spans="2:12" s="109" customFormat="1" ht="12.75">
      <c r="B199" s="300" t="s">
        <v>231</v>
      </c>
      <c r="C199" s="300"/>
      <c r="D199" s="300"/>
      <c r="E199" s="20">
        <f aca="true" t="shared" si="33" ref="E199:K199">E200</f>
        <v>0</v>
      </c>
      <c r="F199" s="20">
        <f>F200</f>
        <v>127000000</v>
      </c>
      <c r="G199" s="20">
        <f>G200</f>
        <v>0</v>
      </c>
      <c r="H199" s="20">
        <f>H200</f>
        <v>0</v>
      </c>
      <c r="I199" s="20">
        <f t="shared" si="33"/>
        <v>0</v>
      </c>
      <c r="J199" s="20">
        <f t="shared" si="33"/>
        <v>0</v>
      </c>
      <c r="K199" s="20">
        <f t="shared" si="33"/>
        <v>127000000</v>
      </c>
      <c r="L199" s="105"/>
    </row>
    <row r="200" spans="2:12" s="109" customFormat="1" ht="12.75">
      <c r="B200" s="304" t="s">
        <v>232</v>
      </c>
      <c r="C200" s="304"/>
      <c r="D200" s="304"/>
      <c r="E200" s="18"/>
      <c r="F200" s="18">
        <v>127000000</v>
      </c>
      <c r="G200" s="18"/>
      <c r="H200" s="18"/>
      <c r="I200" s="18"/>
      <c r="J200" s="18"/>
      <c r="K200" s="20">
        <f>SUM(E200:J200)</f>
        <v>127000000</v>
      </c>
      <c r="L200" s="21"/>
    </row>
    <row r="201" spans="2:12" s="109" customFormat="1" ht="12.75">
      <c r="B201" s="303"/>
      <c r="C201" s="303"/>
      <c r="D201" s="303"/>
      <c r="E201" s="18"/>
      <c r="F201" s="18"/>
      <c r="G201" s="18"/>
      <c r="H201" s="18"/>
      <c r="I201" s="18"/>
      <c r="J201" s="18"/>
      <c r="K201" s="18">
        <f>SUM(E201:J201)</f>
        <v>0</v>
      </c>
      <c r="L201" s="21"/>
    </row>
    <row r="202" spans="2:12" s="109" customFormat="1" ht="12.75">
      <c r="B202" s="303"/>
      <c r="C202" s="303"/>
      <c r="D202" s="303"/>
      <c r="E202" s="18"/>
      <c r="F202" s="18"/>
      <c r="G202" s="18"/>
      <c r="H202" s="18"/>
      <c r="I202" s="18"/>
      <c r="J202" s="18"/>
      <c r="K202" s="18"/>
      <c r="L202" s="21"/>
    </row>
    <row r="203" spans="2:12" s="109" customFormat="1" ht="12.75">
      <c r="B203" s="113" t="s">
        <v>233</v>
      </c>
      <c r="C203" s="113"/>
      <c r="D203" s="113"/>
      <c r="E203" s="20"/>
      <c r="F203" s="20"/>
      <c r="G203" s="20"/>
      <c r="H203" s="20"/>
      <c r="I203" s="20"/>
      <c r="J203" s="20"/>
      <c r="K203" s="20"/>
      <c r="L203" s="105"/>
    </row>
    <row r="204" spans="2:12" s="109" customFormat="1" ht="12.75">
      <c r="B204" s="304" t="s">
        <v>385</v>
      </c>
      <c r="C204" s="304"/>
      <c r="D204" s="304"/>
      <c r="E204" s="18"/>
      <c r="F204" s="18"/>
      <c r="G204" s="18"/>
      <c r="H204" s="18"/>
      <c r="I204" s="18"/>
      <c r="J204" s="18"/>
      <c r="K204" s="18"/>
      <c r="L204" s="21"/>
    </row>
    <row r="205" spans="2:12" s="109" customFormat="1" ht="12.75">
      <c r="B205" s="300" t="s">
        <v>234</v>
      </c>
      <c r="C205" s="300"/>
      <c r="D205" s="300"/>
      <c r="E205" s="20">
        <f aca="true" t="shared" si="34" ref="E205:K205">E199+E203</f>
        <v>0</v>
      </c>
      <c r="F205" s="20">
        <f t="shared" si="34"/>
        <v>127000000</v>
      </c>
      <c r="G205" s="20">
        <f t="shared" si="34"/>
        <v>0</v>
      </c>
      <c r="H205" s="20">
        <f t="shared" si="34"/>
        <v>0</v>
      </c>
      <c r="I205" s="20">
        <f t="shared" si="34"/>
        <v>0</v>
      </c>
      <c r="J205" s="20">
        <f t="shared" si="34"/>
        <v>0</v>
      </c>
      <c r="K205" s="20">
        <f t="shared" si="34"/>
        <v>127000000</v>
      </c>
      <c r="L205" s="117">
        <v>0.5454545454545454</v>
      </c>
    </row>
    <row r="206" spans="2:12" s="109" customFormat="1" ht="12.75">
      <c r="B206" s="34"/>
      <c r="C206" s="33"/>
      <c r="D206" s="33"/>
      <c r="E206" s="35"/>
      <c r="F206" s="35"/>
      <c r="G206" s="35"/>
      <c r="H206" s="35"/>
      <c r="I206" s="35"/>
      <c r="J206" s="35"/>
      <c r="K206" s="35"/>
      <c r="L206" s="42"/>
    </row>
    <row r="207" spans="2:12" s="109" customFormat="1" ht="12.75">
      <c r="B207" s="110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</row>
    <row r="208" spans="2:12" s="109" customFormat="1" ht="12.75"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</row>
    <row r="209" spans="2:12" s="109" customFormat="1" ht="12.75">
      <c r="B209" s="301" t="s">
        <v>406</v>
      </c>
      <c r="C209" s="301"/>
      <c r="D209" s="301"/>
      <c r="E209" s="301"/>
      <c r="F209" s="301"/>
      <c r="G209" s="301"/>
      <c r="H209" s="301"/>
      <c r="I209" s="301"/>
      <c r="J209" s="301"/>
      <c r="K209" s="301"/>
      <c r="L209" s="301"/>
    </row>
    <row r="210" spans="2:12" s="109" customFormat="1" ht="12.75">
      <c r="B210" s="306" t="s">
        <v>407</v>
      </c>
      <c r="C210" s="306"/>
      <c r="D210" s="306"/>
      <c r="E210" s="306"/>
      <c r="F210" s="306"/>
      <c r="G210" s="306"/>
      <c r="H210" s="306"/>
      <c r="I210" s="306"/>
      <c r="J210" s="306"/>
      <c r="K210" s="306"/>
      <c r="L210" s="306"/>
    </row>
    <row r="211" spans="2:12" s="109" customFormat="1" ht="12.75">
      <c r="B211" s="21"/>
      <c r="C211" s="21"/>
      <c r="D211" s="21"/>
      <c r="E211" s="21"/>
      <c r="F211" s="21"/>
      <c r="G211" s="21"/>
      <c r="H211" s="21"/>
      <c r="I211" s="21"/>
      <c r="J211" s="21"/>
      <c r="K211" s="55" t="s">
        <v>394</v>
      </c>
      <c r="L211" s="21"/>
    </row>
    <row r="212" spans="2:12" s="109" customFormat="1" ht="38.25">
      <c r="B212" s="319" t="s">
        <v>218</v>
      </c>
      <c r="C212" s="320"/>
      <c r="D212" s="321"/>
      <c r="E212" s="49" t="s">
        <v>392</v>
      </c>
      <c r="F212" s="51">
        <v>2018</v>
      </c>
      <c r="G212" s="51">
        <v>2019</v>
      </c>
      <c r="H212" s="51">
        <v>2020</v>
      </c>
      <c r="I212" s="51">
        <v>2021</v>
      </c>
      <c r="J212" s="51">
        <v>2022</v>
      </c>
      <c r="K212" s="51" t="s">
        <v>48</v>
      </c>
      <c r="L212" s="21"/>
    </row>
    <row r="213" spans="2:12" s="109" customFormat="1" ht="12.75">
      <c r="B213" s="319" t="s">
        <v>219</v>
      </c>
      <c r="C213" s="320"/>
      <c r="D213" s="321"/>
      <c r="E213" s="111">
        <f aca="true" t="shared" si="35" ref="E213:K213">E214+E219+E220</f>
        <v>0</v>
      </c>
      <c r="F213" s="111">
        <f t="shared" si="35"/>
        <v>27739026</v>
      </c>
      <c r="G213" s="111">
        <v>8188581</v>
      </c>
      <c r="H213" s="111">
        <f t="shared" si="35"/>
        <v>18101169</v>
      </c>
      <c r="I213" s="111">
        <f t="shared" si="35"/>
        <v>13841876</v>
      </c>
      <c r="J213" s="111">
        <f t="shared" si="35"/>
        <v>0</v>
      </c>
      <c r="K213" s="111">
        <f t="shared" si="35"/>
        <v>67870652</v>
      </c>
      <c r="L213" s="105"/>
    </row>
    <row r="214" spans="2:12" s="109" customFormat="1" ht="12.75">
      <c r="B214" s="310" t="s">
        <v>220</v>
      </c>
      <c r="C214" s="311"/>
      <c r="D214" s="312"/>
      <c r="E214" s="20">
        <f aca="true" t="shared" si="36" ref="E214:J214">SUM(E215:E218)</f>
        <v>0</v>
      </c>
      <c r="F214" s="20">
        <f t="shared" si="36"/>
        <v>0</v>
      </c>
      <c r="G214" s="20">
        <f t="shared" si="36"/>
        <v>0</v>
      </c>
      <c r="H214" s="20">
        <f t="shared" si="36"/>
        <v>0</v>
      </c>
      <c r="I214" s="20">
        <f t="shared" si="36"/>
        <v>0</v>
      </c>
      <c r="J214" s="20">
        <f t="shared" si="36"/>
        <v>0</v>
      </c>
      <c r="K214" s="111">
        <f aca="true" t="shared" si="37" ref="K214:K220">SUM(E214:J214)</f>
        <v>0</v>
      </c>
      <c r="L214" s="105"/>
    </row>
    <row r="215" spans="2:12" s="109" customFormat="1" ht="12.75">
      <c r="B215" s="313" t="s">
        <v>221</v>
      </c>
      <c r="C215" s="314"/>
      <c r="D215" s="315"/>
      <c r="E215" s="18"/>
      <c r="F215" s="18"/>
      <c r="G215" s="18"/>
      <c r="H215" s="18"/>
      <c r="I215" s="18"/>
      <c r="J215" s="18"/>
      <c r="K215" s="112">
        <f t="shared" si="37"/>
        <v>0</v>
      </c>
      <c r="L215" s="21"/>
    </row>
    <row r="216" spans="2:12" s="109" customFormat="1" ht="12.75">
      <c r="B216" s="313" t="s">
        <v>222</v>
      </c>
      <c r="C216" s="314"/>
      <c r="D216" s="315"/>
      <c r="E216" s="18"/>
      <c r="F216" s="18"/>
      <c r="G216" s="18"/>
      <c r="H216" s="18"/>
      <c r="I216" s="18"/>
      <c r="J216" s="18"/>
      <c r="K216" s="112">
        <f t="shared" si="37"/>
        <v>0</v>
      </c>
      <c r="L216" s="21"/>
    </row>
    <row r="217" spans="2:12" s="109" customFormat="1" ht="12.75">
      <c r="B217" s="316" t="s">
        <v>330</v>
      </c>
      <c r="C217" s="317"/>
      <c r="D217" s="318"/>
      <c r="E217" s="18"/>
      <c r="F217" s="18"/>
      <c r="G217" s="18"/>
      <c r="H217" s="18"/>
      <c r="I217" s="18"/>
      <c r="J217" s="18"/>
      <c r="K217" s="112">
        <f t="shared" si="37"/>
        <v>0</v>
      </c>
      <c r="L217" s="21"/>
    </row>
    <row r="218" spans="2:12" s="109" customFormat="1" ht="12.75">
      <c r="B218" s="316" t="s">
        <v>224</v>
      </c>
      <c r="C218" s="317"/>
      <c r="D218" s="318"/>
      <c r="E218" s="18"/>
      <c r="F218" s="18"/>
      <c r="G218" s="18"/>
      <c r="H218" s="18"/>
      <c r="I218" s="18"/>
      <c r="J218" s="18"/>
      <c r="K218" s="112">
        <f t="shared" si="37"/>
        <v>0</v>
      </c>
      <c r="L218" s="21"/>
    </row>
    <row r="219" spans="2:12" s="109" customFormat="1" ht="12.75">
      <c r="B219" s="307" t="s">
        <v>225</v>
      </c>
      <c r="C219" s="308"/>
      <c r="D219" s="309"/>
      <c r="E219" s="20"/>
      <c r="F219" s="20">
        <v>27739026</v>
      </c>
      <c r="G219" s="20">
        <v>8188581</v>
      </c>
      <c r="H219" s="20">
        <v>18101169</v>
      </c>
      <c r="I219" s="20">
        <v>13841876</v>
      </c>
      <c r="J219" s="20"/>
      <c r="K219" s="111">
        <f t="shared" si="37"/>
        <v>67870652</v>
      </c>
      <c r="L219" s="105"/>
    </row>
    <row r="220" spans="2:12" s="109" customFormat="1" ht="12.75">
      <c r="B220" s="307" t="s">
        <v>226</v>
      </c>
      <c r="C220" s="308"/>
      <c r="D220" s="309"/>
      <c r="E220" s="20"/>
      <c r="F220" s="18"/>
      <c r="G220" s="18"/>
      <c r="H220" s="18"/>
      <c r="I220" s="18"/>
      <c r="J220" s="18"/>
      <c r="K220" s="111">
        <f t="shared" si="37"/>
        <v>0</v>
      </c>
      <c r="L220" s="21"/>
    </row>
    <row r="221" spans="2:12" s="109" customFormat="1" ht="12.75">
      <c r="B221" s="300" t="s">
        <v>227</v>
      </c>
      <c r="C221" s="300"/>
      <c r="D221" s="300"/>
      <c r="E221" s="18"/>
      <c r="F221" s="20"/>
      <c r="G221" s="18"/>
      <c r="H221" s="18"/>
      <c r="I221" s="18"/>
      <c r="J221" s="18"/>
      <c r="K221" s="18"/>
      <c r="L221" s="21"/>
    </row>
    <row r="222" spans="2:12" s="109" customFormat="1" ht="12.75">
      <c r="B222" s="304" t="s">
        <v>220</v>
      </c>
      <c r="C222" s="304"/>
      <c r="D222" s="304"/>
      <c r="E222" s="18"/>
      <c r="F222" s="18"/>
      <c r="G222" s="18"/>
      <c r="H222" s="18"/>
      <c r="I222" s="18"/>
      <c r="J222" s="18"/>
      <c r="K222" s="18"/>
      <c r="L222" s="21"/>
    </row>
    <row r="223" spans="2:12" s="109" customFormat="1" ht="12.75">
      <c r="B223" s="304" t="s">
        <v>221</v>
      </c>
      <c r="C223" s="304"/>
      <c r="D223" s="304"/>
      <c r="E223" s="18"/>
      <c r="F223" s="18"/>
      <c r="G223" s="18"/>
      <c r="H223" s="18"/>
      <c r="I223" s="18"/>
      <c r="J223" s="18"/>
      <c r="K223" s="18"/>
      <c r="L223" s="21"/>
    </row>
    <row r="224" spans="2:12" s="109" customFormat="1" ht="12.75">
      <c r="B224" s="304" t="s">
        <v>228</v>
      </c>
      <c r="C224" s="304"/>
      <c r="D224" s="304"/>
      <c r="E224" s="18"/>
      <c r="F224" s="18"/>
      <c r="G224" s="18"/>
      <c r="H224" s="18"/>
      <c r="I224" s="18"/>
      <c r="J224" s="18"/>
      <c r="K224" s="18"/>
      <c r="L224" s="21"/>
    </row>
    <row r="225" spans="2:12" s="109" customFormat="1" ht="12.75">
      <c r="B225" s="303" t="s">
        <v>223</v>
      </c>
      <c r="C225" s="303"/>
      <c r="D225" s="303"/>
      <c r="E225" s="18"/>
      <c r="F225" s="18"/>
      <c r="G225" s="18"/>
      <c r="H225" s="18"/>
      <c r="I225" s="18"/>
      <c r="J225" s="18"/>
      <c r="K225" s="18"/>
      <c r="L225" s="21"/>
    </row>
    <row r="226" spans="2:12" s="109" customFormat="1" ht="12.75">
      <c r="B226" s="303" t="s">
        <v>224</v>
      </c>
      <c r="C226" s="303"/>
      <c r="D226" s="303"/>
      <c r="E226" s="18"/>
      <c r="F226" s="18"/>
      <c r="G226" s="18"/>
      <c r="H226" s="18"/>
      <c r="I226" s="18"/>
      <c r="J226" s="18"/>
      <c r="K226" s="18"/>
      <c r="L226" s="21"/>
    </row>
    <row r="227" spans="2:12" s="109" customFormat="1" ht="12.75">
      <c r="B227" s="303"/>
      <c r="C227" s="303"/>
      <c r="D227" s="303"/>
      <c r="E227" s="18"/>
      <c r="F227" s="18"/>
      <c r="G227" s="18"/>
      <c r="H227" s="18"/>
      <c r="I227" s="18"/>
      <c r="J227" s="18"/>
      <c r="K227" s="18"/>
      <c r="L227" s="21"/>
    </row>
    <row r="228" spans="2:12" s="109" customFormat="1" ht="12.75">
      <c r="B228" s="300" t="s">
        <v>229</v>
      </c>
      <c r="C228" s="300"/>
      <c r="D228" s="300"/>
      <c r="E228" s="20">
        <f aca="true" t="shared" si="38" ref="E228:K228">E213+E221</f>
        <v>0</v>
      </c>
      <c r="F228" s="20">
        <f t="shared" si="38"/>
        <v>27739026</v>
      </c>
      <c r="G228" s="20">
        <f t="shared" si="38"/>
        <v>8188581</v>
      </c>
      <c r="H228" s="20">
        <f t="shared" si="38"/>
        <v>18101169</v>
      </c>
      <c r="I228" s="20">
        <f t="shared" si="38"/>
        <v>13841876</v>
      </c>
      <c r="J228" s="20">
        <f t="shared" si="38"/>
        <v>0</v>
      </c>
      <c r="K228" s="20">
        <f t="shared" si="38"/>
        <v>67870652</v>
      </c>
      <c r="L228" s="21"/>
    </row>
    <row r="229" spans="2:12" s="109" customFormat="1" ht="12.75"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</row>
    <row r="230" spans="2:12" s="109" customFormat="1" ht="12.75"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</row>
    <row r="231" spans="2:12" s="109" customFormat="1" ht="38.25">
      <c r="B231" s="287" t="s">
        <v>230</v>
      </c>
      <c r="C231" s="287"/>
      <c r="D231" s="287"/>
      <c r="E231" s="49" t="s">
        <v>393</v>
      </c>
      <c r="F231" s="51" t="s">
        <v>531</v>
      </c>
      <c r="G231" s="51" t="s">
        <v>529</v>
      </c>
      <c r="H231" s="51">
        <v>2020</v>
      </c>
      <c r="I231" s="51">
        <v>2021</v>
      </c>
      <c r="J231" s="51">
        <v>2022</v>
      </c>
      <c r="K231" s="51" t="s">
        <v>48</v>
      </c>
      <c r="L231" s="21"/>
    </row>
    <row r="232" spans="2:12" s="109" customFormat="1" ht="12.75">
      <c r="B232" s="300" t="s">
        <v>231</v>
      </c>
      <c r="C232" s="300"/>
      <c r="D232" s="300"/>
      <c r="E232" s="20">
        <f aca="true" t="shared" si="39" ref="E232:K232">E233</f>
        <v>2400000</v>
      </c>
      <c r="F232" s="20">
        <f t="shared" si="39"/>
        <v>11042739</v>
      </c>
      <c r="G232" s="20">
        <f t="shared" si="39"/>
        <v>8781556</v>
      </c>
      <c r="H232" s="20">
        <f t="shared" si="39"/>
        <v>26804741</v>
      </c>
      <c r="I232" s="20">
        <f t="shared" si="39"/>
        <v>13841876</v>
      </c>
      <c r="J232" s="20">
        <f t="shared" si="39"/>
        <v>0</v>
      </c>
      <c r="K232" s="20">
        <f t="shared" si="39"/>
        <v>62870912</v>
      </c>
      <c r="L232" s="105"/>
    </row>
    <row r="233" spans="2:12" s="109" customFormat="1" ht="12.75">
      <c r="B233" s="304" t="s">
        <v>232</v>
      </c>
      <c r="C233" s="304"/>
      <c r="D233" s="304"/>
      <c r="E233" s="18">
        <v>2400000</v>
      </c>
      <c r="F233" s="18">
        <v>11042739</v>
      </c>
      <c r="G233" s="18">
        <f>8703572+78029-45</f>
        <v>8781556</v>
      </c>
      <c r="H233" s="18">
        <v>26804741</v>
      </c>
      <c r="I233" s="18">
        <v>13841876</v>
      </c>
      <c r="J233" s="18"/>
      <c r="K233" s="20">
        <f>SUM(E233:J233)</f>
        <v>62870912</v>
      </c>
      <c r="L233" s="21"/>
    </row>
    <row r="234" spans="2:12" s="109" customFormat="1" ht="12.75">
      <c r="B234" s="303"/>
      <c r="C234" s="303"/>
      <c r="D234" s="303"/>
      <c r="E234" s="18"/>
      <c r="F234" s="18"/>
      <c r="G234" s="18"/>
      <c r="H234" s="18"/>
      <c r="I234" s="18"/>
      <c r="J234" s="18"/>
      <c r="K234" s="18">
        <f>SUM(E234:J234)</f>
        <v>0</v>
      </c>
      <c r="L234" s="21"/>
    </row>
    <row r="235" spans="2:12" s="109" customFormat="1" ht="12.75">
      <c r="B235" s="303"/>
      <c r="C235" s="303"/>
      <c r="D235" s="303"/>
      <c r="E235" s="18"/>
      <c r="F235" s="18"/>
      <c r="G235" s="18"/>
      <c r="H235" s="18"/>
      <c r="I235" s="18"/>
      <c r="J235" s="18"/>
      <c r="K235" s="18"/>
      <c r="L235" s="21"/>
    </row>
    <row r="236" spans="2:12" s="109" customFormat="1" ht="12.75">
      <c r="B236" s="113" t="s">
        <v>233</v>
      </c>
      <c r="C236" s="113"/>
      <c r="D236" s="113"/>
      <c r="E236" s="20"/>
      <c r="F236" s="20"/>
      <c r="G236" s="20"/>
      <c r="H236" s="20"/>
      <c r="I236" s="20"/>
      <c r="J236" s="20"/>
      <c r="K236" s="20"/>
      <c r="L236" s="105"/>
    </row>
    <row r="237" spans="2:12" s="109" customFormat="1" ht="12.75">
      <c r="B237" s="304" t="s">
        <v>385</v>
      </c>
      <c r="C237" s="304"/>
      <c r="D237" s="304"/>
      <c r="E237" s="18"/>
      <c r="F237" s="18"/>
      <c r="G237" s="18"/>
      <c r="H237" s="18"/>
      <c r="I237" s="18"/>
      <c r="J237" s="18"/>
      <c r="K237" s="18"/>
      <c r="L237" s="21"/>
    </row>
    <row r="238" spans="2:12" s="109" customFormat="1" ht="12.75">
      <c r="B238" s="300" t="s">
        <v>234</v>
      </c>
      <c r="C238" s="300"/>
      <c r="D238" s="300"/>
      <c r="E238" s="20">
        <f>E232+E236</f>
        <v>2400000</v>
      </c>
      <c r="F238" s="20">
        <f aca="true" t="shared" si="40" ref="F238:K238">F232+F236</f>
        <v>11042739</v>
      </c>
      <c r="G238" s="20">
        <f t="shared" si="40"/>
        <v>8781556</v>
      </c>
      <c r="H238" s="20">
        <f t="shared" si="40"/>
        <v>26804741</v>
      </c>
      <c r="I238" s="20">
        <f t="shared" si="40"/>
        <v>13841876</v>
      </c>
      <c r="J238" s="20">
        <f t="shared" si="40"/>
        <v>0</v>
      </c>
      <c r="K238" s="20">
        <f t="shared" si="40"/>
        <v>62870912</v>
      </c>
      <c r="L238" s="21"/>
    </row>
    <row r="239" s="109" customFormat="1" ht="12.75">
      <c r="L239" s="117">
        <v>0.6363636363636364</v>
      </c>
    </row>
    <row r="240" s="109" customFormat="1" ht="10.5" customHeight="1"/>
    <row r="241" s="109" customFormat="1" ht="12.75">
      <c r="L241" s="115"/>
    </row>
    <row r="242" spans="2:12" s="109" customFormat="1" ht="12.75">
      <c r="B242" s="301" t="s">
        <v>408</v>
      </c>
      <c r="C242" s="301"/>
      <c r="D242" s="301"/>
      <c r="E242" s="301"/>
      <c r="F242" s="301"/>
      <c r="G242" s="301"/>
      <c r="H242" s="301"/>
      <c r="I242" s="301"/>
      <c r="J242" s="301"/>
      <c r="K242" s="301"/>
      <c r="L242" s="301"/>
    </row>
    <row r="243" spans="2:12" s="109" customFormat="1" ht="12.75">
      <c r="B243" s="306" t="s">
        <v>409</v>
      </c>
      <c r="C243" s="306"/>
      <c r="D243" s="306"/>
      <c r="E243" s="306"/>
      <c r="F243" s="306"/>
      <c r="G243" s="306"/>
      <c r="H243" s="306"/>
      <c r="I243" s="306"/>
      <c r="J243" s="306"/>
      <c r="K243" s="306"/>
      <c r="L243" s="306"/>
    </row>
    <row r="244" spans="2:12" s="109" customFormat="1" ht="12.75">
      <c r="B244" s="21"/>
      <c r="C244" s="21"/>
      <c r="D244" s="21"/>
      <c r="E244" s="21"/>
      <c r="F244" s="21"/>
      <c r="G244" s="21"/>
      <c r="H244" s="21"/>
      <c r="I244" s="21"/>
      <c r="J244" s="21"/>
      <c r="K244" s="55" t="s">
        <v>394</v>
      </c>
      <c r="L244" s="21"/>
    </row>
    <row r="245" spans="2:12" s="109" customFormat="1" ht="25.5">
      <c r="B245" s="288" t="s">
        <v>218</v>
      </c>
      <c r="C245" s="288"/>
      <c r="D245" s="288"/>
      <c r="E245" s="49" t="s">
        <v>451</v>
      </c>
      <c r="F245" s="49" t="s">
        <v>445</v>
      </c>
      <c r="G245" s="51" t="s">
        <v>529</v>
      </c>
      <c r="H245" s="51">
        <v>2020</v>
      </c>
      <c r="I245" s="51">
        <v>2021</v>
      </c>
      <c r="J245" s="51">
        <v>2022</v>
      </c>
      <c r="K245" s="51" t="s">
        <v>48</v>
      </c>
      <c r="L245" s="21"/>
    </row>
    <row r="246" spans="2:12" s="109" customFormat="1" ht="12.75">
      <c r="B246" s="288" t="s">
        <v>219</v>
      </c>
      <c r="C246" s="288"/>
      <c r="D246" s="288"/>
      <c r="E246" s="111">
        <f>E247+E252+E253</f>
        <v>0</v>
      </c>
      <c r="F246" s="111">
        <v>7361114</v>
      </c>
      <c r="G246" s="111">
        <f>G247+G252+G253</f>
        <v>730961</v>
      </c>
      <c r="H246" s="111">
        <f>H247+H252+H253</f>
        <v>12914304</v>
      </c>
      <c r="I246" s="111">
        <f>I247+I252+I253</f>
        <v>0</v>
      </c>
      <c r="J246" s="111">
        <f>J247+J252+J253</f>
        <v>0</v>
      </c>
      <c r="K246" s="111">
        <f>K247+K252+K253</f>
        <v>18683343</v>
      </c>
      <c r="L246" s="105"/>
    </row>
    <row r="247" spans="2:12" s="109" customFormat="1" ht="12.75">
      <c r="B247" s="300" t="s">
        <v>220</v>
      </c>
      <c r="C247" s="300"/>
      <c r="D247" s="300"/>
      <c r="E247" s="20">
        <f aca="true" t="shared" si="41" ref="E247:J247">SUM(E248:E251)</f>
        <v>0</v>
      </c>
      <c r="F247" s="20">
        <f t="shared" si="41"/>
        <v>0</v>
      </c>
      <c r="G247" s="20">
        <f t="shared" si="41"/>
        <v>0</v>
      </c>
      <c r="H247" s="20">
        <f t="shared" si="41"/>
        <v>0</v>
      </c>
      <c r="I247" s="20">
        <f t="shared" si="41"/>
        <v>0</v>
      </c>
      <c r="J247" s="20">
        <f t="shared" si="41"/>
        <v>0</v>
      </c>
      <c r="K247" s="111">
        <f aca="true" t="shared" si="42" ref="K247:K253">SUM(E247:J247)</f>
        <v>0</v>
      </c>
      <c r="L247" s="105"/>
    </row>
    <row r="248" spans="2:12" s="109" customFormat="1" ht="12.75">
      <c r="B248" s="304" t="s">
        <v>221</v>
      </c>
      <c r="C248" s="304"/>
      <c r="D248" s="304"/>
      <c r="E248" s="18"/>
      <c r="F248" s="18"/>
      <c r="G248" s="18"/>
      <c r="H248" s="18"/>
      <c r="I248" s="18"/>
      <c r="J248" s="18"/>
      <c r="K248" s="112">
        <f t="shared" si="42"/>
        <v>0</v>
      </c>
      <c r="L248" s="21"/>
    </row>
    <row r="249" spans="2:12" s="109" customFormat="1" ht="12.75">
      <c r="B249" s="304" t="s">
        <v>222</v>
      </c>
      <c r="C249" s="304"/>
      <c r="D249" s="304"/>
      <c r="E249" s="18"/>
      <c r="F249" s="18"/>
      <c r="G249" s="18"/>
      <c r="H249" s="18"/>
      <c r="I249" s="18"/>
      <c r="J249" s="18"/>
      <c r="K249" s="112">
        <f t="shared" si="42"/>
        <v>0</v>
      </c>
      <c r="L249" s="21"/>
    </row>
    <row r="250" spans="2:12" s="109" customFormat="1" ht="12.75">
      <c r="B250" s="303" t="s">
        <v>330</v>
      </c>
      <c r="C250" s="303"/>
      <c r="D250" s="303"/>
      <c r="E250" s="18"/>
      <c r="F250" s="18"/>
      <c r="G250" s="18"/>
      <c r="H250" s="18"/>
      <c r="I250" s="18"/>
      <c r="J250" s="18"/>
      <c r="K250" s="112">
        <f t="shared" si="42"/>
        <v>0</v>
      </c>
      <c r="L250" s="21"/>
    </row>
    <row r="251" spans="2:12" s="109" customFormat="1" ht="12.75">
      <c r="B251" s="303" t="s">
        <v>224</v>
      </c>
      <c r="C251" s="303"/>
      <c r="D251" s="303"/>
      <c r="E251" s="18"/>
      <c r="F251" s="18"/>
      <c r="G251" s="18"/>
      <c r="H251" s="18"/>
      <c r="I251" s="18"/>
      <c r="J251" s="18"/>
      <c r="K251" s="112">
        <f t="shared" si="42"/>
        <v>0</v>
      </c>
      <c r="L251" s="21"/>
    </row>
    <row r="252" spans="2:12" s="109" customFormat="1" ht="12.75">
      <c r="B252" s="305" t="s">
        <v>225</v>
      </c>
      <c r="C252" s="305"/>
      <c r="D252" s="305"/>
      <c r="E252" s="20"/>
      <c r="F252" s="20">
        <f>6500000-1461922</f>
        <v>5038078</v>
      </c>
      <c r="G252" s="20">
        <v>730961</v>
      </c>
      <c r="H252" s="20">
        <v>12914304</v>
      </c>
      <c r="I252" s="20"/>
      <c r="J252" s="20"/>
      <c r="K252" s="111">
        <f t="shared" si="42"/>
        <v>18683343</v>
      </c>
      <c r="L252" s="105"/>
    </row>
    <row r="253" spans="2:12" s="109" customFormat="1" ht="12.75">
      <c r="B253" s="305" t="s">
        <v>226</v>
      </c>
      <c r="C253" s="305"/>
      <c r="D253" s="305"/>
      <c r="E253" s="20"/>
      <c r="F253" s="18"/>
      <c r="G253" s="18"/>
      <c r="H253" s="18"/>
      <c r="I253" s="18"/>
      <c r="J253" s="18"/>
      <c r="K253" s="111">
        <f t="shared" si="42"/>
        <v>0</v>
      </c>
      <c r="L253" s="21"/>
    </row>
    <row r="254" spans="2:12" s="109" customFormat="1" ht="12.75">
      <c r="B254" s="300" t="s">
        <v>227</v>
      </c>
      <c r="C254" s="300"/>
      <c r="D254" s="300"/>
      <c r="E254" s="18"/>
      <c r="F254" s="20"/>
      <c r="G254" s="18"/>
      <c r="H254" s="18"/>
      <c r="I254" s="18"/>
      <c r="J254" s="18"/>
      <c r="K254" s="18"/>
      <c r="L254" s="21"/>
    </row>
    <row r="255" spans="2:12" s="109" customFormat="1" ht="12.75">
      <c r="B255" s="304" t="s">
        <v>220</v>
      </c>
      <c r="C255" s="304"/>
      <c r="D255" s="304"/>
      <c r="E255" s="18"/>
      <c r="F255" s="18"/>
      <c r="G255" s="18"/>
      <c r="H255" s="18"/>
      <c r="I255" s="18"/>
      <c r="J255" s="18"/>
      <c r="K255" s="18"/>
      <c r="L255" s="21"/>
    </row>
    <row r="256" spans="2:12" s="109" customFormat="1" ht="12.75">
      <c r="B256" s="304" t="s">
        <v>221</v>
      </c>
      <c r="C256" s="304"/>
      <c r="D256" s="304"/>
      <c r="E256" s="18"/>
      <c r="F256" s="18"/>
      <c r="G256" s="18"/>
      <c r="H256" s="18"/>
      <c r="I256" s="18"/>
      <c r="J256" s="18"/>
      <c r="K256" s="18"/>
      <c r="L256" s="21"/>
    </row>
    <row r="257" spans="2:12" s="109" customFormat="1" ht="12.75">
      <c r="B257" s="304" t="s">
        <v>228</v>
      </c>
      <c r="C257" s="304"/>
      <c r="D257" s="304"/>
      <c r="E257" s="18"/>
      <c r="F257" s="18"/>
      <c r="G257" s="18"/>
      <c r="H257" s="18"/>
      <c r="I257" s="18"/>
      <c r="J257" s="18"/>
      <c r="K257" s="18"/>
      <c r="L257" s="21"/>
    </row>
    <row r="258" spans="2:12" s="109" customFormat="1" ht="12.75">
      <c r="B258" s="303" t="s">
        <v>223</v>
      </c>
      <c r="C258" s="303"/>
      <c r="D258" s="303"/>
      <c r="E258" s="18"/>
      <c r="F258" s="18"/>
      <c r="G258" s="18"/>
      <c r="H258" s="18"/>
      <c r="I258" s="18"/>
      <c r="J258" s="18"/>
      <c r="K258" s="18"/>
      <c r="L258" s="21"/>
    </row>
    <row r="259" spans="2:12" s="109" customFormat="1" ht="12.75">
      <c r="B259" s="303" t="s">
        <v>224</v>
      </c>
      <c r="C259" s="303"/>
      <c r="D259" s="303"/>
      <c r="E259" s="18"/>
      <c r="F259" s="18"/>
      <c r="G259" s="18"/>
      <c r="H259" s="18"/>
      <c r="I259" s="18"/>
      <c r="J259" s="18"/>
      <c r="K259" s="18"/>
      <c r="L259" s="21"/>
    </row>
    <row r="260" spans="2:12" s="109" customFormat="1" ht="12.75">
      <c r="B260" s="303"/>
      <c r="C260" s="303"/>
      <c r="D260" s="303"/>
      <c r="E260" s="18"/>
      <c r="F260" s="18"/>
      <c r="G260" s="18"/>
      <c r="H260" s="18"/>
      <c r="I260" s="18"/>
      <c r="J260" s="18"/>
      <c r="K260" s="18"/>
      <c r="L260" s="21"/>
    </row>
    <row r="261" spans="2:12" s="109" customFormat="1" ht="12.75">
      <c r="B261" s="300" t="s">
        <v>229</v>
      </c>
      <c r="C261" s="300"/>
      <c r="D261" s="300"/>
      <c r="E261" s="20">
        <f aca="true" t="shared" si="43" ref="E261:K261">E246+E254</f>
        <v>0</v>
      </c>
      <c r="F261" s="20">
        <f t="shared" si="43"/>
        <v>7361114</v>
      </c>
      <c r="G261" s="20">
        <f t="shared" si="43"/>
        <v>730961</v>
      </c>
      <c r="H261" s="20">
        <f t="shared" si="43"/>
        <v>12914304</v>
      </c>
      <c r="I261" s="20">
        <f t="shared" si="43"/>
        <v>0</v>
      </c>
      <c r="J261" s="20">
        <f t="shared" si="43"/>
        <v>0</v>
      </c>
      <c r="K261" s="20">
        <f t="shared" si="43"/>
        <v>18683343</v>
      </c>
      <c r="L261" s="21"/>
    </row>
    <row r="262" spans="2:12" s="109" customFormat="1" ht="12.75"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</row>
    <row r="263" spans="2:12" s="109" customFormat="1" ht="12.75" customHeight="1"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</row>
    <row r="264" spans="2:12" s="109" customFormat="1" ht="51.75" customHeight="1">
      <c r="B264" s="287" t="s">
        <v>230</v>
      </c>
      <c r="C264" s="287"/>
      <c r="D264" s="287"/>
      <c r="E264" s="49" t="s">
        <v>450</v>
      </c>
      <c r="F264" s="51" t="s">
        <v>531</v>
      </c>
      <c r="G264" s="51" t="s">
        <v>529</v>
      </c>
      <c r="H264" s="51">
        <v>2020</v>
      </c>
      <c r="I264" s="51">
        <v>2021</v>
      </c>
      <c r="J264" s="51">
        <v>2022</v>
      </c>
      <c r="K264" s="51" t="s">
        <v>48</v>
      </c>
      <c r="L264" s="21"/>
    </row>
    <row r="265" spans="2:12" s="109" customFormat="1" ht="21" customHeight="1">
      <c r="B265" s="300" t="s">
        <v>231</v>
      </c>
      <c r="C265" s="300"/>
      <c r="D265" s="300"/>
      <c r="E265" s="20">
        <f aca="true" t="shared" si="44" ref="E265:K265">E266</f>
        <v>400000</v>
      </c>
      <c r="F265" s="20">
        <f t="shared" si="44"/>
        <v>2349826</v>
      </c>
      <c r="G265" s="20">
        <f t="shared" si="44"/>
        <v>3019213</v>
      </c>
      <c r="H265" s="20">
        <f t="shared" si="44"/>
        <v>12914304</v>
      </c>
      <c r="I265" s="20">
        <f t="shared" si="44"/>
        <v>0</v>
      </c>
      <c r="J265" s="20">
        <f t="shared" si="44"/>
        <v>0</v>
      </c>
      <c r="K265" s="20">
        <f t="shared" si="44"/>
        <v>18683343</v>
      </c>
      <c r="L265" s="21"/>
    </row>
    <row r="266" spans="2:12" s="109" customFormat="1" ht="21" customHeight="1">
      <c r="B266" s="304" t="s">
        <v>232</v>
      </c>
      <c r="C266" s="304"/>
      <c r="D266" s="304"/>
      <c r="E266" s="18">
        <v>400000</v>
      </c>
      <c r="F266" s="18">
        <f>4349826-2000000</f>
        <v>2349826</v>
      </c>
      <c r="G266" s="18">
        <f>8272402-5253189</f>
        <v>3019213</v>
      </c>
      <c r="H266" s="18">
        <v>12914304</v>
      </c>
      <c r="I266" s="18"/>
      <c r="J266" s="18"/>
      <c r="K266" s="20">
        <f>SUM(E266:J266)</f>
        <v>18683343</v>
      </c>
      <c r="L266" s="21"/>
    </row>
    <row r="267" spans="2:12" s="109" customFormat="1" ht="12.75">
      <c r="B267" s="303"/>
      <c r="C267" s="303"/>
      <c r="D267" s="303"/>
      <c r="E267" s="18"/>
      <c r="F267" s="18"/>
      <c r="G267" s="18"/>
      <c r="H267" s="18"/>
      <c r="I267" s="18"/>
      <c r="J267" s="18"/>
      <c r="K267" s="18">
        <f>SUM(E267:J267)</f>
        <v>0</v>
      </c>
      <c r="L267" s="21"/>
    </row>
    <row r="268" spans="2:12" s="109" customFormat="1" ht="12.75">
      <c r="B268" s="303"/>
      <c r="C268" s="303"/>
      <c r="D268" s="303"/>
      <c r="E268" s="18"/>
      <c r="F268" s="18"/>
      <c r="G268" s="18"/>
      <c r="H268" s="18"/>
      <c r="I268" s="18"/>
      <c r="J268" s="18"/>
      <c r="K268" s="18"/>
      <c r="L268" s="105"/>
    </row>
    <row r="269" spans="2:12" s="109" customFormat="1" ht="12.75">
      <c r="B269" s="113" t="s">
        <v>233</v>
      </c>
      <c r="C269" s="113"/>
      <c r="D269" s="113"/>
      <c r="E269" s="20"/>
      <c r="F269" s="20"/>
      <c r="G269" s="20"/>
      <c r="H269" s="20"/>
      <c r="I269" s="20"/>
      <c r="J269" s="20"/>
      <c r="K269" s="20"/>
      <c r="L269" s="21"/>
    </row>
    <row r="270" spans="2:12" s="109" customFormat="1" ht="12.75">
      <c r="B270" s="304" t="s">
        <v>385</v>
      </c>
      <c r="C270" s="304"/>
      <c r="D270" s="304"/>
      <c r="E270" s="18"/>
      <c r="F270" s="18"/>
      <c r="G270" s="18"/>
      <c r="H270" s="18"/>
      <c r="I270" s="18"/>
      <c r="J270" s="18"/>
      <c r="K270" s="18"/>
      <c r="L270" s="21"/>
    </row>
    <row r="271" spans="2:12" s="109" customFormat="1" ht="12.75">
      <c r="B271" s="300" t="s">
        <v>234</v>
      </c>
      <c r="C271" s="300"/>
      <c r="D271" s="300"/>
      <c r="E271" s="20">
        <f>E265+E269</f>
        <v>400000</v>
      </c>
      <c r="F271" s="20">
        <f aca="true" t="shared" si="45" ref="F271:K271">F265+F269</f>
        <v>2349826</v>
      </c>
      <c r="G271" s="20">
        <f t="shared" si="45"/>
        <v>3019213</v>
      </c>
      <c r="H271" s="20">
        <f t="shared" si="45"/>
        <v>12914304</v>
      </c>
      <c r="I271" s="20">
        <f t="shared" si="45"/>
        <v>0</v>
      </c>
      <c r="J271" s="20">
        <f t="shared" si="45"/>
        <v>0</v>
      </c>
      <c r="K271" s="20">
        <f t="shared" si="45"/>
        <v>18683343</v>
      </c>
      <c r="L271" s="117">
        <v>0.7272727272727273</v>
      </c>
    </row>
    <row r="272" spans="2:12" s="109" customFormat="1" ht="12.75">
      <c r="B272" s="306"/>
      <c r="C272" s="306"/>
      <c r="D272" s="306"/>
      <c r="E272" s="116"/>
      <c r="F272" s="116"/>
      <c r="G272" s="116"/>
      <c r="H272" s="116"/>
      <c r="I272" s="116"/>
      <c r="J272" s="116"/>
      <c r="K272" s="116"/>
      <c r="L272" s="21"/>
    </row>
    <row r="273" s="109" customFormat="1" ht="12.75"/>
    <row r="274" spans="2:12" s="109" customFormat="1" ht="12.75">
      <c r="B274" s="301" t="s">
        <v>452</v>
      </c>
      <c r="C274" s="301"/>
      <c r="D274" s="301"/>
      <c r="E274" s="301"/>
      <c r="F274" s="301"/>
      <c r="G274" s="301"/>
      <c r="H274" s="301"/>
      <c r="I274" s="301"/>
      <c r="J274" s="301"/>
      <c r="K274" s="301"/>
      <c r="L274" s="301"/>
    </row>
    <row r="275" spans="2:12" s="109" customFormat="1" ht="12.75">
      <c r="B275" s="306" t="s">
        <v>453</v>
      </c>
      <c r="C275" s="306"/>
      <c r="D275" s="306"/>
      <c r="E275" s="306"/>
      <c r="F275" s="306"/>
      <c r="G275" s="306"/>
      <c r="H275" s="306"/>
      <c r="I275" s="306"/>
      <c r="J275" s="306"/>
      <c r="K275" s="306"/>
      <c r="L275" s="306"/>
    </row>
    <row r="276" spans="2:12" s="109" customFormat="1" ht="12.75">
      <c r="B276" s="21"/>
      <c r="C276" s="21"/>
      <c r="D276" s="21"/>
      <c r="E276" s="21"/>
      <c r="F276" s="21"/>
      <c r="G276" s="21"/>
      <c r="H276" s="21"/>
      <c r="I276" s="21"/>
      <c r="J276" s="21"/>
      <c r="K276" s="55" t="s">
        <v>394</v>
      </c>
      <c r="L276" s="21"/>
    </row>
    <row r="277" spans="2:12" s="109" customFormat="1" ht="38.25">
      <c r="B277" s="288" t="s">
        <v>218</v>
      </c>
      <c r="C277" s="288"/>
      <c r="D277" s="288"/>
      <c r="E277" s="49" t="s">
        <v>442</v>
      </c>
      <c r="F277" s="51" t="s">
        <v>529</v>
      </c>
      <c r="G277" s="51">
        <v>2020</v>
      </c>
      <c r="H277" s="51">
        <v>2021</v>
      </c>
      <c r="I277" s="51">
        <v>2022</v>
      </c>
      <c r="J277" s="51">
        <v>2023</v>
      </c>
      <c r="K277" s="51" t="s">
        <v>48</v>
      </c>
      <c r="L277" s="21"/>
    </row>
    <row r="278" spans="2:12" s="109" customFormat="1" ht="12.75">
      <c r="B278" s="288" t="s">
        <v>219</v>
      </c>
      <c r="C278" s="288"/>
      <c r="D278" s="288"/>
      <c r="E278" s="111">
        <v>9764880</v>
      </c>
      <c r="F278" s="111"/>
      <c r="G278" s="111">
        <f>G279+G284+G285</f>
        <v>0</v>
      </c>
      <c r="H278" s="111">
        <f>H279+H284+H285</f>
        <v>0</v>
      </c>
      <c r="I278" s="111">
        <f>I279+I284+I285</f>
        <v>0</v>
      </c>
      <c r="J278" s="111">
        <f>J279+J284+J285</f>
        <v>0</v>
      </c>
      <c r="K278" s="111">
        <f>K279+K284+K285</f>
        <v>9764880</v>
      </c>
      <c r="L278" s="105"/>
    </row>
    <row r="279" spans="2:12" s="109" customFormat="1" ht="12.75">
      <c r="B279" s="300" t="s">
        <v>220</v>
      </c>
      <c r="C279" s="300"/>
      <c r="D279" s="300"/>
      <c r="E279" s="20">
        <f aca="true" t="shared" si="46" ref="E279:J279">SUM(E280:E283)</f>
        <v>0</v>
      </c>
      <c r="F279" s="20">
        <f t="shared" si="46"/>
        <v>0</v>
      </c>
      <c r="G279" s="20">
        <f t="shared" si="46"/>
        <v>0</v>
      </c>
      <c r="H279" s="20">
        <f t="shared" si="46"/>
        <v>0</v>
      </c>
      <c r="I279" s="20">
        <f t="shared" si="46"/>
        <v>0</v>
      </c>
      <c r="J279" s="20">
        <f t="shared" si="46"/>
        <v>0</v>
      </c>
      <c r="K279" s="111">
        <f aca="true" t="shared" si="47" ref="K279:K285">SUM(E279:J279)</f>
        <v>0</v>
      </c>
      <c r="L279" s="105"/>
    </row>
    <row r="280" spans="2:12" s="109" customFormat="1" ht="12.75">
      <c r="B280" s="304" t="s">
        <v>221</v>
      </c>
      <c r="C280" s="304"/>
      <c r="D280" s="304"/>
      <c r="E280" s="18"/>
      <c r="F280" s="18"/>
      <c r="G280" s="18"/>
      <c r="H280" s="18"/>
      <c r="I280" s="18"/>
      <c r="J280" s="18"/>
      <c r="K280" s="112">
        <f t="shared" si="47"/>
        <v>0</v>
      </c>
      <c r="L280" s="21"/>
    </row>
    <row r="281" spans="2:12" s="109" customFormat="1" ht="12.75">
      <c r="B281" s="304" t="s">
        <v>222</v>
      </c>
      <c r="C281" s="304"/>
      <c r="D281" s="304"/>
      <c r="E281" s="18"/>
      <c r="F281" s="18"/>
      <c r="G281" s="18"/>
      <c r="H281" s="18"/>
      <c r="I281" s="18"/>
      <c r="J281" s="18"/>
      <c r="K281" s="112">
        <f t="shared" si="47"/>
        <v>0</v>
      </c>
      <c r="L281" s="21"/>
    </row>
    <row r="282" spans="2:12" s="109" customFormat="1" ht="12.75">
      <c r="B282" s="303" t="s">
        <v>330</v>
      </c>
      <c r="C282" s="303"/>
      <c r="D282" s="303"/>
      <c r="E282" s="18"/>
      <c r="F282" s="18"/>
      <c r="G282" s="18"/>
      <c r="H282" s="18"/>
      <c r="I282" s="18"/>
      <c r="J282" s="18"/>
      <c r="K282" s="112">
        <f t="shared" si="47"/>
        <v>0</v>
      </c>
      <c r="L282" s="21"/>
    </row>
    <row r="283" spans="2:12" s="109" customFormat="1" ht="12.75">
      <c r="B283" s="303" t="s">
        <v>224</v>
      </c>
      <c r="C283" s="303"/>
      <c r="D283" s="303"/>
      <c r="E283" s="18"/>
      <c r="F283" s="18"/>
      <c r="G283" s="18"/>
      <c r="H283" s="18"/>
      <c r="I283" s="18"/>
      <c r="J283" s="18"/>
      <c r="K283" s="112">
        <f t="shared" si="47"/>
        <v>0</v>
      </c>
      <c r="L283" s="21"/>
    </row>
    <row r="284" spans="2:12" s="109" customFormat="1" ht="12.75">
      <c r="B284" s="305" t="s">
        <v>225</v>
      </c>
      <c r="C284" s="305"/>
      <c r="D284" s="305"/>
      <c r="E284" s="20">
        <v>9764880</v>
      </c>
      <c r="F284" s="20"/>
      <c r="G284" s="20"/>
      <c r="H284" s="20"/>
      <c r="I284" s="20"/>
      <c r="J284" s="20"/>
      <c r="K284" s="111">
        <f t="shared" si="47"/>
        <v>9764880</v>
      </c>
      <c r="L284" s="105"/>
    </row>
    <row r="285" spans="2:12" s="109" customFormat="1" ht="12.75">
      <c r="B285" s="305" t="s">
        <v>226</v>
      </c>
      <c r="C285" s="305"/>
      <c r="D285" s="305"/>
      <c r="E285" s="20"/>
      <c r="F285" s="18"/>
      <c r="G285" s="18"/>
      <c r="H285" s="18"/>
      <c r="I285" s="18"/>
      <c r="J285" s="18"/>
      <c r="K285" s="111">
        <f t="shared" si="47"/>
        <v>0</v>
      </c>
      <c r="L285" s="21"/>
    </row>
    <row r="286" spans="2:12" s="109" customFormat="1" ht="12.75">
      <c r="B286" s="300" t="s">
        <v>227</v>
      </c>
      <c r="C286" s="300"/>
      <c r="D286" s="300"/>
      <c r="E286" s="18"/>
      <c r="F286" s="20"/>
      <c r="G286" s="18"/>
      <c r="H286" s="18"/>
      <c r="I286" s="18"/>
      <c r="J286" s="18"/>
      <c r="K286" s="18"/>
      <c r="L286" s="21"/>
    </row>
    <row r="287" spans="2:12" s="109" customFormat="1" ht="12.75">
      <c r="B287" s="304" t="s">
        <v>220</v>
      </c>
      <c r="C287" s="304"/>
      <c r="D287" s="304"/>
      <c r="E287" s="18"/>
      <c r="F287" s="18"/>
      <c r="G287" s="18"/>
      <c r="H287" s="18"/>
      <c r="I287" s="18"/>
      <c r="J287" s="18"/>
      <c r="K287" s="18"/>
      <c r="L287" s="21"/>
    </row>
    <row r="288" spans="2:12" s="109" customFormat="1" ht="12.75">
      <c r="B288" s="304" t="s">
        <v>221</v>
      </c>
      <c r="C288" s="304"/>
      <c r="D288" s="304"/>
      <c r="E288" s="18"/>
      <c r="F288" s="18"/>
      <c r="G288" s="18"/>
      <c r="H288" s="18"/>
      <c r="I288" s="18"/>
      <c r="J288" s="18"/>
      <c r="K288" s="18"/>
      <c r="L288" s="21"/>
    </row>
    <row r="289" spans="2:12" s="109" customFormat="1" ht="12.75">
      <c r="B289" s="304" t="s">
        <v>228</v>
      </c>
      <c r="C289" s="304"/>
      <c r="D289" s="304"/>
      <c r="E289" s="18"/>
      <c r="F289" s="18"/>
      <c r="G289" s="18"/>
      <c r="H289" s="18"/>
      <c r="I289" s="18"/>
      <c r="J289" s="18"/>
      <c r="K289" s="18"/>
      <c r="L289" s="21"/>
    </row>
    <row r="290" spans="2:12" s="109" customFormat="1" ht="12.75">
      <c r="B290" s="303" t="s">
        <v>223</v>
      </c>
      <c r="C290" s="303"/>
      <c r="D290" s="303"/>
      <c r="E290" s="18"/>
      <c r="F290" s="18"/>
      <c r="G290" s="18"/>
      <c r="H290" s="18"/>
      <c r="I290" s="18"/>
      <c r="J290" s="18"/>
      <c r="K290" s="18"/>
      <c r="L290" s="21"/>
    </row>
    <row r="291" spans="2:12" s="109" customFormat="1" ht="12.75">
      <c r="B291" s="303" t="s">
        <v>224</v>
      </c>
      <c r="C291" s="303"/>
      <c r="D291" s="303"/>
      <c r="E291" s="18"/>
      <c r="F291" s="18"/>
      <c r="G291" s="18"/>
      <c r="H291" s="18"/>
      <c r="I291" s="18"/>
      <c r="J291" s="18"/>
      <c r="K291" s="18"/>
      <c r="L291" s="21"/>
    </row>
    <row r="292" spans="2:12" s="109" customFormat="1" ht="12.75">
      <c r="B292" s="303"/>
      <c r="C292" s="303"/>
      <c r="D292" s="303"/>
      <c r="E292" s="18"/>
      <c r="F292" s="18"/>
      <c r="G292" s="18"/>
      <c r="H292" s="18"/>
      <c r="I292" s="18"/>
      <c r="J292" s="18"/>
      <c r="K292" s="18"/>
      <c r="L292" s="21"/>
    </row>
    <row r="293" spans="2:12" s="109" customFormat="1" ht="12.75">
      <c r="B293" s="300" t="s">
        <v>229</v>
      </c>
      <c r="C293" s="300"/>
      <c r="D293" s="300"/>
      <c r="E293" s="20">
        <f aca="true" t="shared" si="48" ref="E293:K293">E278+E286</f>
        <v>9764880</v>
      </c>
      <c r="F293" s="20">
        <f t="shared" si="48"/>
        <v>0</v>
      </c>
      <c r="G293" s="20">
        <f t="shared" si="48"/>
        <v>0</v>
      </c>
      <c r="H293" s="20">
        <f t="shared" si="48"/>
        <v>0</v>
      </c>
      <c r="I293" s="20">
        <f t="shared" si="48"/>
        <v>0</v>
      </c>
      <c r="J293" s="20">
        <f t="shared" si="48"/>
        <v>0</v>
      </c>
      <c r="K293" s="20">
        <f t="shared" si="48"/>
        <v>9764880</v>
      </c>
      <c r="L293" s="21"/>
    </row>
    <row r="294" spans="2:12" s="109" customFormat="1" ht="12.75"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</row>
    <row r="295" spans="2:12" s="109" customFormat="1" ht="38.25">
      <c r="B295" s="287" t="s">
        <v>230</v>
      </c>
      <c r="C295" s="287"/>
      <c r="D295" s="287"/>
      <c r="E295" s="49" t="s">
        <v>442</v>
      </c>
      <c r="F295" s="51" t="s">
        <v>529</v>
      </c>
      <c r="G295" s="51">
        <v>2020</v>
      </c>
      <c r="H295" s="51">
        <v>2021</v>
      </c>
      <c r="I295" s="51">
        <v>2022</v>
      </c>
      <c r="J295" s="51">
        <v>2023</v>
      </c>
      <c r="K295" s="51" t="s">
        <v>48</v>
      </c>
      <c r="L295" s="21"/>
    </row>
    <row r="296" spans="2:12" s="109" customFormat="1" ht="12.75">
      <c r="B296" s="300" t="s">
        <v>231</v>
      </c>
      <c r="C296" s="300"/>
      <c r="D296" s="300"/>
      <c r="E296" s="20">
        <f aca="true" t="shared" si="49" ref="E296:K296">E297</f>
        <v>1235605</v>
      </c>
      <c r="F296" s="20">
        <f t="shared" si="49"/>
        <v>2858476</v>
      </c>
      <c r="G296" s="20">
        <f t="shared" si="49"/>
        <v>2707746</v>
      </c>
      <c r="H296" s="20">
        <f t="shared" si="49"/>
        <v>2661184</v>
      </c>
      <c r="I296" s="20">
        <f t="shared" si="49"/>
        <v>301869</v>
      </c>
      <c r="J296" s="20">
        <f t="shared" si="49"/>
        <v>0</v>
      </c>
      <c r="K296" s="20">
        <f t="shared" si="49"/>
        <v>9764880</v>
      </c>
      <c r="L296" s="21"/>
    </row>
    <row r="297" spans="2:12" s="109" customFormat="1" ht="12.75">
      <c r="B297" s="304" t="s">
        <v>232</v>
      </c>
      <c r="C297" s="304"/>
      <c r="D297" s="304"/>
      <c r="E297" s="18">
        <v>1235605</v>
      </c>
      <c r="F297" s="18">
        <v>2858476</v>
      </c>
      <c r="G297" s="18">
        <v>2707746</v>
      </c>
      <c r="H297" s="18">
        <v>2661184</v>
      </c>
      <c r="I297" s="18">
        <v>301869</v>
      </c>
      <c r="J297" s="18"/>
      <c r="K297" s="20">
        <f>SUM(E297:J297)</f>
        <v>9764880</v>
      </c>
      <c r="L297" s="21"/>
    </row>
    <row r="298" spans="2:12" s="109" customFormat="1" ht="12.75">
      <c r="B298" s="303"/>
      <c r="C298" s="303"/>
      <c r="D298" s="303"/>
      <c r="E298" s="18"/>
      <c r="F298" s="18"/>
      <c r="G298" s="18"/>
      <c r="H298" s="18"/>
      <c r="I298" s="18"/>
      <c r="J298" s="18"/>
      <c r="K298" s="18">
        <f>SUM(E298:J298)</f>
        <v>0</v>
      </c>
      <c r="L298" s="21"/>
    </row>
    <row r="299" spans="2:12" s="109" customFormat="1" ht="12.75">
      <c r="B299" s="303"/>
      <c r="C299" s="303"/>
      <c r="D299" s="303"/>
      <c r="E299" s="18"/>
      <c r="F299" s="18"/>
      <c r="G299" s="18"/>
      <c r="H299" s="18"/>
      <c r="I299" s="18"/>
      <c r="J299" s="18"/>
      <c r="K299" s="18"/>
      <c r="L299" s="21"/>
    </row>
    <row r="300" spans="2:12" s="109" customFormat="1" ht="12.75">
      <c r="B300" s="113" t="s">
        <v>233</v>
      </c>
      <c r="C300" s="113"/>
      <c r="D300" s="113"/>
      <c r="E300" s="20"/>
      <c r="F300" s="20"/>
      <c r="G300" s="20"/>
      <c r="H300" s="20"/>
      <c r="I300" s="20"/>
      <c r="J300" s="20"/>
      <c r="K300" s="20"/>
      <c r="L300" s="21"/>
    </row>
    <row r="301" spans="2:12" s="109" customFormat="1" ht="12.75">
      <c r="B301" s="304" t="s">
        <v>385</v>
      </c>
      <c r="C301" s="304"/>
      <c r="D301" s="304"/>
      <c r="E301" s="18"/>
      <c r="F301" s="18"/>
      <c r="G301" s="18"/>
      <c r="H301" s="18"/>
      <c r="I301" s="18"/>
      <c r="J301" s="18"/>
      <c r="K301" s="18"/>
      <c r="L301" s="21"/>
    </row>
    <row r="302" spans="2:12" s="109" customFormat="1" ht="12.75">
      <c r="B302" s="300" t="s">
        <v>234</v>
      </c>
      <c r="C302" s="300"/>
      <c r="D302" s="300"/>
      <c r="E302" s="20">
        <f>E296+E300</f>
        <v>1235605</v>
      </c>
      <c r="F302" s="20">
        <f aca="true" t="shared" si="50" ref="F302:K302">F296+F300</f>
        <v>2858476</v>
      </c>
      <c r="G302" s="20">
        <f t="shared" si="50"/>
        <v>2707746</v>
      </c>
      <c r="H302" s="20">
        <f t="shared" si="50"/>
        <v>2661184</v>
      </c>
      <c r="I302" s="20">
        <f t="shared" si="50"/>
        <v>301869</v>
      </c>
      <c r="J302" s="20">
        <f t="shared" si="50"/>
        <v>0</v>
      </c>
      <c r="K302" s="20">
        <f t="shared" si="50"/>
        <v>9764880</v>
      </c>
      <c r="L302" s="117">
        <v>0.8181818181818182</v>
      </c>
    </row>
    <row r="303" spans="2:11" s="109" customFormat="1" ht="12.75">
      <c r="B303" s="301"/>
      <c r="C303" s="301"/>
      <c r="D303" s="301"/>
      <c r="E303" s="114"/>
      <c r="F303" s="114"/>
      <c r="G303" s="114"/>
      <c r="H303" s="114"/>
      <c r="I303" s="114"/>
      <c r="J303" s="114"/>
      <c r="K303" s="114"/>
    </row>
    <row r="304" s="109" customFormat="1" ht="12.75"/>
    <row r="305" spans="2:12" s="109" customFormat="1" ht="12.75">
      <c r="B305" s="301" t="s">
        <v>427</v>
      </c>
      <c r="C305" s="301"/>
      <c r="D305" s="301"/>
      <c r="E305" s="301"/>
      <c r="F305" s="301"/>
      <c r="G305" s="301"/>
      <c r="H305" s="301"/>
      <c r="I305" s="301"/>
      <c r="J305" s="301"/>
      <c r="K305" s="301"/>
      <c r="L305" s="301"/>
    </row>
    <row r="306" spans="2:12" s="109" customFormat="1" ht="12.75">
      <c r="B306" s="306" t="s">
        <v>454</v>
      </c>
      <c r="C306" s="306"/>
      <c r="D306" s="306"/>
      <c r="E306" s="306"/>
      <c r="F306" s="306"/>
      <c r="G306" s="306"/>
      <c r="H306" s="306"/>
      <c r="I306" s="306"/>
      <c r="J306" s="306"/>
      <c r="K306" s="306"/>
      <c r="L306" s="306"/>
    </row>
    <row r="307" spans="2:12" s="109" customFormat="1" ht="12.75">
      <c r="B307" s="21"/>
      <c r="C307" s="21"/>
      <c r="D307" s="21"/>
      <c r="E307" s="21"/>
      <c r="F307" s="21"/>
      <c r="G307" s="21"/>
      <c r="H307" s="21"/>
      <c r="I307" s="21"/>
      <c r="J307" s="21"/>
      <c r="K307" s="55" t="s">
        <v>394</v>
      </c>
      <c r="L307" s="21"/>
    </row>
    <row r="308" spans="2:12" s="109" customFormat="1" ht="38.25">
      <c r="B308" s="288" t="s">
        <v>218</v>
      </c>
      <c r="C308" s="288"/>
      <c r="D308" s="288"/>
      <c r="E308" s="49" t="s">
        <v>442</v>
      </c>
      <c r="F308" s="51" t="s">
        <v>529</v>
      </c>
      <c r="G308" s="51">
        <v>2020</v>
      </c>
      <c r="H308" s="51">
        <v>2021</v>
      </c>
      <c r="I308" s="51">
        <v>2022</v>
      </c>
      <c r="J308" s="51">
        <v>2023</v>
      </c>
      <c r="K308" s="51" t="s">
        <v>48</v>
      </c>
      <c r="L308" s="21"/>
    </row>
    <row r="309" spans="2:12" s="109" customFormat="1" ht="12.75">
      <c r="B309" s="288" t="s">
        <v>219</v>
      </c>
      <c r="C309" s="288"/>
      <c r="D309" s="288"/>
      <c r="E309" s="111">
        <v>47094716</v>
      </c>
      <c r="F309" s="111">
        <f>F316+F315+F310</f>
        <v>28000000</v>
      </c>
      <c r="G309" s="111">
        <f>G316+G315+G310</f>
        <v>28199186</v>
      </c>
      <c r="H309" s="111">
        <f>H316+H315+H310</f>
        <v>0</v>
      </c>
      <c r="I309" s="111">
        <f>I316+I315+I310</f>
        <v>0</v>
      </c>
      <c r="J309" s="111">
        <f>J316+J315+J310</f>
        <v>0</v>
      </c>
      <c r="K309" s="111">
        <f>SUM(E309:J309)</f>
        <v>103293902</v>
      </c>
      <c r="L309" s="105"/>
    </row>
    <row r="310" spans="2:12" s="109" customFormat="1" ht="12.75">
      <c r="B310" s="300" t="s">
        <v>220</v>
      </c>
      <c r="C310" s="300"/>
      <c r="D310" s="300"/>
      <c r="E310" s="20">
        <f aca="true" t="shared" si="51" ref="E310:J310">SUM(E311:E314)</f>
        <v>0</v>
      </c>
      <c r="F310" s="20">
        <f t="shared" si="51"/>
        <v>0</v>
      </c>
      <c r="G310" s="20">
        <f t="shared" si="51"/>
        <v>0</v>
      </c>
      <c r="H310" s="20">
        <f t="shared" si="51"/>
        <v>0</v>
      </c>
      <c r="I310" s="20">
        <f t="shared" si="51"/>
        <v>0</v>
      </c>
      <c r="J310" s="20">
        <f t="shared" si="51"/>
        <v>0</v>
      </c>
      <c r="K310" s="111">
        <f aca="true" t="shared" si="52" ref="K310:K324">SUM(E310:J310)</f>
        <v>0</v>
      </c>
      <c r="L310" s="105"/>
    </row>
    <row r="311" spans="2:12" s="109" customFormat="1" ht="12.75">
      <c r="B311" s="304" t="s">
        <v>221</v>
      </c>
      <c r="C311" s="304"/>
      <c r="D311" s="304"/>
      <c r="E311" s="18"/>
      <c r="F311" s="18"/>
      <c r="G311" s="18"/>
      <c r="H311" s="18"/>
      <c r="I311" s="18"/>
      <c r="J311" s="18"/>
      <c r="K311" s="111">
        <f t="shared" si="52"/>
        <v>0</v>
      </c>
      <c r="L311" s="21"/>
    </row>
    <row r="312" spans="2:12" s="109" customFormat="1" ht="12.75">
      <c r="B312" s="304" t="s">
        <v>222</v>
      </c>
      <c r="C312" s="304"/>
      <c r="D312" s="304"/>
      <c r="E312" s="18"/>
      <c r="F312" s="18"/>
      <c r="G312" s="18"/>
      <c r="H312" s="18"/>
      <c r="I312" s="18"/>
      <c r="J312" s="18"/>
      <c r="K312" s="111">
        <f t="shared" si="52"/>
        <v>0</v>
      </c>
      <c r="L312" s="21"/>
    </row>
    <row r="313" spans="2:12" s="109" customFormat="1" ht="12.75">
      <c r="B313" s="303" t="s">
        <v>330</v>
      </c>
      <c r="C313" s="303"/>
      <c r="D313" s="303"/>
      <c r="E313" s="18"/>
      <c r="F313" s="18"/>
      <c r="G313" s="18"/>
      <c r="H313" s="18"/>
      <c r="I313" s="18"/>
      <c r="J313" s="18"/>
      <c r="K313" s="111">
        <f t="shared" si="52"/>
        <v>0</v>
      </c>
      <c r="L313" s="21"/>
    </row>
    <row r="314" spans="2:12" s="109" customFormat="1" ht="12.75">
      <c r="B314" s="303" t="s">
        <v>224</v>
      </c>
      <c r="C314" s="303"/>
      <c r="D314" s="303"/>
      <c r="E314" s="18"/>
      <c r="F314" s="18"/>
      <c r="G314" s="18"/>
      <c r="H314" s="18"/>
      <c r="I314" s="18"/>
      <c r="J314" s="18"/>
      <c r="K314" s="111">
        <f t="shared" si="52"/>
        <v>0</v>
      </c>
      <c r="L314" s="21"/>
    </row>
    <row r="315" spans="2:12" s="109" customFormat="1" ht="12.75">
      <c r="B315" s="305" t="s">
        <v>225</v>
      </c>
      <c r="C315" s="305"/>
      <c r="D315" s="305"/>
      <c r="E315" s="20">
        <v>47094716</v>
      </c>
      <c r="F315" s="20">
        <v>28000000</v>
      </c>
      <c r="G315" s="20">
        <v>28199186</v>
      </c>
      <c r="H315" s="20"/>
      <c r="I315" s="20"/>
      <c r="J315" s="20"/>
      <c r="K315" s="111">
        <f t="shared" si="52"/>
        <v>103293902</v>
      </c>
      <c r="L315" s="105"/>
    </row>
    <row r="316" spans="2:12" s="109" customFormat="1" ht="12.75">
      <c r="B316" s="305" t="s">
        <v>226</v>
      </c>
      <c r="C316" s="305"/>
      <c r="D316" s="305"/>
      <c r="E316" s="20"/>
      <c r="F316" s="18"/>
      <c r="G316" s="18"/>
      <c r="H316" s="18"/>
      <c r="I316" s="18"/>
      <c r="J316" s="18"/>
      <c r="K316" s="111">
        <f t="shared" si="52"/>
        <v>0</v>
      </c>
      <c r="L316" s="21"/>
    </row>
    <row r="317" spans="2:12" s="109" customFormat="1" ht="12.75">
      <c r="B317" s="300" t="s">
        <v>227</v>
      </c>
      <c r="C317" s="300"/>
      <c r="D317" s="300"/>
      <c r="E317" s="18"/>
      <c r="F317" s="20"/>
      <c r="G317" s="18"/>
      <c r="H317" s="18"/>
      <c r="I317" s="18"/>
      <c r="J317" s="18"/>
      <c r="K317" s="111">
        <f t="shared" si="52"/>
        <v>0</v>
      </c>
      <c r="L317" s="21"/>
    </row>
    <row r="318" spans="2:12" s="109" customFormat="1" ht="12.75">
      <c r="B318" s="304" t="s">
        <v>220</v>
      </c>
      <c r="C318" s="304"/>
      <c r="D318" s="304"/>
      <c r="E318" s="18"/>
      <c r="F318" s="18"/>
      <c r="G318" s="18"/>
      <c r="H318" s="18"/>
      <c r="I318" s="18"/>
      <c r="J318" s="18"/>
      <c r="K318" s="111">
        <f t="shared" si="52"/>
        <v>0</v>
      </c>
      <c r="L318" s="21"/>
    </row>
    <row r="319" spans="2:12" s="109" customFormat="1" ht="12.75">
      <c r="B319" s="304" t="s">
        <v>221</v>
      </c>
      <c r="C319" s="304"/>
      <c r="D319" s="304"/>
      <c r="E319" s="18"/>
      <c r="F319" s="18"/>
      <c r="G319" s="18"/>
      <c r="H319" s="18"/>
      <c r="I319" s="18"/>
      <c r="J319" s="18"/>
      <c r="K319" s="111">
        <f t="shared" si="52"/>
        <v>0</v>
      </c>
      <c r="L319" s="21"/>
    </row>
    <row r="320" spans="2:12" s="109" customFormat="1" ht="12.75">
      <c r="B320" s="304" t="s">
        <v>228</v>
      </c>
      <c r="C320" s="304"/>
      <c r="D320" s="304"/>
      <c r="E320" s="18"/>
      <c r="F320" s="18"/>
      <c r="G320" s="18"/>
      <c r="H320" s="18"/>
      <c r="I320" s="18"/>
      <c r="J320" s="18"/>
      <c r="K320" s="111">
        <f t="shared" si="52"/>
        <v>0</v>
      </c>
      <c r="L320" s="21"/>
    </row>
    <row r="321" spans="2:12" s="109" customFormat="1" ht="12.75">
      <c r="B321" s="303" t="s">
        <v>223</v>
      </c>
      <c r="C321" s="303"/>
      <c r="D321" s="303"/>
      <c r="E321" s="18"/>
      <c r="F321" s="18"/>
      <c r="G321" s="18"/>
      <c r="H321" s="18"/>
      <c r="I321" s="18"/>
      <c r="J321" s="18"/>
      <c r="K321" s="111">
        <f t="shared" si="52"/>
        <v>0</v>
      </c>
      <c r="L321" s="21"/>
    </row>
    <row r="322" spans="2:12" s="109" customFormat="1" ht="12.75">
      <c r="B322" s="303" t="s">
        <v>224</v>
      </c>
      <c r="C322" s="303"/>
      <c r="D322" s="303"/>
      <c r="E322" s="18"/>
      <c r="F322" s="18"/>
      <c r="G322" s="18"/>
      <c r="H322" s="18"/>
      <c r="I322" s="18"/>
      <c r="J322" s="18"/>
      <c r="K322" s="111">
        <f t="shared" si="52"/>
        <v>0</v>
      </c>
      <c r="L322" s="21"/>
    </row>
    <row r="323" spans="2:12" s="109" customFormat="1" ht="12.75">
      <c r="B323" s="303"/>
      <c r="C323" s="303"/>
      <c r="D323" s="303"/>
      <c r="E323" s="18"/>
      <c r="F323" s="18"/>
      <c r="G323" s="18"/>
      <c r="H323" s="18"/>
      <c r="I323" s="18"/>
      <c r="J323" s="18"/>
      <c r="K323" s="111">
        <f t="shared" si="52"/>
        <v>0</v>
      </c>
      <c r="L323" s="21"/>
    </row>
    <row r="324" spans="2:12" s="109" customFormat="1" ht="12.75">
      <c r="B324" s="300" t="s">
        <v>229</v>
      </c>
      <c r="C324" s="300"/>
      <c r="D324" s="300"/>
      <c r="E324" s="20">
        <f>E315</f>
        <v>47094716</v>
      </c>
      <c r="F324" s="20">
        <f>F309+F317</f>
        <v>28000000</v>
      </c>
      <c r="G324" s="20">
        <f>G309+G317</f>
        <v>28199186</v>
      </c>
      <c r="H324" s="20">
        <f>H309+H317</f>
        <v>0</v>
      </c>
      <c r="I324" s="20">
        <f>I309+I317</f>
        <v>0</v>
      </c>
      <c r="J324" s="20">
        <f>J309+J317</f>
        <v>0</v>
      </c>
      <c r="K324" s="111">
        <f t="shared" si="52"/>
        <v>103293902</v>
      </c>
      <c r="L324" s="21"/>
    </row>
    <row r="325" spans="2:12" s="109" customFormat="1" ht="12.75"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</row>
    <row r="326" spans="2:12" s="109" customFormat="1" ht="38.25">
      <c r="B326" s="287" t="s">
        <v>230</v>
      </c>
      <c r="C326" s="287"/>
      <c r="D326" s="287"/>
      <c r="E326" s="49" t="s">
        <v>442</v>
      </c>
      <c r="F326" s="51">
        <v>2019</v>
      </c>
      <c r="G326" s="51">
        <v>2020</v>
      </c>
      <c r="H326" s="51">
        <v>2021</v>
      </c>
      <c r="I326" s="51">
        <v>2022</v>
      </c>
      <c r="J326" s="51">
        <v>2023</v>
      </c>
      <c r="K326" s="51" t="s">
        <v>48</v>
      </c>
      <c r="L326" s="21"/>
    </row>
    <row r="327" spans="2:12" s="109" customFormat="1" ht="12.75">
      <c r="B327" s="300" t="s">
        <v>231</v>
      </c>
      <c r="C327" s="300"/>
      <c r="D327" s="300"/>
      <c r="E327" s="20">
        <f aca="true" t="shared" si="53" ref="E327:K327">E328</f>
        <v>35731970</v>
      </c>
      <c r="F327" s="20">
        <f t="shared" si="53"/>
        <v>36362746</v>
      </c>
      <c r="G327" s="20">
        <f t="shared" si="53"/>
        <v>28199186</v>
      </c>
      <c r="H327" s="20">
        <f t="shared" si="53"/>
        <v>0</v>
      </c>
      <c r="I327" s="20">
        <f t="shared" si="53"/>
        <v>0</v>
      </c>
      <c r="J327" s="20">
        <f t="shared" si="53"/>
        <v>0</v>
      </c>
      <c r="K327" s="20">
        <f t="shared" si="53"/>
        <v>100293902</v>
      </c>
      <c r="L327" s="21"/>
    </row>
    <row r="328" spans="2:12" s="109" customFormat="1" ht="12.75">
      <c r="B328" s="304" t="s">
        <v>232</v>
      </c>
      <c r="C328" s="304"/>
      <c r="D328" s="304"/>
      <c r="E328" s="18">
        <v>35731970</v>
      </c>
      <c r="F328" s="18">
        <f>64561932-28199186</f>
        <v>36362746</v>
      </c>
      <c r="G328" s="18">
        <v>28199186</v>
      </c>
      <c r="H328" s="18"/>
      <c r="I328" s="18"/>
      <c r="J328" s="18"/>
      <c r="K328" s="20">
        <f>SUM(E328:J328)</f>
        <v>100293902</v>
      </c>
      <c r="L328" s="21"/>
    </row>
    <row r="329" spans="2:12" s="109" customFormat="1" ht="12.75">
      <c r="B329" s="303"/>
      <c r="C329" s="303"/>
      <c r="D329" s="303"/>
      <c r="E329" s="18"/>
      <c r="F329" s="18"/>
      <c r="G329" s="18"/>
      <c r="H329" s="18"/>
      <c r="I329" s="18"/>
      <c r="J329" s="18"/>
      <c r="K329" s="18">
        <f>SUM(E329:J329)</f>
        <v>0</v>
      </c>
      <c r="L329" s="21"/>
    </row>
    <row r="330" spans="2:12" s="109" customFormat="1" ht="12.75">
      <c r="B330" s="303"/>
      <c r="C330" s="303"/>
      <c r="D330" s="303"/>
      <c r="E330" s="18"/>
      <c r="F330" s="18"/>
      <c r="G330" s="18"/>
      <c r="H330" s="18"/>
      <c r="I330" s="18"/>
      <c r="J330" s="18"/>
      <c r="K330" s="18"/>
      <c r="L330" s="21"/>
    </row>
    <row r="331" spans="2:12" s="109" customFormat="1" ht="12.75">
      <c r="B331" s="113" t="s">
        <v>233</v>
      </c>
      <c r="C331" s="113"/>
      <c r="D331" s="113"/>
      <c r="E331" s="20"/>
      <c r="F331" s="20"/>
      <c r="G331" s="20"/>
      <c r="H331" s="20"/>
      <c r="I331" s="20"/>
      <c r="J331" s="20"/>
      <c r="K331" s="20"/>
      <c r="L331" s="21"/>
    </row>
    <row r="332" spans="2:12" s="109" customFormat="1" ht="12.75">
      <c r="B332" s="304" t="s">
        <v>385</v>
      </c>
      <c r="C332" s="304"/>
      <c r="D332" s="304"/>
      <c r="E332" s="18"/>
      <c r="F332" s="18"/>
      <c r="G332" s="18"/>
      <c r="H332" s="18"/>
      <c r="I332" s="18"/>
      <c r="J332" s="18"/>
      <c r="K332" s="18"/>
      <c r="L332" s="21"/>
    </row>
    <row r="333" spans="2:12" s="109" customFormat="1" ht="12.75">
      <c r="B333" s="300" t="s">
        <v>234</v>
      </c>
      <c r="C333" s="300"/>
      <c r="D333" s="300"/>
      <c r="E333" s="20">
        <f>E327+E331</f>
        <v>35731970</v>
      </c>
      <c r="F333" s="20">
        <f aca="true" t="shared" si="54" ref="F333:K333">F327+F331</f>
        <v>36362746</v>
      </c>
      <c r="G333" s="20">
        <f t="shared" si="54"/>
        <v>28199186</v>
      </c>
      <c r="H333" s="20">
        <f t="shared" si="54"/>
        <v>0</v>
      </c>
      <c r="I333" s="20">
        <f t="shared" si="54"/>
        <v>0</v>
      </c>
      <c r="J333" s="20">
        <f t="shared" si="54"/>
        <v>0</v>
      </c>
      <c r="K333" s="20">
        <f t="shared" si="54"/>
        <v>100293902</v>
      </c>
      <c r="L333" s="117">
        <v>0.9090909090909091</v>
      </c>
    </row>
    <row r="334" spans="2:12" s="109" customFormat="1" ht="12.75">
      <c r="B334" s="301"/>
      <c r="C334" s="301"/>
      <c r="D334" s="301"/>
      <c r="E334" s="114"/>
      <c r="F334" s="114"/>
      <c r="G334" s="114"/>
      <c r="H334" s="114"/>
      <c r="I334" s="114"/>
      <c r="J334" s="114"/>
      <c r="K334" s="114"/>
      <c r="L334" s="105"/>
    </row>
    <row r="335" spans="2:12" ht="12.75">
      <c r="B335" s="302"/>
      <c r="C335" s="302"/>
      <c r="D335" s="302"/>
      <c r="E335" s="35"/>
      <c r="F335" s="35"/>
      <c r="G335" s="35"/>
      <c r="H335" s="35"/>
      <c r="I335" s="35"/>
      <c r="J335" s="35"/>
      <c r="K335" s="35"/>
      <c r="L335" s="32"/>
    </row>
    <row r="336" spans="2:12" ht="12.75">
      <c r="B336" s="301" t="s">
        <v>498</v>
      </c>
      <c r="C336" s="301"/>
      <c r="D336" s="301"/>
      <c r="E336" s="301"/>
      <c r="F336" s="301"/>
      <c r="G336" s="301"/>
      <c r="H336" s="301"/>
      <c r="I336" s="301"/>
      <c r="J336" s="301"/>
      <c r="K336" s="301"/>
      <c r="L336" s="301"/>
    </row>
    <row r="337" spans="2:12" ht="12.75">
      <c r="B337" s="306" t="s">
        <v>532</v>
      </c>
      <c r="C337" s="306"/>
      <c r="D337" s="306"/>
      <c r="E337" s="306"/>
      <c r="F337" s="306"/>
      <c r="G337" s="306"/>
      <c r="H337" s="306"/>
      <c r="I337" s="306"/>
      <c r="J337" s="306"/>
      <c r="K337" s="306"/>
      <c r="L337" s="306"/>
    </row>
    <row r="338" spans="2:12" ht="12.75">
      <c r="B338" s="21"/>
      <c r="C338" s="21"/>
      <c r="D338" s="21"/>
      <c r="E338" s="21"/>
      <c r="F338" s="21"/>
      <c r="G338" s="21"/>
      <c r="H338" s="21"/>
      <c r="I338" s="21"/>
      <c r="J338" s="21"/>
      <c r="K338" s="55" t="s">
        <v>394</v>
      </c>
      <c r="L338" s="21"/>
    </row>
    <row r="339" spans="2:12" ht="38.25">
      <c r="B339" s="288" t="s">
        <v>218</v>
      </c>
      <c r="C339" s="288"/>
      <c r="D339" s="288"/>
      <c r="E339" s="49" t="s">
        <v>442</v>
      </c>
      <c r="F339" s="51" t="s">
        <v>529</v>
      </c>
      <c r="G339" s="51">
        <v>2020</v>
      </c>
      <c r="H339" s="51">
        <v>2021</v>
      </c>
      <c r="I339" s="51">
        <v>2022</v>
      </c>
      <c r="J339" s="51">
        <v>2023</v>
      </c>
      <c r="K339" s="51" t="s">
        <v>48</v>
      </c>
      <c r="L339" s="21"/>
    </row>
    <row r="340" spans="2:12" ht="12.75">
      <c r="B340" s="288" t="s">
        <v>219</v>
      </c>
      <c r="C340" s="288"/>
      <c r="D340" s="288"/>
      <c r="E340" s="111">
        <v>47094716</v>
      </c>
      <c r="F340" s="111">
        <f>F347+F346+F341</f>
        <v>17816680</v>
      </c>
      <c r="G340" s="111">
        <f>G347+G346+G341</f>
        <v>0</v>
      </c>
      <c r="H340" s="111">
        <f>H347+H346+H341</f>
        <v>0</v>
      </c>
      <c r="I340" s="111">
        <f>I347+I346+I341</f>
        <v>0</v>
      </c>
      <c r="J340" s="111">
        <f>J347+J346+J341</f>
        <v>0</v>
      </c>
      <c r="K340" s="111">
        <f>SUM(E340:J340)</f>
        <v>64911396</v>
      </c>
      <c r="L340" s="105"/>
    </row>
    <row r="341" spans="2:12" ht="12.75">
      <c r="B341" s="300" t="s">
        <v>220</v>
      </c>
      <c r="C341" s="300"/>
      <c r="D341" s="300"/>
      <c r="E341" s="20">
        <f aca="true" t="shared" si="55" ref="E341:J341">SUM(E342:E345)</f>
        <v>0</v>
      </c>
      <c r="F341" s="20">
        <f t="shared" si="55"/>
        <v>0</v>
      </c>
      <c r="G341" s="20">
        <f t="shared" si="55"/>
        <v>0</v>
      </c>
      <c r="H341" s="20">
        <f t="shared" si="55"/>
        <v>0</v>
      </c>
      <c r="I341" s="20">
        <f t="shared" si="55"/>
        <v>0</v>
      </c>
      <c r="J341" s="20">
        <f t="shared" si="55"/>
        <v>0</v>
      </c>
      <c r="K341" s="111">
        <f aca="true" t="shared" si="56" ref="K341:K355">SUM(E341:J341)</f>
        <v>0</v>
      </c>
      <c r="L341" s="105"/>
    </row>
    <row r="342" spans="2:12" ht="12.75">
      <c r="B342" s="304" t="s">
        <v>221</v>
      </c>
      <c r="C342" s="304"/>
      <c r="D342" s="304"/>
      <c r="E342" s="18"/>
      <c r="F342" s="18"/>
      <c r="G342" s="18"/>
      <c r="H342" s="18"/>
      <c r="I342" s="18"/>
      <c r="J342" s="18"/>
      <c r="K342" s="111">
        <f t="shared" si="56"/>
        <v>0</v>
      </c>
      <c r="L342" s="21"/>
    </row>
    <row r="343" spans="2:12" ht="12.75">
      <c r="B343" s="304" t="s">
        <v>222</v>
      </c>
      <c r="C343" s="304"/>
      <c r="D343" s="304"/>
      <c r="E343" s="18"/>
      <c r="F343" s="18"/>
      <c r="G343" s="18"/>
      <c r="H343" s="18"/>
      <c r="I343" s="18"/>
      <c r="J343" s="18"/>
      <c r="K343" s="111">
        <f t="shared" si="56"/>
        <v>0</v>
      </c>
      <c r="L343" s="21"/>
    </row>
    <row r="344" spans="2:12" ht="12.75">
      <c r="B344" s="303" t="s">
        <v>330</v>
      </c>
      <c r="C344" s="303"/>
      <c r="D344" s="303"/>
      <c r="E344" s="18"/>
      <c r="F344" s="18"/>
      <c r="G344" s="18"/>
      <c r="H344" s="18"/>
      <c r="I344" s="18"/>
      <c r="J344" s="18"/>
      <c r="K344" s="111">
        <f t="shared" si="56"/>
        <v>0</v>
      </c>
      <c r="L344" s="21"/>
    </row>
    <row r="345" spans="2:12" ht="12.75">
      <c r="B345" s="303" t="s">
        <v>224</v>
      </c>
      <c r="C345" s="303"/>
      <c r="D345" s="303"/>
      <c r="E345" s="18"/>
      <c r="F345" s="18"/>
      <c r="G345" s="18"/>
      <c r="H345" s="18"/>
      <c r="I345" s="18"/>
      <c r="J345" s="18"/>
      <c r="K345" s="111">
        <f t="shared" si="56"/>
        <v>0</v>
      </c>
      <c r="L345" s="21"/>
    </row>
    <row r="346" spans="2:12" ht="12.75">
      <c r="B346" s="305" t="s">
        <v>225</v>
      </c>
      <c r="C346" s="305"/>
      <c r="D346" s="305"/>
      <c r="E346" s="20"/>
      <c r="F346" s="20">
        <v>17816680</v>
      </c>
      <c r="G346" s="20"/>
      <c r="H346" s="20"/>
      <c r="I346" s="20"/>
      <c r="J346" s="20"/>
      <c r="K346" s="111">
        <f t="shared" si="56"/>
        <v>17816680</v>
      </c>
      <c r="L346" s="105"/>
    </row>
    <row r="347" spans="2:12" ht="12.75">
      <c r="B347" s="305" t="s">
        <v>226</v>
      </c>
      <c r="C347" s="305"/>
      <c r="D347" s="305"/>
      <c r="E347" s="20"/>
      <c r="F347" s="18"/>
      <c r="G347" s="18"/>
      <c r="H347" s="18"/>
      <c r="I347" s="18"/>
      <c r="J347" s="18"/>
      <c r="K347" s="111">
        <f t="shared" si="56"/>
        <v>0</v>
      </c>
      <c r="L347" s="21"/>
    </row>
    <row r="348" spans="2:12" ht="12.75">
      <c r="B348" s="300" t="s">
        <v>227</v>
      </c>
      <c r="C348" s="300"/>
      <c r="D348" s="300"/>
      <c r="E348" s="18"/>
      <c r="F348" s="20"/>
      <c r="G348" s="18"/>
      <c r="H348" s="18"/>
      <c r="I348" s="18"/>
      <c r="J348" s="18"/>
      <c r="K348" s="111">
        <f t="shared" si="56"/>
        <v>0</v>
      </c>
      <c r="L348" s="21"/>
    </row>
    <row r="349" spans="2:12" ht="12.75">
      <c r="B349" s="304" t="s">
        <v>220</v>
      </c>
      <c r="C349" s="304"/>
      <c r="D349" s="304"/>
      <c r="E349" s="18"/>
      <c r="F349" s="18"/>
      <c r="G349" s="18"/>
      <c r="H349" s="18"/>
      <c r="I349" s="18"/>
      <c r="J349" s="18"/>
      <c r="K349" s="111">
        <f t="shared" si="56"/>
        <v>0</v>
      </c>
      <c r="L349" s="21"/>
    </row>
    <row r="350" spans="2:12" ht="12.75">
      <c r="B350" s="304" t="s">
        <v>221</v>
      </c>
      <c r="C350" s="304"/>
      <c r="D350" s="304"/>
      <c r="E350" s="18"/>
      <c r="F350" s="18"/>
      <c r="G350" s="18"/>
      <c r="H350" s="18"/>
      <c r="I350" s="18"/>
      <c r="J350" s="18"/>
      <c r="K350" s="111">
        <f t="shared" si="56"/>
        <v>0</v>
      </c>
      <c r="L350" s="21"/>
    </row>
    <row r="351" spans="2:12" ht="12.75">
      <c r="B351" s="304" t="s">
        <v>228</v>
      </c>
      <c r="C351" s="304"/>
      <c r="D351" s="304"/>
      <c r="E351" s="18"/>
      <c r="F351" s="18"/>
      <c r="G351" s="18"/>
      <c r="H351" s="18"/>
      <c r="I351" s="18"/>
      <c r="J351" s="18"/>
      <c r="K351" s="111">
        <f t="shared" si="56"/>
        <v>0</v>
      </c>
      <c r="L351" s="21"/>
    </row>
    <row r="352" spans="2:12" ht="12.75">
      <c r="B352" s="303" t="s">
        <v>223</v>
      </c>
      <c r="C352" s="303"/>
      <c r="D352" s="303"/>
      <c r="E352" s="18"/>
      <c r="F352" s="18"/>
      <c r="G352" s="18"/>
      <c r="H352" s="18"/>
      <c r="I352" s="18"/>
      <c r="J352" s="18"/>
      <c r="K352" s="111">
        <f t="shared" si="56"/>
        <v>0</v>
      </c>
      <c r="L352" s="21"/>
    </row>
    <row r="353" spans="2:12" ht="12.75">
      <c r="B353" s="303" t="s">
        <v>224</v>
      </c>
      <c r="C353" s="303"/>
      <c r="D353" s="303"/>
      <c r="E353" s="18"/>
      <c r="F353" s="18"/>
      <c r="G353" s="18"/>
      <c r="H353" s="18"/>
      <c r="I353" s="18"/>
      <c r="J353" s="18"/>
      <c r="K353" s="111">
        <f t="shared" si="56"/>
        <v>0</v>
      </c>
      <c r="L353" s="21"/>
    </row>
    <row r="354" spans="2:12" ht="12.75">
      <c r="B354" s="303"/>
      <c r="C354" s="303"/>
      <c r="D354" s="303"/>
      <c r="E354" s="18"/>
      <c r="F354" s="18"/>
      <c r="G354" s="18"/>
      <c r="H354" s="18"/>
      <c r="I354" s="18"/>
      <c r="J354" s="18"/>
      <c r="K354" s="111">
        <f t="shared" si="56"/>
        <v>0</v>
      </c>
      <c r="L354" s="21"/>
    </row>
    <row r="355" spans="2:12" ht="12.75">
      <c r="B355" s="300" t="s">
        <v>229</v>
      </c>
      <c r="C355" s="300"/>
      <c r="D355" s="300"/>
      <c r="E355" s="20">
        <f>E346</f>
        <v>0</v>
      </c>
      <c r="F355" s="20">
        <f>F340+F348</f>
        <v>17816680</v>
      </c>
      <c r="G355" s="20">
        <f>G340+G348</f>
        <v>0</v>
      </c>
      <c r="H355" s="20">
        <f>H340+H348</f>
        <v>0</v>
      </c>
      <c r="I355" s="20">
        <f>I340+I348</f>
        <v>0</v>
      </c>
      <c r="J355" s="20">
        <f>J340+J348</f>
        <v>0</v>
      </c>
      <c r="K355" s="111">
        <f t="shared" si="56"/>
        <v>17816680</v>
      </c>
      <c r="L355" s="21"/>
    </row>
    <row r="356" spans="2:12" ht="12.75"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</row>
    <row r="357" spans="2:12" ht="38.25">
      <c r="B357" s="287" t="s">
        <v>230</v>
      </c>
      <c r="C357" s="287"/>
      <c r="D357" s="287"/>
      <c r="E357" s="49" t="s">
        <v>442</v>
      </c>
      <c r="F357" s="51">
        <v>2019</v>
      </c>
      <c r="G357" s="51">
        <v>2020</v>
      </c>
      <c r="H357" s="51">
        <v>2021</v>
      </c>
      <c r="I357" s="51">
        <v>2022</v>
      </c>
      <c r="J357" s="51">
        <v>2023</v>
      </c>
      <c r="K357" s="51" t="s">
        <v>48</v>
      </c>
      <c r="L357" s="21"/>
    </row>
    <row r="358" spans="2:12" ht="12.75">
      <c r="B358" s="300" t="s">
        <v>231</v>
      </c>
      <c r="C358" s="300"/>
      <c r="D358" s="300"/>
      <c r="E358" s="20">
        <f aca="true" t="shared" si="57" ref="E358:K358">E359</f>
        <v>0</v>
      </c>
      <c r="F358" s="20">
        <f t="shared" si="57"/>
        <v>0</v>
      </c>
      <c r="G358" s="20">
        <f t="shared" si="57"/>
        <v>17816680</v>
      </c>
      <c r="H358" s="20">
        <f t="shared" si="57"/>
        <v>0</v>
      </c>
      <c r="I358" s="20">
        <f t="shared" si="57"/>
        <v>0</v>
      </c>
      <c r="J358" s="20">
        <f t="shared" si="57"/>
        <v>0</v>
      </c>
      <c r="K358" s="20">
        <f t="shared" si="57"/>
        <v>17816680</v>
      </c>
      <c r="L358" s="21"/>
    </row>
    <row r="359" spans="2:12" ht="12.75">
      <c r="B359" s="304" t="s">
        <v>232</v>
      </c>
      <c r="C359" s="304"/>
      <c r="D359" s="304"/>
      <c r="E359" s="18"/>
      <c r="F359" s="18"/>
      <c r="G359" s="18">
        <v>17816680</v>
      </c>
      <c r="H359" s="18"/>
      <c r="I359" s="18"/>
      <c r="J359" s="18"/>
      <c r="K359" s="20">
        <f>SUM(E359:J359)</f>
        <v>17816680</v>
      </c>
      <c r="L359" s="21"/>
    </row>
    <row r="360" spans="2:12" ht="12.75">
      <c r="B360" s="303"/>
      <c r="C360" s="303"/>
      <c r="D360" s="303"/>
      <c r="E360" s="18"/>
      <c r="F360" s="18"/>
      <c r="G360" s="18"/>
      <c r="H360" s="18"/>
      <c r="I360" s="18"/>
      <c r="J360" s="18"/>
      <c r="K360" s="18">
        <f>SUM(E360:J360)</f>
        <v>0</v>
      </c>
      <c r="L360" s="21"/>
    </row>
    <row r="361" spans="2:12" ht="12.75">
      <c r="B361" s="303"/>
      <c r="C361" s="303"/>
      <c r="D361" s="303"/>
      <c r="E361" s="18"/>
      <c r="F361" s="18"/>
      <c r="G361" s="18"/>
      <c r="H361" s="18"/>
      <c r="I361" s="18"/>
      <c r="J361" s="18"/>
      <c r="K361" s="18"/>
      <c r="L361" s="21"/>
    </row>
    <row r="362" spans="2:12" ht="12.75">
      <c r="B362" s="113" t="s">
        <v>233</v>
      </c>
      <c r="C362" s="113"/>
      <c r="D362" s="113"/>
      <c r="E362" s="20"/>
      <c r="F362" s="20"/>
      <c r="G362" s="20"/>
      <c r="H362" s="20"/>
      <c r="I362" s="20"/>
      <c r="J362" s="20"/>
      <c r="K362" s="20"/>
      <c r="L362" s="21"/>
    </row>
    <row r="363" spans="2:12" ht="12.75">
      <c r="B363" s="304" t="s">
        <v>385</v>
      </c>
      <c r="C363" s="304"/>
      <c r="D363" s="304"/>
      <c r="E363" s="18"/>
      <c r="F363" s="18"/>
      <c r="G363" s="18"/>
      <c r="H363" s="18"/>
      <c r="I363" s="18"/>
      <c r="J363" s="18"/>
      <c r="K363" s="18"/>
      <c r="L363" s="21"/>
    </row>
    <row r="364" spans="2:12" ht="12.75">
      <c r="B364" s="300" t="s">
        <v>234</v>
      </c>
      <c r="C364" s="300"/>
      <c r="D364" s="300"/>
      <c r="E364" s="20">
        <f>E358+E362</f>
        <v>0</v>
      </c>
      <c r="F364" s="20">
        <f aca="true" t="shared" si="58" ref="F364:K364">F358+F362</f>
        <v>0</v>
      </c>
      <c r="G364" s="20">
        <f t="shared" si="58"/>
        <v>17816680</v>
      </c>
      <c r="H364" s="20">
        <f t="shared" si="58"/>
        <v>0</v>
      </c>
      <c r="I364" s="20">
        <f t="shared" si="58"/>
        <v>0</v>
      </c>
      <c r="J364" s="20">
        <f t="shared" si="58"/>
        <v>0</v>
      </c>
      <c r="K364" s="20">
        <f t="shared" si="58"/>
        <v>17816680</v>
      </c>
      <c r="L364" s="118" t="s">
        <v>535</v>
      </c>
    </row>
  </sheetData>
  <sheetProtection selectLockedCells="1" selectUnlockedCells="1"/>
  <mergeCells count="295">
    <mergeCell ref="B363:D363"/>
    <mergeCell ref="B364:D364"/>
    <mergeCell ref="B355:D355"/>
    <mergeCell ref="B357:D357"/>
    <mergeCell ref="B358:D358"/>
    <mergeCell ref="B359:D359"/>
    <mergeCell ref="B360:D360"/>
    <mergeCell ref="B361:D361"/>
    <mergeCell ref="B349:D349"/>
    <mergeCell ref="B350:D350"/>
    <mergeCell ref="B351:D351"/>
    <mergeCell ref="B352:D352"/>
    <mergeCell ref="B353:D353"/>
    <mergeCell ref="B354:D354"/>
    <mergeCell ref="B343:D343"/>
    <mergeCell ref="B344:D344"/>
    <mergeCell ref="B345:D345"/>
    <mergeCell ref="B346:D346"/>
    <mergeCell ref="B347:D347"/>
    <mergeCell ref="B348:D348"/>
    <mergeCell ref="B336:L336"/>
    <mergeCell ref="B337:L337"/>
    <mergeCell ref="B339:D339"/>
    <mergeCell ref="B340:D340"/>
    <mergeCell ref="B341:D341"/>
    <mergeCell ref="B342:D342"/>
    <mergeCell ref="B305:L305"/>
    <mergeCell ref="B306:L306"/>
    <mergeCell ref="B309:D309"/>
    <mergeCell ref="B310:D310"/>
    <mergeCell ref="B308:D308"/>
    <mergeCell ref="B311:D311"/>
    <mergeCell ref="B264:D264"/>
    <mergeCell ref="B265:D265"/>
    <mergeCell ref="B266:D266"/>
    <mergeCell ref="B37:D37"/>
    <mergeCell ref="B38:D38"/>
    <mergeCell ref="B84:D84"/>
    <mergeCell ref="B85:D85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:F1"/>
    <mergeCell ref="A3:M3"/>
    <mergeCell ref="B176:L176"/>
    <mergeCell ref="B177:L177"/>
    <mergeCell ref="B179:D179"/>
    <mergeCell ref="B180:D180"/>
    <mergeCell ref="B34:D34"/>
    <mergeCell ref="B69:D69"/>
    <mergeCell ref="B70:D70"/>
    <mergeCell ref="B204:D204"/>
    <mergeCell ref="B205:D205"/>
    <mergeCell ref="B198:D198"/>
    <mergeCell ref="B199:D199"/>
    <mergeCell ref="B200:D200"/>
    <mergeCell ref="B201:D201"/>
    <mergeCell ref="B86:D86"/>
    <mergeCell ref="B87:D87"/>
    <mergeCell ref="B7:L7"/>
    <mergeCell ref="B8:L8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9:D29"/>
    <mergeCell ref="B30:D30"/>
    <mergeCell ref="B31:D31"/>
    <mergeCell ref="B32:D32"/>
    <mergeCell ref="B33:D33"/>
    <mergeCell ref="B45:D45"/>
    <mergeCell ref="B46:D46"/>
    <mergeCell ref="B47:D47"/>
    <mergeCell ref="B48:D48"/>
    <mergeCell ref="B49:D49"/>
    <mergeCell ref="B50:D50"/>
    <mergeCell ref="B59:D59"/>
    <mergeCell ref="B64:D64"/>
    <mergeCell ref="B82:D82"/>
    <mergeCell ref="B83:D83"/>
    <mergeCell ref="B51:D51"/>
    <mergeCell ref="B52:D52"/>
    <mergeCell ref="B53:D53"/>
    <mergeCell ref="B54:D54"/>
    <mergeCell ref="B55:D55"/>
    <mergeCell ref="B56:D56"/>
    <mergeCell ref="B65:D65"/>
    <mergeCell ref="B66:D66"/>
    <mergeCell ref="B68:D68"/>
    <mergeCell ref="B42:L42"/>
    <mergeCell ref="B43:L43"/>
    <mergeCell ref="B60:D60"/>
    <mergeCell ref="B61:D61"/>
    <mergeCell ref="B67:D67"/>
    <mergeCell ref="B57:D57"/>
    <mergeCell ref="B58:D58"/>
    <mergeCell ref="B72:D72"/>
    <mergeCell ref="B73:D73"/>
    <mergeCell ref="B77:L77"/>
    <mergeCell ref="B78:L78"/>
    <mergeCell ref="B80:D80"/>
    <mergeCell ref="B81:D81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9:D99"/>
    <mergeCell ref="B100:D100"/>
    <mergeCell ref="B101:D101"/>
    <mergeCell ref="B102:D102"/>
    <mergeCell ref="B103:D103"/>
    <mergeCell ref="B105:D105"/>
    <mergeCell ref="B106:D106"/>
    <mergeCell ref="B110:L110"/>
    <mergeCell ref="B111:L111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2:D132"/>
    <mergeCell ref="B133:D133"/>
    <mergeCell ref="B134:D134"/>
    <mergeCell ref="B135:D135"/>
    <mergeCell ref="B136:D136"/>
    <mergeCell ref="B138:D138"/>
    <mergeCell ref="B139:D139"/>
    <mergeCell ref="B143:L143"/>
    <mergeCell ref="B144:L144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5:D165"/>
    <mergeCell ref="B166:D166"/>
    <mergeCell ref="B167:D167"/>
    <mergeCell ref="B168:D168"/>
    <mergeCell ref="B169:D169"/>
    <mergeCell ref="B171:D171"/>
    <mergeCell ref="B172:D172"/>
    <mergeCell ref="B209:L209"/>
    <mergeCell ref="B210:L210"/>
    <mergeCell ref="B212:D212"/>
    <mergeCell ref="B213:D213"/>
    <mergeCell ref="B181:D181"/>
    <mergeCell ref="B182:D182"/>
    <mergeCell ref="B183:D183"/>
    <mergeCell ref="B202:D202"/>
    <mergeCell ref="B214:D214"/>
    <mergeCell ref="B215:D215"/>
    <mergeCell ref="B216:D216"/>
    <mergeCell ref="B217:D217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28:D228"/>
    <mergeCell ref="B231:D231"/>
    <mergeCell ref="B232:D232"/>
    <mergeCell ref="B233:D233"/>
    <mergeCell ref="B234:D234"/>
    <mergeCell ref="B235:D235"/>
    <mergeCell ref="B237:D237"/>
    <mergeCell ref="B238:D238"/>
    <mergeCell ref="B242:L242"/>
    <mergeCell ref="B243:L243"/>
    <mergeCell ref="B245:D245"/>
    <mergeCell ref="B246:D246"/>
    <mergeCell ref="B247:D247"/>
    <mergeCell ref="B248:D248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B257:D257"/>
    <mergeCell ref="B258:D258"/>
    <mergeCell ref="B259:D259"/>
    <mergeCell ref="B260:D260"/>
    <mergeCell ref="B272:D272"/>
    <mergeCell ref="B270:D270"/>
    <mergeCell ref="B261:D261"/>
    <mergeCell ref="B267:D267"/>
    <mergeCell ref="B268:D268"/>
    <mergeCell ref="B271:D271"/>
    <mergeCell ref="B274:L274"/>
    <mergeCell ref="B275:L275"/>
    <mergeCell ref="B277:D277"/>
    <mergeCell ref="B278:D278"/>
    <mergeCell ref="B279:D279"/>
    <mergeCell ref="B280:D280"/>
    <mergeCell ref="B281:D281"/>
    <mergeCell ref="B282:D282"/>
    <mergeCell ref="B283:D283"/>
    <mergeCell ref="B284:D284"/>
    <mergeCell ref="B285:D285"/>
    <mergeCell ref="B286:D286"/>
    <mergeCell ref="B287:D287"/>
    <mergeCell ref="B288:D288"/>
    <mergeCell ref="B289:D289"/>
    <mergeCell ref="B290:D290"/>
    <mergeCell ref="B291:D291"/>
    <mergeCell ref="B292:D292"/>
    <mergeCell ref="B293:D293"/>
    <mergeCell ref="B302:D302"/>
    <mergeCell ref="B303:D303"/>
    <mergeCell ref="B295:D295"/>
    <mergeCell ref="B296:D296"/>
    <mergeCell ref="B297:D297"/>
    <mergeCell ref="B298:D298"/>
    <mergeCell ref="B299:D299"/>
    <mergeCell ref="B301:D301"/>
    <mergeCell ref="B312:D312"/>
    <mergeCell ref="B313:D313"/>
    <mergeCell ref="B314:D314"/>
    <mergeCell ref="B315:D315"/>
    <mergeCell ref="B316:D316"/>
    <mergeCell ref="B317:D317"/>
    <mergeCell ref="B318:D318"/>
    <mergeCell ref="B319:D319"/>
    <mergeCell ref="B320:D320"/>
    <mergeCell ref="B321:D321"/>
    <mergeCell ref="B322:D322"/>
    <mergeCell ref="B323:D323"/>
    <mergeCell ref="B324:D324"/>
    <mergeCell ref="B333:D333"/>
    <mergeCell ref="B334:D334"/>
    <mergeCell ref="B335:D335"/>
    <mergeCell ref="B326:D326"/>
    <mergeCell ref="B327:D327"/>
    <mergeCell ref="B330:D330"/>
    <mergeCell ref="B332:D332"/>
    <mergeCell ref="B328:D328"/>
    <mergeCell ref="B329:D329"/>
  </mergeCells>
  <printOptions/>
  <pageMargins left="0.3798611111111111" right="0.25972222222222224" top="0.4701388888888889" bottom="0.4798611111111111" header="0.5118055555555555" footer="0.511805555555555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41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1" width="6.25390625" style="0" customWidth="1"/>
    <col min="4" max="4" width="20.00390625" style="0" customWidth="1"/>
    <col min="5" max="5" width="19.125" style="0" customWidth="1"/>
    <col min="7" max="7" width="7.125" style="0" customWidth="1"/>
  </cols>
  <sheetData>
    <row r="1" s="21" customFormat="1" ht="12.75"/>
    <row r="2" spans="1:6" s="21" customFormat="1" ht="14.25" customHeight="1">
      <c r="A2" s="325" t="s">
        <v>572</v>
      </c>
      <c r="B2" s="325"/>
      <c r="C2" s="325"/>
      <c r="D2" s="325"/>
      <c r="E2" s="325"/>
      <c r="F2" s="325"/>
    </row>
    <row r="3" s="21" customFormat="1" ht="12.75"/>
    <row r="4" s="21" customFormat="1" ht="12.75">
      <c r="B4" s="105" t="s">
        <v>235</v>
      </c>
    </row>
    <row r="5" spans="2:6" s="21" customFormat="1" ht="12.75">
      <c r="B5" s="105" t="s">
        <v>236</v>
      </c>
      <c r="C5" s="105"/>
      <c r="D5" s="105"/>
      <c r="E5" s="105"/>
      <c r="F5" s="105"/>
    </row>
    <row r="6" spans="2:6" s="21" customFormat="1" ht="15.75">
      <c r="B6" s="105"/>
      <c r="C6" s="105"/>
      <c r="D6" s="105"/>
      <c r="E6" s="105"/>
      <c r="F6" s="119"/>
    </row>
    <row r="7" spans="2:6" s="21" customFormat="1" ht="15.75">
      <c r="B7" s="105"/>
      <c r="C7" s="105"/>
      <c r="D7" s="105" t="s">
        <v>524</v>
      </c>
      <c r="E7" s="105"/>
      <c r="F7" s="119"/>
    </row>
    <row r="8" spans="2:6" s="21" customFormat="1" ht="15.75">
      <c r="B8" s="119"/>
      <c r="C8" s="119"/>
      <c r="D8" s="119"/>
      <c r="E8" s="119"/>
      <c r="F8" s="119"/>
    </row>
    <row r="9" s="21" customFormat="1" ht="12.75"/>
    <row r="10" s="21" customFormat="1" ht="12.75">
      <c r="A10" s="21" t="s">
        <v>237</v>
      </c>
    </row>
    <row r="11" s="21" customFormat="1" ht="12.75"/>
    <row r="12" s="21" customFormat="1" ht="12.75"/>
    <row r="13" s="21" customFormat="1" ht="12.75">
      <c r="A13" s="21" t="s">
        <v>238</v>
      </c>
    </row>
    <row r="14" s="21" customFormat="1" ht="12.75">
      <c r="A14" s="21" t="s">
        <v>239</v>
      </c>
    </row>
    <row r="15" s="21" customFormat="1" ht="12.75">
      <c r="A15" s="120" t="s">
        <v>240</v>
      </c>
    </row>
    <row r="16" s="21" customFormat="1" ht="12.75">
      <c r="A16" s="120"/>
    </row>
    <row r="17" s="21" customFormat="1" ht="12.75"/>
    <row r="18" spans="1:5" s="21" customFormat="1" ht="12.75">
      <c r="A18" s="326" t="s">
        <v>241</v>
      </c>
      <c r="B18" s="327"/>
      <c r="C18" s="327"/>
      <c r="D18" s="327"/>
      <c r="E18" s="122" t="s">
        <v>242</v>
      </c>
    </row>
    <row r="19" spans="1:5" s="21" customFormat="1" ht="12.75">
      <c r="A19" s="326"/>
      <c r="B19" s="282" t="s">
        <v>243</v>
      </c>
      <c r="C19" s="282"/>
      <c r="D19" s="282"/>
      <c r="E19" s="123" t="s">
        <v>244</v>
      </c>
    </row>
    <row r="20" spans="1:5" s="21" customFormat="1" ht="12.75">
      <c r="A20" s="326"/>
      <c r="B20" s="281"/>
      <c r="C20" s="281"/>
      <c r="D20" s="281"/>
      <c r="E20" s="123" t="s">
        <v>245</v>
      </c>
    </row>
    <row r="21" spans="1:5" s="21" customFormat="1" ht="15" customHeight="1">
      <c r="A21" s="124">
        <v>1</v>
      </c>
      <c r="B21" s="125" t="s">
        <v>246</v>
      </c>
      <c r="C21" s="126"/>
      <c r="D21" s="127"/>
      <c r="E21" s="127"/>
    </row>
    <row r="22" spans="1:5" s="21" customFormat="1" ht="15" customHeight="1">
      <c r="A22" s="128">
        <v>2</v>
      </c>
      <c r="B22" s="129" t="s">
        <v>247</v>
      </c>
      <c r="C22" s="130"/>
      <c r="D22" s="131"/>
      <c r="E22" s="131"/>
    </row>
    <row r="23" spans="1:5" s="21" customFormat="1" ht="15" customHeight="1">
      <c r="A23" s="132"/>
      <c r="B23" s="133" t="s">
        <v>248</v>
      </c>
      <c r="C23" s="134"/>
      <c r="D23" s="135"/>
      <c r="E23" s="135"/>
    </row>
    <row r="24" spans="1:5" s="21" customFormat="1" ht="15" customHeight="1">
      <c r="A24" s="128">
        <v>3</v>
      </c>
      <c r="B24" s="129" t="s">
        <v>249</v>
      </c>
      <c r="C24" s="130"/>
      <c r="D24" s="131"/>
      <c r="E24" s="131"/>
    </row>
    <row r="25" spans="1:5" s="21" customFormat="1" ht="15" customHeight="1">
      <c r="A25" s="132"/>
      <c r="B25" s="323" t="s">
        <v>250</v>
      </c>
      <c r="C25" s="323"/>
      <c r="D25" s="323"/>
      <c r="E25" s="135"/>
    </row>
    <row r="26" spans="1:5" s="21" customFormat="1" ht="15" customHeight="1">
      <c r="A26" s="132">
        <v>4</v>
      </c>
      <c r="B26" s="133" t="s">
        <v>251</v>
      </c>
      <c r="C26" s="134"/>
      <c r="D26" s="135"/>
      <c r="E26" s="135"/>
    </row>
    <row r="27" spans="1:5" s="21" customFormat="1" ht="15" customHeight="1">
      <c r="A27" s="128">
        <v>5</v>
      </c>
      <c r="B27" s="129" t="s">
        <v>252</v>
      </c>
      <c r="C27" s="130"/>
      <c r="D27" s="131"/>
      <c r="E27" s="131"/>
    </row>
    <row r="28" spans="1:5" s="21" customFormat="1" ht="15" customHeight="1">
      <c r="A28" s="132"/>
      <c r="B28" s="323" t="s">
        <v>253</v>
      </c>
      <c r="C28" s="323"/>
      <c r="D28" s="323"/>
      <c r="E28" s="135"/>
    </row>
    <row r="29" spans="1:5" s="21" customFormat="1" ht="15" customHeight="1">
      <c r="A29" s="124">
        <v>6</v>
      </c>
      <c r="B29" s="125" t="s">
        <v>254</v>
      </c>
      <c r="C29" s="126"/>
      <c r="D29" s="127"/>
      <c r="E29" s="127"/>
    </row>
    <row r="30" spans="1:5" s="21" customFormat="1" ht="15" customHeight="1">
      <c r="A30" s="124">
        <v>7</v>
      </c>
      <c r="B30" s="125" t="s">
        <v>255</v>
      </c>
      <c r="C30" s="126"/>
      <c r="D30" s="127"/>
      <c r="E30" s="127"/>
    </row>
    <row r="31" spans="1:5" s="21" customFormat="1" ht="17.25" customHeight="1">
      <c r="A31" s="133"/>
      <c r="B31" s="136" t="s">
        <v>132</v>
      </c>
      <c r="C31" s="134"/>
      <c r="D31" s="135"/>
      <c r="E31" s="135"/>
    </row>
    <row r="32" s="21" customFormat="1" ht="12.75"/>
    <row r="33" spans="2:5" s="21" customFormat="1" ht="12.75">
      <c r="B33" s="120" t="s">
        <v>256</v>
      </c>
      <c r="C33" s="120"/>
      <c r="D33" s="120"/>
      <c r="E33" s="120"/>
    </row>
    <row r="34" spans="2:5" s="21" customFormat="1" ht="12.75">
      <c r="B34" s="120" t="s">
        <v>257</v>
      </c>
      <c r="C34" s="120"/>
      <c r="D34" s="120"/>
      <c r="E34" s="120"/>
    </row>
    <row r="35" spans="2:5" s="21" customFormat="1" ht="12.75">
      <c r="B35" s="120"/>
      <c r="C35" s="120"/>
      <c r="D35" s="120"/>
      <c r="E35" s="120"/>
    </row>
    <row r="36" s="21" customFormat="1" ht="12.75"/>
    <row r="37" spans="1:4" s="21" customFormat="1" ht="12.75">
      <c r="A37" s="324" t="s">
        <v>419</v>
      </c>
      <c r="B37" s="324"/>
      <c r="C37" s="324"/>
      <c r="D37" s="324"/>
    </row>
    <row r="38" s="21" customFormat="1" ht="12.75"/>
    <row r="39" s="21" customFormat="1" ht="12.75"/>
    <row r="40" s="21" customFormat="1" ht="12.75">
      <c r="E40" s="21" t="s">
        <v>258</v>
      </c>
    </row>
    <row r="41" s="21" customFormat="1" ht="12.75">
      <c r="E41" s="21" t="s">
        <v>259</v>
      </c>
    </row>
    <row r="42" s="21" customFormat="1" ht="12.75"/>
  </sheetData>
  <sheetProtection selectLockedCells="1" selectUnlockedCells="1"/>
  <mergeCells count="8">
    <mergeCell ref="B25:D25"/>
    <mergeCell ref="B28:D28"/>
    <mergeCell ref="A37:D37"/>
    <mergeCell ref="A2:F2"/>
    <mergeCell ref="A18:A20"/>
    <mergeCell ref="B18:D18"/>
    <mergeCell ref="B19:D19"/>
    <mergeCell ref="B20:D20"/>
  </mergeCells>
  <printOptions/>
  <pageMargins left="1.1298611111111112" right="0.75" top="1" bottom="1" header="0.5118055555555555" footer="0.511805555555555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workbookViewId="0" topLeftCell="A2">
      <selection activeCell="A1" sqref="A1:IV1"/>
    </sheetView>
  </sheetViews>
  <sheetFormatPr defaultColWidth="7.625" defaultRowHeight="12.75"/>
  <cols>
    <col min="1" max="1" width="8.00390625" style="347" customWidth="1"/>
    <col min="2" max="2" width="19.875" style="6" customWidth="1"/>
    <col min="3" max="4" width="10.375" style="3" customWidth="1"/>
    <col min="5" max="5" width="10.75390625" style="3" customWidth="1"/>
    <col min="6" max="6" width="9.625" style="3" customWidth="1"/>
    <col min="7" max="8" width="9.25390625" style="3" customWidth="1"/>
    <col min="9" max="9" width="9.625" style="3" customWidth="1"/>
    <col min="10" max="10" width="10.25390625" style="3" customWidth="1"/>
    <col min="11" max="11" width="9.75390625" style="3" customWidth="1"/>
    <col min="12" max="12" width="11.00390625" style="3" customWidth="1"/>
    <col min="13" max="13" width="10.75390625" style="3" customWidth="1"/>
    <col min="14" max="14" width="11.75390625" style="3" customWidth="1"/>
    <col min="15" max="15" width="10.875" style="347" customWidth="1"/>
    <col min="16" max="16384" width="7.625" style="3" customWidth="1"/>
  </cols>
  <sheetData>
    <row r="1" ht="15.75" hidden="1">
      <c r="A1" s="347" t="s">
        <v>682</v>
      </c>
    </row>
    <row r="2" spans="1:15" ht="15.75">
      <c r="A2" s="549" t="s">
        <v>573</v>
      </c>
      <c r="B2" s="549"/>
      <c r="C2" s="549"/>
      <c r="D2" s="549"/>
      <c r="E2" s="549"/>
      <c r="F2" s="137"/>
      <c r="G2" s="137"/>
      <c r="H2" s="137"/>
      <c r="I2" s="137"/>
      <c r="J2" s="137"/>
      <c r="K2" s="137"/>
      <c r="L2" s="137"/>
      <c r="M2" s="137"/>
      <c r="N2" s="137"/>
      <c r="O2" s="727"/>
    </row>
    <row r="3" spans="1:15" ht="28.5" customHeight="1">
      <c r="A3" s="728" t="s">
        <v>549</v>
      </c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</row>
    <row r="4" spans="1:15" ht="28.5" customHeight="1" thickBot="1">
      <c r="A4" s="225"/>
      <c r="B4" s="227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6" t="s">
        <v>394</v>
      </c>
    </row>
    <row r="5" spans="1:15" s="347" customFormat="1" ht="21" customHeight="1" thickTop="1">
      <c r="A5" s="729" t="s">
        <v>543</v>
      </c>
      <c r="B5" s="730" t="s">
        <v>189</v>
      </c>
      <c r="C5" s="730" t="s">
        <v>260</v>
      </c>
      <c r="D5" s="730" t="s">
        <v>261</v>
      </c>
      <c r="E5" s="730" t="s">
        <v>262</v>
      </c>
      <c r="F5" s="730" t="s">
        <v>263</v>
      </c>
      <c r="G5" s="730" t="s">
        <v>264</v>
      </c>
      <c r="H5" s="730" t="s">
        <v>265</v>
      </c>
      <c r="I5" s="730" t="s">
        <v>266</v>
      </c>
      <c r="J5" s="730" t="s">
        <v>544</v>
      </c>
      <c r="K5" s="730" t="s">
        <v>545</v>
      </c>
      <c r="L5" s="730" t="s">
        <v>546</v>
      </c>
      <c r="M5" s="730" t="s">
        <v>547</v>
      </c>
      <c r="N5" s="730" t="s">
        <v>548</v>
      </c>
      <c r="O5" s="731" t="s">
        <v>267</v>
      </c>
    </row>
    <row r="6" spans="1:15" s="349" customFormat="1" ht="17.25" customHeight="1">
      <c r="A6" s="732" t="s">
        <v>133</v>
      </c>
      <c r="B6" s="733" t="s">
        <v>268</v>
      </c>
      <c r="C6" s="734"/>
      <c r="D6" s="734"/>
      <c r="E6" s="734"/>
      <c r="F6" s="734"/>
      <c r="G6" s="734"/>
      <c r="H6" s="734"/>
      <c r="I6" s="734"/>
      <c r="J6" s="734"/>
      <c r="K6" s="734"/>
      <c r="L6" s="734"/>
      <c r="M6" s="734"/>
      <c r="N6" s="734"/>
      <c r="O6" s="735">
        <f aca="true" t="shared" si="0" ref="O6:O26">SUM(C6:N6)</f>
        <v>0</v>
      </c>
    </row>
    <row r="7" spans="1:15" s="5" customFormat="1" ht="45" customHeight="1">
      <c r="A7" s="732" t="s">
        <v>134</v>
      </c>
      <c r="B7" s="228" t="s">
        <v>269</v>
      </c>
      <c r="C7" s="46">
        <v>24088077</v>
      </c>
      <c r="D7" s="46">
        <v>16482869</v>
      </c>
      <c r="E7" s="231">
        <v>23673306</v>
      </c>
      <c r="F7" s="231">
        <v>21501115</v>
      </c>
      <c r="G7" s="231">
        <v>21366456</v>
      </c>
      <c r="H7" s="231">
        <v>51246636</v>
      </c>
      <c r="I7" s="231">
        <v>24142200</v>
      </c>
      <c r="J7" s="231">
        <v>24142200</v>
      </c>
      <c r="K7" s="231">
        <v>24142200</v>
      </c>
      <c r="L7" s="231">
        <v>24142200</v>
      </c>
      <c r="M7" s="231">
        <v>24142200</v>
      </c>
      <c r="N7" s="231">
        <v>24142197</v>
      </c>
      <c r="O7" s="736">
        <v>303211656</v>
      </c>
    </row>
    <row r="8" spans="1:15" s="5" customFormat="1" ht="15.75">
      <c r="A8" s="732" t="s">
        <v>135</v>
      </c>
      <c r="B8" s="229" t="s">
        <v>270</v>
      </c>
      <c r="C8" s="46">
        <v>977517</v>
      </c>
      <c r="D8" s="47">
        <v>498638</v>
      </c>
      <c r="E8" s="231">
        <v>16378968</v>
      </c>
      <c r="F8" s="231">
        <v>-1825050</v>
      </c>
      <c r="G8" s="231">
        <v>1109551</v>
      </c>
      <c r="H8" s="231">
        <v>-2130354</v>
      </c>
      <c r="I8" s="231">
        <v>1000000</v>
      </c>
      <c r="J8" s="231">
        <v>1000000</v>
      </c>
      <c r="K8" s="231">
        <v>14000000</v>
      </c>
      <c r="L8" s="231">
        <v>1000000</v>
      </c>
      <c r="M8" s="231">
        <v>1000000</v>
      </c>
      <c r="N8" s="231">
        <v>540730</v>
      </c>
      <c r="O8" s="736">
        <v>33550000</v>
      </c>
    </row>
    <row r="9" spans="1:15" s="5" customFormat="1" ht="15.75">
      <c r="A9" s="732"/>
      <c r="B9" s="229" t="s">
        <v>271</v>
      </c>
      <c r="C9" s="46">
        <v>2357507</v>
      </c>
      <c r="D9" s="47">
        <v>2637064</v>
      </c>
      <c r="E9" s="231">
        <v>1990934</v>
      </c>
      <c r="F9" s="231">
        <v>1874014</v>
      </c>
      <c r="G9" s="231">
        <v>1440118</v>
      </c>
      <c r="H9" s="231">
        <v>1342102</v>
      </c>
      <c r="I9" s="231">
        <v>1000000</v>
      </c>
      <c r="J9" s="231">
        <v>1000000</v>
      </c>
      <c r="K9" s="231">
        <v>2943973</v>
      </c>
      <c r="L9" s="231">
        <v>2943973</v>
      </c>
      <c r="M9" s="231">
        <v>2943973</v>
      </c>
      <c r="N9" s="231">
        <v>2943972</v>
      </c>
      <c r="O9" s="736">
        <v>25417630</v>
      </c>
    </row>
    <row r="10" spans="1:15" s="5" customFormat="1" ht="25.5">
      <c r="A10" s="732" t="s">
        <v>136</v>
      </c>
      <c r="B10" s="50" t="s">
        <v>272</v>
      </c>
      <c r="C10" s="46"/>
      <c r="D10" s="46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736">
        <f t="shared" si="0"/>
        <v>0</v>
      </c>
    </row>
    <row r="11" spans="1:15" s="5" customFormat="1" ht="19.5" customHeight="1">
      <c r="A11" s="732" t="s">
        <v>273</v>
      </c>
      <c r="B11" s="50" t="s">
        <v>274</v>
      </c>
      <c r="C11" s="46"/>
      <c r="D11" s="46"/>
      <c r="E11" s="231"/>
      <c r="F11" s="231"/>
      <c r="G11" s="231"/>
      <c r="H11" s="231"/>
      <c r="I11" s="231"/>
      <c r="J11" s="231"/>
      <c r="K11" s="231"/>
      <c r="L11" s="231">
        <v>28013359</v>
      </c>
      <c r="M11" s="231"/>
      <c r="N11" s="231"/>
      <c r="O11" s="736">
        <v>28013359</v>
      </c>
    </row>
    <row r="12" spans="1:15" s="5" customFormat="1" ht="42" customHeight="1">
      <c r="A12" s="732" t="s">
        <v>275</v>
      </c>
      <c r="B12" s="229" t="s">
        <v>276</v>
      </c>
      <c r="C12" s="46"/>
      <c r="D12" s="47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736">
        <f t="shared" si="0"/>
        <v>0</v>
      </c>
    </row>
    <row r="13" spans="1:15" s="5" customFormat="1" ht="25.5">
      <c r="A13" s="732" t="s">
        <v>277</v>
      </c>
      <c r="B13" s="50" t="s">
        <v>278</v>
      </c>
      <c r="C13" s="46"/>
      <c r="D13" s="46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736">
        <f t="shared" si="0"/>
        <v>0</v>
      </c>
    </row>
    <row r="14" spans="1:15" s="5" customFormat="1" ht="16.5" thickBot="1">
      <c r="A14" s="732" t="s">
        <v>279</v>
      </c>
      <c r="B14" s="138" t="s">
        <v>280</v>
      </c>
      <c r="C14" s="232">
        <v>740463146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737">
        <v>740463146</v>
      </c>
    </row>
    <row r="15" spans="1:15" s="349" customFormat="1" ht="23.25" customHeight="1" thickBot="1" thickTop="1">
      <c r="A15" s="732" t="s">
        <v>281</v>
      </c>
      <c r="B15" s="738" t="s">
        <v>282</v>
      </c>
      <c r="C15" s="739">
        <f aca="true" t="shared" si="1" ref="C15:N15">SUM(C7:C14)</f>
        <v>767886247</v>
      </c>
      <c r="D15" s="739">
        <f t="shared" si="1"/>
        <v>19618571</v>
      </c>
      <c r="E15" s="739">
        <f t="shared" si="1"/>
        <v>42043208</v>
      </c>
      <c r="F15" s="739">
        <f t="shared" si="1"/>
        <v>21550079</v>
      </c>
      <c r="G15" s="739">
        <f t="shared" si="1"/>
        <v>23916125</v>
      </c>
      <c r="H15" s="739">
        <f t="shared" si="1"/>
        <v>50458384</v>
      </c>
      <c r="I15" s="739">
        <f t="shared" si="1"/>
        <v>26142200</v>
      </c>
      <c r="J15" s="739">
        <f t="shared" si="1"/>
        <v>26142200</v>
      </c>
      <c r="K15" s="739">
        <f t="shared" si="1"/>
        <v>41086173</v>
      </c>
      <c r="L15" s="739">
        <f t="shared" si="1"/>
        <v>56099532</v>
      </c>
      <c r="M15" s="739">
        <f t="shared" si="1"/>
        <v>28086173</v>
      </c>
      <c r="N15" s="739">
        <f t="shared" si="1"/>
        <v>27626899</v>
      </c>
      <c r="O15" s="740">
        <f t="shared" si="0"/>
        <v>1130655791</v>
      </c>
    </row>
    <row r="16" spans="1:15" s="349" customFormat="1" ht="15.75" customHeight="1" thickTop="1">
      <c r="A16" s="732" t="s">
        <v>283</v>
      </c>
      <c r="B16" s="733" t="s">
        <v>284</v>
      </c>
      <c r="C16" s="741"/>
      <c r="D16" s="741"/>
      <c r="E16" s="741"/>
      <c r="F16" s="741"/>
      <c r="G16" s="741"/>
      <c r="H16" s="741"/>
      <c r="I16" s="741"/>
      <c r="J16" s="741"/>
      <c r="K16" s="741"/>
      <c r="L16" s="741"/>
      <c r="M16" s="741"/>
      <c r="N16" s="741"/>
      <c r="O16" s="736">
        <f t="shared" si="0"/>
        <v>0</v>
      </c>
    </row>
    <row r="17" spans="1:15" s="5" customFormat="1" ht="15.75">
      <c r="A17" s="732" t="s">
        <v>285</v>
      </c>
      <c r="B17" s="139" t="s">
        <v>286</v>
      </c>
      <c r="C17" s="233">
        <v>14998299</v>
      </c>
      <c r="D17" s="233">
        <v>14320824</v>
      </c>
      <c r="E17" s="233">
        <v>14032561</v>
      </c>
      <c r="F17" s="233">
        <v>15144920</v>
      </c>
      <c r="G17" s="233">
        <v>12858015</v>
      </c>
      <c r="H17" s="233">
        <v>12213079</v>
      </c>
      <c r="I17" s="233">
        <v>18446082</v>
      </c>
      <c r="J17" s="233">
        <v>18446082</v>
      </c>
      <c r="K17" s="233">
        <v>18446082</v>
      </c>
      <c r="L17" s="233">
        <v>18446082</v>
      </c>
      <c r="M17" s="233">
        <v>18446082</v>
      </c>
      <c r="N17" s="233">
        <v>18446081</v>
      </c>
      <c r="O17" s="736">
        <v>194244189</v>
      </c>
    </row>
    <row r="18" spans="1:15" s="5" customFormat="1" ht="15.75">
      <c r="A18" s="732" t="s">
        <v>287</v>
      </c>
      <c r="B18" s="139" t="s">
        <v>288</v>
      </c>
      <c r="C18" s="233">
        <v>2772652</v>
      </c>
      <c r="D18" s="233">
        <v>2490043</v>
      </c>
      <c r="E18" s="233">
        <v>2748514</v>
      </c>
      <c r="F18" s="233">
        <v>2005795</v>
      </c>
      <c r="G18" s="233">
        <v>2965688</v>
      </c>
      <c r="H18" s="233">
        <v>1870822</v>
      </c>
      <c r="I18" s="233">
        <v>3305075</v>
      </c>
      <c r="J18" s="233">
        <v>3305075</v>
      </c>
      <c r="K18" s="233">
        <v>3305075</v>
      </c>
      <c r="L18" s="233">
        <v>3305075</v>
      </c>
      <c r="M18" s="233">
        <v>3305075</v>
      </c>
      <c r="N18" s="233">
        <v>3305076</v>
      </c>
      <c r="O18" s="736">
        <v>34683965</v>
      </c>
    </row>
    <row r="19" spans="1:15" s="5" customFormat="1" ht="15.75">
      <c r="A19" s="732" t="s">
        <v>289</v>
      </c>
      <c r="B19" s="139" t="s">
        <v>119</v>
      </c>
      <c r="C19" s="233">
        <v>6656405</v>
      </c>
      <c r="D19" s="233">
        <v>6005916</v>
      </c>
      <c r="E19" s="233">
        <v>8867381</v>
      </c>
      <c r="F19" s="233">
        <v>4507998</v>
      </c>
      <c r="G19" s="233">
        <v>7637500</v>
      </c>
      <c r="H19" s="233">
        <v>3928158</v>
      </c>
      <c r="I19" s="233">
        <v>8000000</v>
      </c>
      <c r="J19" s="233">
        <v>8000000</v>
      </c>
      <c r="K19" s="233">
        <v>8000000</v>
      </c>
      <c r="L19" s="233">
        <v>87412303</v>
      </c>
      <c r="M19" s="233">
        <v>8000000</v>
      </c>
      <c r="N19" s="233">
        <v>8000000</v>
      </c>
      <c r="O19" s="736">
        <v>165015661</v>
      </c>
    </row>
    <row r="20" spans="1:15" s="5" customFormat="1" ht="15.75">
      <c r="A20" s="732" t="s">
        <v>290</v>
      </c>
      <c r="B20" s="139" t="s">
        <v>291</v>
      </c>
      <c r="C20" s="233">
        <v>224800</v>
      </c>
      <c r="D20" s="233">
        <v>165700</v>
      </c>
      <c r="E20" s="233">
        <v>412000</v>
      </c>
      <c r="F20" s="233">
        <f>2020900-3672448</f>
        <v>-1651548</v>
      </c>
      <c r="G20" s="233">
        <v>201100</v>
      </c>
      <c r="H20" s="233">
        <v>185100</v>
      </c>
      <c r="I20" s="233">
        <v>348400</v>
      </c>
      <c r="J20" s="233">
        <v>348400</v>
      </c>
      <c r="K20" s="233">
        <v>348400</v>
      </c>
      <c r="L20" s="233">
        <v>348400</v>
      </c>
      <c r="M20" s="233">
        <v>348400</v>
      </c>
      <c r="N20" s="233">
        <v>348400</v>
      </c>
      <c r="O20" s="736">
        <v>5300000</v>
      </c>
    </row>
    <row r="21" spans="1:15" s="5" customFormat="1" ht="15.75">
      <c r="A21" s="732" t="s">
        <v>292</v>
      </c>
      <c r="B21" s="139" t="s">
        <v>120</v>
      </c>
      <c r="C21" s="233">
        <v>338285</v>
      </c>
      <c r="D21" s="233">
        <v>60285</v>
      </c>
      <c r="E21" s="233">
        <v>50785</v>
      </c>
      <c r="F21" s="233">
        <v>50045</v>
      </c>
      <c r="G21" s="233">
        <v>48250</v>
      </c>
      <c r="H21" s="233">
        <v>76988</v>
      </c>
      <c r="I21" s="233">
        <v>245000</v>
      </c>
      <c r="J21" s="233">
        <v>245000</v>
      </c>
      <c r="K21" s="233">
        <v>245000</v>
      </c>
      <c r="L21" s="233">
        <v>11771203</v>
      </c>
      <c r="M21" s="233">
        <v>245000</v>
      </c>
      <c r="N21" s="233">
        <v>245000</v>
      </c>
      <c r="O21" s="736">
        <v>13620841</v>
      </c>
    </row>
    <row r="22" spans="1:15" s="5" customFormat="1" ht="15.75">
      <c r="A22" s="732" t="s">
        <v>293</v>
      </c>
      <c r="B22" s="139" t="s">
        <v>294</v>
      </c>
      <c r="C22" s="233">
        <f>61278</f>
        <v>61278</v>
      </c>
      <c r="D22" s="233">
        <v>505778</v>
      </c>
      <c r="E22" s="233">
        <v>176228</v>
      </c>
      <c r="F22" s="233">
        <v>6184460</v>
      </c>
      <c r="G22" s="233">
        <f>61278+2330863</f>
        <v>2392141</v>
      </c>
      <c r="H22" s="233">
        <f>2578275+4849999</f>
        <v>7428274</v>
      </c>
      <c r="I22" s="233">
        <v>3000000</v>
      </c>
      <c r="J22" s="233">
        <v>3000000</v>
      </c>
      <c r="K22" s="233">
        <v>3000000</v>
      </c>
      <c r="L22" s="233">
        <v>228356827</v>
      </c>
      <c r="M22" s="233">
        <v>228356827</v>
      </c>
      <c r="N22" s="233">
        <v>228356826</v>
      </c>
      <c r="O22" s="736">
        <v>710818639</v>
      </c>
    </row>
    <row r="23" spans="1:15" s="5" customFormat="1" ht="15.75">
      <c r="A23" s="732" t="s">
        <v>295</v>
      </c>
      <c r="B23" s="139" t="s">
        <v>296</v>
      </c>
      <c r="C23" s="234">
        <v>6972496</v>
      </c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737">
        <f t="shared" si="0"/>
        <v>6972496</v>
      </c>
    </row>
    <row r="24" spans="1:15" s="5" customFormat="1" ht="15.75">
      <c r="A24" s="732" t="s">
        <v>297</v>
      </c>
      <c r="B24" s="139" t="s">
        <v>121</v>
      </c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4">
        <v>3672448</v>
      </c>
      <c r="O24" s="737">
        <f t="shared" si="0"/>
        <v>3672448</v>
      </c>
    </row>
    <row r="25" spans="1:15" s="5" customFormat="1" ht="16.5" thickBot="1">
      <c r="A25" s="742" t="s">
        <v>298</v>
      </c>
      <c r="B25" s="237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743">
        <f t="shared" si="0"/>
        <v>0</v>
      </c>
    </row>
    <row r="26" spans="1:15" s="349" customFormat="1" ht="22.5" customHeight="1" thickBot="1" thickTop="1">
      <c r="A26" s="744" t="s">
        <v>299</v>
      </c>
      <c r="B26" s="745" t="s">
        <v>300</v>
      </c>
      <c r="C26" s="746">
        <f aca="true" t="shared" si="2" ref="C26:N26">SUM(C17:C25)</f>
        <v>32024215</v>
      </c>
      <c r="D26" s="746">
        <f t="shared" si="2"/>
        <v>23548546</v>
      </c>
      <c r="E26" s="746">
        <f t="shared" si="2"/>
        <v>26287469</v>
      </c>
      <c r="F26" s="746">
        <f t="shared" si="2"/>
        <v>26241670</v>
      </c>
      <c r="G26" s="746">
        <f t="shared" si="2"/>
        <v>26102694</v>
      </c>
      <c r="H26" s="746">
        <f t="shared" si="2"/>
        <v>25702421</v>
      </c>
      <c r="I26" s="746">
        <f t="shared" si="2"/>
        <v>33344557</v>
      </c>
      <c r="J26" s="746">
        <f t="shared" si="2"/>
        <v>33344557</v>
      </c>
      <c r="K26" s="746">
        <f t="shared" si="2"/>
        <v>33344557</v>
      </c>
      <c r="L26" s="746">
        <f t="shared" si="2"/>
        <v>349639890</v>
      </c>
      <c r="M26" s="746">
        <f t="shared" si="2"/>
        <v>258701384</v>
      </c>
      <c r="N26" s="746">
        <f t="shared" si="2"/>
        <v>262373831</v>
      </c>
      <c r="O26" s="747">
        <f t="shared" si="0"/>
        <v>1130655791</v>
      </c>
    </row>
    <row r="27" spans="1:15" ht="11.25" customHeight="1" thickBot="1" thickTop="1">
      <c r="A27" s="748"/>
      <c r="B27" s="140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749"/>
    </row>
    <row r="28" spans="1:15" ht="55.5" customHeight="1" thickBot="1" thickTop="1">
      <c r="A28" s="750" t="s">
        <v>301</v>
      </c>
      <c r="B28" s="230" t="s">
        <v>302</v>
      </c>
      <c r="C28" s="236">
        <f>C15-C26</f>
        <v>735862032</v>
      </c>
      <c r="D28" s="236">
        <f>C28+D15-D26</f>
        <v>731932057</v>
      </c>
      <c r="E28" s="236">
        <f>D28+E15-E26</f>
        <v>747687796</v>
      </c>
      <c r="F28" s="236">
        <f>E28+F15-F26</f>
        <v>742996205</v>
      </c>
      <c r="G28" s="236">
        <f aca="true" t="shared" si="3" ref="G28:L28">F28+G15-G26</f>
        <v>740809636</v>
      </c>
      <c r="H28" s="236">
        <f t="shared" si="3"/>
        <v>765565599</v>
      </c>
      <c r="I28" s="236">
        <f t="shared" si="3"/>
        <v>758363242</v>
      </c>
      <c r="J28" s="236">
        <f t="shared" si="3"/>
        <v>751160885</v>
      </c>
      <c r="K28" s="236">
        <f t="shared" si="3"/>
        <v>758902501</v>
      </c>
      <c r="L28" s="236">
        <f t="shared" si="3"/>
        <v>465362143</v>
      </c>
      <c r="M28" s="236">
        <f>L28+M15-M26</f>
        <v>234746932</v>
      </c>
      <c r="N28" s="236">
        <f>N15-N26</f>
        <v>-234746932</v>
      </c>
      <c r="O28" s="751"/>
    </row>
    <row r="29" ht="16.5" thickTop="1"/>
  </sheetData>
  <sheetProtection selectLockedCells="1" selectUnlockedCells="1"/>
  <mergeCells count="2">
    <mergeCell ref="A2:E2"/>
    <mergeCell ref="A3:O3"/>
  </mergeCells>
  <printOptions horizontalCentered="1"/>
  <pageMargins left="0.5118110236220472" right="0.2755905511811024" top="0.6299212598425197" bottom="0.35433070866141736" header="0.2755905511811024" footer="0.5118110236220472"/>
  <pageSetup fitToHeight="0" fitToWidth="1" horizontalDpi="300" verticalDpi="300" orientation="landscape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2">
      <selection activeCell="A11" sqref="A11:IV32"/>
    </sheetView>
  </sheetViews>
  <sheetFormatPr defaultColWidth="9.00390625" defaultRowHeight="12.75"/>
  <cols>
    <col min="2" max="2" width="42.875" style="0" customWidth="1"/>
    <col min="3" max="3" width="13.625" style="0" customWidth="1"/>
    <col min="4" max="4" width="14.75390625" style="0" customWidth="1"/>
    <col min="5" max="5" width="10.125" style="0" bestFit="1" customWidth="1"/>
    <col min="6" max="6" width="12.125" style="0" customWidth="1"/>
  </cols>
  <sheetData>
    <row r="1" spans="1:7" ht="12.75" hidden="1">
      <c r="A1" s="21" t="s">
        <v>683</v>
      </c>
      <c r="B1" s="71"/>
      <c r="C1" s="71"/>
      <c r="D1" s="21"/>
      <c r="E1" s="21"/>
      <c r="F1" s="21"/>
      <c r="G1" s="21"/>
    </row>
    <row r="2" spans="1:7" ht="12.75" customHeight="1">
      <c r="A2" s="549" t="s">
        <v>574</v>
      </c>
      <c r="B2" s="549"/>
      <c r="C2" s="549"/>
      <c r="D2" s="549"/>
      <c r="E2" s="549"/>
      <c r="F2" s="21"/>
      <c r="G2" s="21"/>
    </row>
    <row r="3" spans="1:7" ht="12.75">
      <c r="A3" s="69"/>
      <c r="B3" s="69"/>
      <c r="C3" s="69"/>
      <c r="D3" s="21"/>
      <c r="E3" s="21"/>
      <c r="F3" s="21"/>
      <c r="G3" s="21"/>
    </row>
    <row r="4" spans="1:7" ht="12.75">
      <c r="A4" s="141"/>
      <c r="B4" s="684" t="s">
        <v>455</v>
      </c>
      <c r="C4" s="684"/>
      <c r="D4" s="21"/>
      <c r="E4" s="21"/>
      <c r="F4" s="21"/>
      <c r="G4" s="21"/>
    </row>
    <row r="5" spans="1:7" ht="12.75">
      <c r="A5" s="69"/>
      <c r="B5" s="142"/>
      <c r="C5" s="142"/>
      <c r="D5" s="21"/>
      <c r="E5" s="21"/>
      <c r="F5" s="21"/>
      <c r="G5" s="21"/>
    </row>
    <row r="6" spans="1:7" ht="12.75">
      <c r="A6" s="69"/>
      <c r="B6" s="69"/>
      <c r="C6" s="69"/>
      <c r="D6" s="21"/>
      <c r="E6" s="752"/>
      <c r="F6" s="752"/>
      <c r="G6" s="752"/>
    </row>
    <row r="7" spans="1:7" ht="21.75">
      <c r="A7" s="69"/>
      <c r="B7" s="143" t="s">
        <v>456</v>
      </c>
      <c r="C7" s="144" t="s">
        <v>457</v>
      </c>
      <c r="D7" s="21"/>
      <c r="E7" s="21"/>
      <c r="F7" s="21"/>
      <c r="G7" s="21"/>
    </row>
    <row r="8" spans="1:7" ht="12.75">
      <c r="A8" s="69"/>
      <c r="B8" s="75" t="s">
        <v>551</v>
      </c>
      <c r="C8" s="74">
        <v>20</v>
      </c>
      <c r="D8" s="21"/>
      <c r="E8" s="21"/>
      <c r="F8" s="21"/>
      <c r="G8" s="21"/>
    </row>
    <row r="9" spans="1:7" ht="15" customHeight="1">
      <c r="A9" s="69"/>
      <c r="B9" s="74" t="s">
        <v>484</v>
      </c>
      <c r="C9" s="74">
        <v>6</v>
      </c>
      <c r="D9" s="21"/>
      <c r="E9" s="21"/>
      <c r="F9" s="21"/>
      <c r="G9" s="21"/>
    </row>
    <row r="10" spans="1:7" ht="24.75" customHeight="1">
      <c r="A10" s="69"/>
      <c r="B10" s="75" t="s">
        <v>483</v>
      </c>
      <c r="C10" s="74">
        <v>2</v>
      </c>
      <c r="D10" s="21"/>
      <c r="E10" s="21"/>
      <c r="F10" s="21"/>
      <c r="G10" s="21"/>
    </row>
    <row r="11" spans="1:7" ht="24.75" customHeight="1">
      <c r="A11" s="69"/>
      <c r="B11" s="75" t="s">
        <v>458</v>
      </c>
      <c r="C11" s="74">
        <v>1</v>
      </c>
      <c r="D11" s="21"/>
      <c r="E11" s="21"/>
      <c r="F11" s="21"/>
      <c r="G11" s="21"/>
    </row>
    <row r="12" spans="1:7" ht="15" customHeight="1">
      <c r="A12" s="69"/>
      <c r="B12" s="74" t="s">
        <v>459</v>
      </c>
      <c r="C12" s="74">
        <v>1</v>
      </c>
      <c r="D12" s="21"/>
      <c r="E12" s="21"/>
      <c r="F12" s="21"/>
      <c r="G12" s="21"/>
    </row>
    <row r="13" spans="1:7" ht="15" customHeight="1">
      <c r="A13" s="69"/>
      <c r="B13" s="74" t="s">
        <v>460</v>
      </c>
      <c r="C13" s="74">
        <v>1</v>
      </c>
      <c r="D13" s="21"/>
      <c r="E13" s="21"/>
      <c r="F13" s="21"/>
      <c r="G13" s="21"/>
    </row>
    <row r="14" spans="1:7" ht="15" customHeight="1">
      <c r="A14" s="69"/>
      <c r="B14" s="74"/>
      <c r="C14" s="74"/>
      <c r="D14" s="21"/>
      <c r="E14" s="21"/>
      <c r="F14" s="21"/>
      <c r="G14" s="21"/>
    </row>
    <row r="15" spans="1:7" ht="15.75" customHeight="1">
      <c r="A15" s="69"/>
      <c r="B15" s="145" t="s">
        <v>48</v>
      </c>
      <c r="C15" s="145">
        <v>31</v>
      </c>
      <c r="D15" s="21"/>
      <c r="E15" s="21"/>
      <c r="F15" s="21"/>
      <c r="G15" s="21"/>
    </row>
    <row r="16" spans="1:7" ht="12.75">
      <c r="A16" s="21"/>
      <c r="B16" s="21"/>
      <c r="C16" s="21"/>
      <c r="D16" s="21"/>
      <c r="E16" s="21"/>
      <c r="F16" s="146"/>
      <c r="G16" s="21"/>
    </row>
    <row r="17" spans="1:7" ht="12.75">
      <c r="A17" s="21"/>
      <c r="B17" s="69"/>
      <c r="C17" s="21"/>
      <c r="D17" s="21"/>
      <c r="E17" s="21"/>
      <c r="F17" s="146"/>
      <c r="G17" s="21"/>
    </row>
    <row r="18" spans="1:7" ht="12.75">
      <c r="A18" s="21"/>
      <c r="B18" s="69"/>
      <c r="C18" s="21"/>
      <c r="D18" s="21"/>
      <c r="E18" s="21"/>
      <c r="F18" s="21"/>
      <c r="G18" s="21"/>
    </row>
    <row r="19" spans="1:7" ht="12.75">
      <c r="A19" s="21"/>
      <c r="B19" s="753"/>
      <c r="C19" s="753"/>
      <c r="D19" s="21"/>
      <c r="E19" s="21"/>
      <c r="F19" s="21"/>
      <c r="G19" s="21"/>
    </row>
    <row r="20" spans="1:7" ht="12.75">
      <c r="A20" s="21"/>
      <c r="B20" s="69"/>
      <c r="C20" s="71"/>
      <c r="D20" s="21"/>
      <c r="E20" s="21"/>
      <c r="F20" s="21"/>
      <c r="G20" s="21"/>
    </row>
    <row r="21" spans="1:7" ht="12.75">
      <c r="A21" s="21"/>
      <c r="B21" s="684" t="s">
        <v>461</v>
      </c>
      <c r="C21" s="684"/>
      <c r="D21" s="21"/>
      <c r="E21" s="21"/>
      <c r="F21" s="21"/>
      <c r="G21" s="21"/>
    </row>
    <row r="22" spans="1:7" ht="12.75">
      <c r="A22" s="21"/>
      <c r="B22" s="69"/>
      <c r="C22" s="69"/>
      <c r="D22" s="21"/>
      <c r="E22" s="21"/>
      <c r="F22" s="21"/>
      <c r="G22" s="21"/>
    </row>
    <row r="23" spans="1:7" ht="12.75" customHeight="1">
      <c r="A23" s="21"/>
      <c r="B23" s="247" t="s">
        <v>456</v>
      </c>
      <c r="C23" s="328" t="s">
        <v>462</v>
      </c>
      <c r="D23" s="328"/>
      <c r="E23" s="21"/>
      <c r="F23" s="21"/>
      <c r="G23" s="21"/>
    </row>
    <row r="24" spans="1:7" ht="12.75">
      <c r="A24" s="21"/>
      <c r="B24" s="247"/>
      <c r="C24" s="148" t="s">
        <v>463</v>
      </c>
      <c r="D24" s="19"/>
      <c r="E24" s="21"/>
      <c r="F24" s="21"/>
      <c r="G24" s="21"/>
    </row>
    <row r="25" spans="1:7" ht="12.75">
      <c r="A25" s="21"/>
      <c r="B25" s="149"/>
      <c r="C25" s="150"/>
      <c r="D25" s="151"/>
      <c r="E25" s="21"/>
      <c r="F25" s="21"/>
      <c r="G25" s="21"/>
    </row>
    <row r="26" spans="1:7" ht="15" customHeight="1">
      <c r="A26" s="21"/>
      <c r="B26" s="74" t="s">
        <v>42</v>
      </c>
      <c r="C26" s="74">
        <v>25</v>
      </c>
      <c r="D26" s="16"/>
      <c r="E26" s="21"/>
      <c r="F26" s="21"/>
      <c r="G26" s="21"/>
    </row>
    <row r="27" spans="1:7" ht="15" customHeight="1">
      <c r="A27" s="21"/>
      <c r="B27" s="75" t="s">
        <v>551</v>
      </c>
      <c r="C27" s="74">
        <v>0</v>
      </c>
      <c r="D27" s="16"/>
      <c r="E27" s="21"/>
      <c r="F27" s="21"/>
      <c r="G27" s="21"/>
    </row>
    <row r="28" spans="1:7" ht="15" customHeight="1">
      <c r="A28" s="21"/>
      <c r="B28" s="74" t="s">
        <v>465</v>
      </c>
      <c r="C28" s="74">
        <v>0</v>
      </c>
      <c r="D28" s="16"/>
      <c r="E28" s="21"/>
      <c r="F28" s="21"/>
      <c r="G28" s="21"/>
    </row>
    <row r="29" spans="1:7" ht="15.75" customHeight="1">
      <c r="A29" s="21"/>
      <c r="B29" s="145" t="s">
        <v>48</v>
      </c>
      <c r="C29" s="145">
        <f>SUM(C26:C28)</f>
        <v>25</v>
      </c>
      <c r="D29" s="145">
        <f>SUM(D26:D28)</f>
        <v>0</v>
      </c>
      <c r="E29" s="21"/>
      <c r="F29" s="21"/>
      <c r="G29" s="21"/>
    </row>
    <row r="30" spans="1:7" ht="12.75">
      <c r="A30" s="21"/>
      <c r="B30" s="21"/>
      <c r="C30" s="21"/>
      <c r="D30" s="21"/>
      <c r="E30" s="21"/>
      <c r="F30" s="21"/>
      <c r="G30" s="21"/>
    </row>
    <row r="31" spans="1:7" ht="12.75">
      <c r="A31" s="21"/>
      <c r="B31" s="21"/>
      <c r="C31" s="21"/>
      <c r="D31" s="21"/>
      <c r="E31" s="21"/>
      <c r="F31" s="21"/>
      <c r="G31" s="21"/>
    </row>
    <row r="32" spans="1:7" ht="12.75">
      <c r="A32" s="21"/>
      <c r="B32" s="21" t="s">
        <v>466</v>
      </c>
      <c r="C32" s="21"/>
      <c r="D32" s="21"/>
      <c r="E32" s="21"/>
      <c r="F32" s="21"/>
      <c r="G32" s="21"/>
    </row>
    <row r="33" spans="1:7" ht="12.75">
      <c r="A33" s="21"/>
      <c r="B33" s="21"/>
      <c r="C33" s="21"/>
      <c r="D33" s="21"/>
      <c r="E33" s="21"/>
      <c r="F33" s="21"/>
      <c r="G33" s="21"/>
    </row>
    <row r="34" spans="1:7" ht="12.75">
      <c r="A34" s="21"/>
      <c r="B34" s="247" t="s">
        <v>456</v>
      </c>
      <c r="C34" s="328" t="s">
        <v>462</v>
      </c>
      <c r="D34" s="328"/>
      <c r="E34" s="21"/>
      <c r="F34" s="21"/>
      <c r="G34" s="21"/>
    </row>
    <row r="35" spans="1:7" ht="12.75">
      <c r="A35" s="21"/>
      <c r="B35" s="247"/>
      <c r="C35" s="148" t="s">
        <v>463</v>
      </c>
      <c r="D35" s="19"/>
      <c r="E35" s="21"/>
      <c r="F35" s="21"/>
      <c r="G35" s="21"/>
    </row>
    <row r="36" spans="1:7" ht="12.75">
      <c r="A36" s="21"/>
      <c r="B36" s="149"/>
      <c r="C36" s="150"/>
      <c r="D36" s="151"/>
      <c r="E36" s="21"/>
      <c r="F36" s="21"/>
      <c r="G36" s="21"/>
    </row>
    <row r="37" spans="1:7" ht="12.75">
      <c r="A37" s="21"/>
      <c r="B37" s="74" t="s">
        <v>464</v>
      </c>
      <c r="C37" s="74">
        <v>1</v>
      </c>
      <c r="D37" s="16"/>
      <c r="E37" s="21"/>
      <c r="F37" s="21"/>
      <c r="G37" s="21"/>
    </row>
    <row r="38" spans="1:7" ht="12.75">
      <c r="A38" s="21"/>
      <c r="B38" s="75" t="s">
        <v>551</v>
      </c>
      <c r="C38" s="74">
        <v>0</v>
      </c>
      <c r="D38" s="16"/>
      <c r="E38" s="21"/>
      <c r="F38" s="21"/>
      <c r="G38" s="21"/>
    </row>
    <row r="39" spans="1:7" ht="12.75">
      <c r="A39" s="21"/>
      <c r="B39" s="74" t="s">
        <v>465</v>
      </c>
      <c r="C39" s="74">
        <v>0</v>
      </c>
      <c r="D39" s="16"/>
      <c r="E39" s="21"/>
      <c r="F39" s="21"/>
      <c r="G39" s="21"/>
    </row>
    <row r="40" spans="1:7" ht="12.75">
      <c r="A40" s="21"/>
      <c r="B40" s="145" t="s">
        <v>48</v>
      </c>
      <c r="C40" s="145">
        <f>SUM(C37:C39)</f>
        <v>1</v>
      </c>
      <c r="D40" s="145">
        <f>SUM(D37:D39)</f>
        <v>0</v>
      </c>
      <c r="E40" s="21"/>
      <c r="F40" s="21"/>
      <c r="G40" s="21"/>
    </row>
    <row r="41" spans="1:7" ht="12.75">
      <c r="A41" s="21"/>
      <c r="B41" s="21"/>
      <c r="C41" s="21"/>
      <c r="D41" s="21"/>
      <c r="E41" s="21"/>
      <c r="F41" s="21"/>
      <c r="G41" s="21"/>
    </row>
    <row r="42" spans="1:7" ht="12.75">
      <c r="A42" s="21"/>
      <c r="B42" s="21" t="s">
        <v>467</v>
      </c>
      <c r="C42" s="21"/>
      <c r="D42" s="21"/>
      <c r="E42" s="21"/>
      <c r="F42" s="21"/>
      <c r="G42" s="21"/>
    </row>
    <row r="43" spans="1:7" ht="12.75">
      <c r="A43" s="21"/>
      <c r="B43" s="21"/>
      <c r="C43" s="21"/>
      <c r="D43" s="21"/>
      <c r="E43" s="21"/>
      <c r="F43" s="21"/>
      <c r="G43" s="21"/>
    </row>
    <row r="44" spans="1:7" ht="12.75">
      <c r="A44" s="21"/>
      <c r="B44" s="247" t="s">
        <v>468</v>
      </c>
      <c r="C44" s="328" t="s">
        <v>469</v>
      </c>
      <c r="D44" s="328"/>
      <c r="E44" s="125" t="s">
        <v>470</v>
      </c>
      <c r="F44" s="127"/>
      <c r="G44" s="21"/>
    </row>
    <row r="45" spans="1:7" ht="12.75">
      <c r="A45" s="21"/>
      <c r="B45" s="329"/>
      <c r="C45" s="147" t="s">
        <v>471</v>
      </c>
      <c r="D45" s="754" t="s">
        <v>472</v>
      </c>
      <c r="E45" s="239" t="s">
        <v>471</v>
      </c>
      <c r="F45" s="240" t="s">
        <v>472</v>
      </c>
      <c r="G45" s="21"/>
    </row>
    <row r="46" spans="1:7" ht="12.75">
      <c r="A46" s="21"/>
      <c r="B46" s="152" t="s">
        <v>473</v>
      </c>
      <c r="C46" s="154">
        <v>1</v>
      </c>
      <c r="D46" s="153" t="s">
        <v>474</v>
      </c>
      <c r="E46" s="153">
        <v>1</v>
      </c>
      <c r="F46" s="153" t="s">
        <v>475</v>
      </c>
      <c r="G46" s="21"/>
    </row>
    <row r="47" spans="1:7" ht="12.75">
      <c r="A47" s="21"/>
      <c r="B47" s="152" t="s">
        <v>415</v>
      </c>
      <c r="C47" s="155">
        <v>1</v>
      </c>
      <c r="D47" s="153" t="s">
        <v>474</v>
      </c>
      <c r="E47" s="153">
        <v>2</v>
      </c>
      <c r="F47" s="153" t="s">
        <v>476</v>
      </c>
      <c r="G47" s="21"/>
    </row>
    <row r="48" spans="1:7" ht="25.5" customHeight="1">
      <c r="A48" s="21"/>
      <c r="B48" s="152" t="s">
        <v>390</v>
      </c>
      <c r="C48" s="153">
        <v>2</v>
      </c>
      <c r="D48" s="153" t="s">
        <v>477</v>
      </c>
      <c r="E48" s="153">
        <v>4</v>
      </c>
      <c r="F48" s="156" t="s">
        <v>478</v>
      </c>
      <c r="G48" s="21"/>
    </row>
    <row r="49" spans="1:7" ht="25.5">
      <c r="A49" s="21"/>
      <c r="B49" s="152" t="s">
        <v>389</v>
      </c>
      <c r="C49" s="153">
        <v>2</v>
      </c>
      <c r="D49" s="153" t="s">
        <v>479</v>
      </c>
      <c r="E49" s="153">
        <v>1</v>
      </c>
      <c r="F49" s="153" t="s">
        <v>480</v>
      </c>
      <c r="G49" s="21"/>
    </row>
    <row r="50" spans="1:7" ht="12.75">
      <c r="A50" s="21"/>
      <c r="B50" s="152" t="s">
        <v>427</v>
      </c>
      <c r="C50" s="153">
        <v>18</v>
      </c>
      <c r="D50" s="153" t="s">
        <v>481</v>
      </c>
      <c r="E50" s="153"/>
      <c r="F50" s="153"/>
      <c r="G50" s="21"/>
    </row>
    <row r="51" spans="1:7" ht="12.75">
      <c r="A51" s="21"/>
      <c r="B51" s="152" t="s">
        <v>426</v>
      </c>
      <c r="C51" s="153"/>
      <c r="D51" s="153"/>
      <c r="E51" s="153">
        <v>2</v>
      </c>
      <c r="F51" s="153" t="s">
        <v>482</v>
      </c>
      <c r="G51" s="21"/>
    </row>
    <row r="52" spans="2:6" ht="12.75">
      <c r="B52" s="152" t="s">
        <v>550</v>
      </c>
      <c r="C52" s="153">
        <v>2</v>
      </c>
      <c r="D52" s="153" t="s">
        <v>477</v>
      </c>
      <c r="E52" s="241"/>
      <c r="F52" s="241"/>
    </row>
    <row r="53" spans="2:6" ht="12.75">
      <c r="B53" s="152" t="s">
        <v>684</v>
      </c>
      <c r="C53" s="153">
        <v>1</v>
      </c>
      <c r="D53" s="153" t="s">
        <v>685</v>
      </c>
      <c r="E53" s="241"/>
      <c r="F53" s="241"/>
    </row>
    <row r="54" spans="2:6" ht="12.75">
      <c r="B54" s="152" t="s">
        <v>686</v>
      </c>
      <c r="C54" s="755">
        <v>1</v>
      </c>
      <c r="D54" s="755" t="s">
        <v>687</v>
      </c>
      <c r="E54" s="241"/>
      <c r="F54" s="241"/>
    </row>
  </sheetData>
  <sheetProtection selectLockedCells="1" selectUnlockedCells="1"/>
  <mergeCells count="11">
    <mergeCell ref="B34:B35"/>
    <mergeCell ref="C34:D34"/>
    <mergeCell ref="B44:B45"/>
    <mergeCell ref="C44:D44"/>
    <mergeCell ref="A2:E2"/>
    <mergeCell ref="B4:C4"/>
    <mergeCell ref="E6:G6"/>
    <mergeCell ref="B19:C19"/>
    <mergeCell ref="B21:C21"/>
    <mergeCell ref="B23:B24"/>
    <mergeCell ref="C23:D23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40" activePane="bottomLeft" state="frozen"/>
      <selection pane="topLeft" activeCell="A1" sqref="A1"/>
      <selection pane="bottomLeft" activeCell="A1" sqref="A1:IV1"/>
    </sheetView>
  </sheetViews>
  <sheetFormatPr defaultColWidth="7.625" defaultRowHeight="12.75"/>
  <cols>
    <col min="1" max="1" width="10.75390625" style="347" customWidth="1"/>
    <col min="2" max="2" width="7.25390625" style="347" customWidth="1"/>
    <col min="3" max="3" width="7.625" style="3" customWidth="1"/>
    <col min="4" max="4" width="65.125" style="3" customWidth="1"/>
    <col min="5" max="5" width="9.25390625" style="3" customWidth="1"/>
    <col min="6" max="6" width="8.125" style="3" customWidth="1"/>
    <col min="7" max="7" width="10.75390625" style="3" customWidth="1"/>
    <col min="8" max="8" width="9.25390625" style="3" customWidth="1"/>
    <col min="9" max="9" width="9.625" style="3" customWidth="1"/>
    <col min="10" max="10" width="7.00390625" style="3" customWidth="1"/>
    <col min="11" max="15" width="8.125" style="3" customWidth="1"/>
    <col min="16" max="16" width="10.875" style="347" customWidth="1"/>
    <col min="17" max="16384" width="7.625" style="3" customWidth="1"/>
  </cols>
  <sheetData>
    <row r="1" ht="15.75" hidden="1">
      <c r="A1" s="347" t="s">
        <v>581</v>
      </c>
    </row>
    <row r="2" spans="1:6" ht="18" customHeight="1">
      <c r="A2" s="21" t="s">
        <v>558</v>
      </c>
      <c r="B2" s="21"/>
      <c r="C2" s="71"/>
      <c r="D2" s="71"/>
      <c r="E2" s="1"/>
      <c r="F2"/>
    </row>
    <row r="3" spans="1:4" ht="28.5" customHeight="1">
      <c r="A3" s="23"/>
      <c r="B3" s="23"/>
      <c r="C3" s="21"/>
      <c r="D3" s="21"/>
    </row>
    <row r="4" spans="1:16" s="347" customFormat="1" ht="16.5" customHeight="1">
      <c r="A4" s="270" t="s">
        <v>40</v>
      </c>
      <c r="B4" s="271"/>
      <c r="C4" s="272"/>
      <c r="D4" s="268" t="s">
        <v>41</v>
      </c>
      <c r="E4" s="358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</row>
    <row r="5" spans="1:16" s="349" customFormat="1" ht="21" customHeight="1">
      <c r="A5" s="183" t="s">
        <v>347</v>
      </c>
      <c r="B5" s="184" t="s">
        <v>331</v>
      </c>
      <c r="C5" s="184"/>
      <c r="D5" s="268"/>
      <c r="E5" s="356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</row>
    <row r="6" spans="1:16" s="5" customFormat="1" ht="15.75" customHeight="1">
      <c r="A6" s="268">
        <v>1</v>
      </c>
      <c r="B6" s="268"/>
      <c r="C6" s="269"/>
      <c r="D6" s="269" t="s">
        <v>42</v>
      </c>
      <c r="E6" s="4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2"/>
    </row>
    <row r="7" spans="1:16" s="5" customFormat="1" ht="3" customHeight="1">
      <c r="A7" s="268"/>
      <c r="B7" s="268"/>
      <c r="C7" s="269"/>
      <c r="D7" s="269"/>
      <c r="E7" s="4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2"/>
    </row>
    <row r="8" spans="1:16" s="5" customFormat="1" ht="15.75">
      <c r="A8" s="181"/>
      <c r="B8" s="181">
        <v>1</v>
      </c>
      <c r="C8" s="182"/>
      <c r="D8" s="101" t="s">
        <v>43</v>
      </c>
      <c r="E8" s="4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2"/>
    </row>
    <row r="9" spans="1:16" s="5" customFormat="1" ht="29.25" customHeight="1">
      <c r="A9" s="181"/>
      <c r="B9" s="181">
        <v>2</v>
      </c>
      <c r="C9" s="182"/>
      <c r="D9" s="101" t="s">
        <v>326</v>
      </c>
      <c r="E9" s="4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2"/>
    </row>
    <row r="10" spans="1:16" s="5" customFormat="1" ht="27.75" customHeight="1">
      <c r="A10" s="181"/>
      <c r="B10" s="181"/>
      <c r="C10" s="185" t="s">
        <v>133</v>
      </c>
      <c r="D10" s="101" t="s">
        <v>332</v>
      </c>
      <c r="E10" s="4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2"/>
    </row>
    <row r="11" spans="1:16" s="5" customFormat="1" ht="17.25" customHeight="1">
      <c r="A11" s="181"/>
      <c r="B11" s="181"/>
      <c r="C11" s="186" t="s">
        <v>134</v>
      </c>
      <c r="D11" s="101" t="s">
        <v>333</v>
      </c>
      <c r="E11" s="4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2"/>
    </row>
    <row r="12" spans="1:16" s="5" customFormat="1" ht="29.25" customHeight="1">
      <c r="A12" s="181"/>
      <c r="B12" s="181"/>
      <c r="C12" s="186" t="s">
        <v>135</v>
      </c>
      <c r="D12" s="101" t="s">
        <v>334</v>
      </c>
      <c r="E12" s="4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2"/>
    </row>
    <row r="13" spans="1:16" s="5" customFormat="1" ht="15.75" customHeight="1">
      <c r="A13" s="181"/>
      <c r="B13" s="181"/>
      <c r="C13" s="186" t="s">
        <v>136</v>
      </c>
      <c r="D13" s="101" t="s">
        <v>335</v>
      </c>
      <c r="E13" s="4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2"/>
    </row>
    <row r="14" spans="1:16" s="5" customFormat="1" ht="18.75" customHeight="1">
      <c r="A14" s="181"/>
      <c r="B14" s="181"/>
      <c r="C14" s="186" t="s">
        <v>273</v>
      </c>
      <c r="D14" s="101" t="s">
        <v>420</v>
      </c>
      <c r="E14" s="4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2"/>
    </row>
    <row r="15" spans="1:16" s="5" customFormat="1" ht="27.75" customHeight="1">
      <c r="A15" s="181"/>
      <c r="B15" s="181"/>
      <c r="C15" s="186" t="s">
        <v>275</v>
      </c>
      <c r="D15" s="101" t="s">
        <v>336</v>
      </c>
      <c r="E15" s="4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2"/>
    </row>
    <row r="16" spans="1:16" s="5" customFormat="1" ht="17.25" customHeight="1">
      <c r="A16" s="181"/>
      <c r="B16" s="181"/>
      <c r="C16" s="186" t="s">
        <v>277</v>
      </c>
      <c r="D16" s="101" t="s">
        <v>337</v>
      </c>
      <c r="E16" s="4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2"/>
    </row>
    <row r="17" spans="1:16" s="5" customFormat="1" ht="17.25" customHeight="1">
      <c r="A17" s="181"/>
      <c r="B17" s="181"/>
      <c r="C17" s="186" t="s">
        <v>279</v>
      </c>
      <c r="D17" s="101" t="s">
        <v>485</v>
      </c>
      <c r="E17" s="4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2"/>
    </row>
    <row r="18" spans="1:16" s="5" customFormat="1" ht="21" customHeight="1">
      <c r="A18" s="181"/>
      <c r="B18" s="181"/>
      <c r="C18" s="186" t="s">
        <v>281</v>
      </c>
      <c r="D18" s="101" t="s">
        <v>338</v>
      </c>
      <c r="E18" s="4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2"/>
    </row>
    <row r="19" spans="1:16" s="5" customFormat="1" ht="17.25" customHeight="1">
      <c r="A19" s="181"/>
      <c r="B19" s="181">
        <v>3</v>
      </c>
      <c r="C19" s="182"/>
      <c r="D19" s="101" t="s">
        <v>94</v>
      </c>
      <c r="E19" s="4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2"/>
    </row>
    <row r="20" spans="1:16" s="5" customFormat="1" ht="27" customHeight="1">
      <c r="A20" s="181"/>
      <c r="B20" s="181"/>
      <c r="C20" s="182" t="s">
        <v>133</v>
      </c>
      <c r="D20" s="101" t="s">
        <v>339</v>
      </c>
      <c r="E20" s="4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2"/>
    </row>
    <row r="21" spans="1:16" s="5" customFormat="1" ht="17.25" customHeight="1">
      <c r="A21" s="181"/>
      <c r="B21" s="181"/>
      <c r="C21" s="182" t="s">
        <v>134</v>
      </c>
      <c r="D21" s="101" t="s">
        <v>340</v>
      </c>
      <c r="E21" s="4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2"/>
    </row>
    <row r="22" spans="1:16" s="5" customFormat="1" ht="18.75" customHeight="1">
      <c r="A22" s="181"/>
      <c r="B22" s="181"/>
      <c r="C22" s="182" t="s">
        <v>135</v>
      </c>
      <c r="D22" s="101" t="s">
        <v>341</v>
      </c>
      <c r="E22" s="4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2"/>
    </row>
    <row r="23" spans="1:16" s="5" customFormat="1" ht="18" customHeight="1">
      <c r="A23" s="181"/>
      <c r="B23" s="181"/>
      <c r="C23" s="182" t="s">
        <v>342</v>
      </c>
      <c r="D23" s="101" t="s">
        <v>343</v>
      </c>
      <c r="E23" s="4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2"/>
    </row>
    <row r="24" spans="1:16" s="5" customFormat="1" ht="15" customHeight="1">
      <c r="A24" s="181"/>
      <c r="B24" s="181">
        <v>4</v>
      </c>
      <c r="C24" s="182"/>
      <c r="D24" s="101" t="s">
        <v>95</v>
      </c>
      <c r="E24" s="4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2"/>
    </row>
    <row r="25" spans="1:16" s="5" customFormat="1" ht="25.5" customHeight="1">
      <c r="A25" s="181"/>
      <c r="B25" s="181"/>
      <c r="C25" s="182" t="s">
        <v>133</v>
      </c>
      <c r="D25" s="101" t="s">
        <v>424</v>
      </c>
      <c r="E25" s="4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2"/>
    </row>
    <row r="26" spans="1:16" s="5" customFormat="1" ht="25.5" customHeight="1">
      <c r="A26" s="181"/>
      <c r="B26" s="181"/>
      <c r="C26" s="182" t="s">
        <v>134</v>
      </c>
      <c r="D26" s="101" t="s">
        <v>344</v>
      </c>
      <c r="E26" s="4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2"/>
    </row>
    <row r="27" spans="1:16" s="5" customFormat="1" ht="21" customHeight="1">
      <c r="A27" s="181"/>
      <c r="B27" s="181"/>
      <c r="C27" s="182" t="s">
        <v>135</v>
      </c>
      <c r="D27" s="101" t="s">
        <v>425</v>
      </c>
      <c r="E27" s="4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2"/>
    </row>
    <row r="28" spans="1:16" s="5" customFormat="1" ht="25.5" customHeight="1">
      <c r="A28" s="181"/>
      <c r="B28" s="181"/>
      <c r="C28" s="182" t="s">
        <v>136</v>
      </c>
      <c r="D28" s="101" t="s">
        <v>345</v>
      </c>
      <c r="E28" s="4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2"/>
    </row>
    <row r="29" spans="1:16" s="5" customFormat="1" ht="25.5" customHeight="1">
      <c r="A29" s="181"/>
      <c r="B29" s="181"/>
      <c r="C29" s="182" t="s">
        <v>273</v>
      </c>
      <c r="D29" s="17" t="s">
        <v>382</v>
      </c>
      <c r="E29" s="4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2"/>
    </row>
    <row r="30" spans="1:16" s="5" customFormat="1" ht="25.5" customHeight="1">
      <c r="A30" s="181"/>
      <c r="B30" s="181">
        <v>5</v>
      </c>
      <c r="C30" s="182"/>
      <c r="D30" s="101" t="s">
        <v>327</v>
      </c>
      <c r="E30" s="4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2"/>
    </row>
    <row r="31" spans="1:16" s="5" customFormat="1" ht="25.5" customHeight="1">
      <c r="A31" s="181"/>
      <c r="B31" s="181"/>
      <c r="C31" s="182">
        <v>1</v>
      </c>
      <c r="D31" s="101" t="s">
        <v>349</v>
      </c>
      <c r="E31" s="4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2"/>
    </row>
    <row r="32" spans="1:16" s="5" customFormat="1" ht="25.5" customHeight="1">
      <c r="A32" s="181"/>
      <c r="B32" s="181"/>
      <c r="C32" s="182">
        <v>2</v>
      </c>
      <c r="D32" s="101" t="s">
        <v>421</v>
      </c>
      <c r="E32" s="4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2"/>
    </row>
    <row r="33" spans="1:16" s="5" customFormat="1" ht="25.5" customHeight="1">
      <c r="A33" s="181"/>
      <c r="B33" s="181"/>
      <c r="C33" s="182">
        <v>3</v>
      </c>
      <c r="D33" s="101" t="s">
        <v>422</v>
      </c>
      <c r="E33" s="4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2"/>
    </row>
    <row r="34" spans="1:16" s="5" customFormat="1" ht="25.5" customHeight="1">
      <c r="A34" s="181"/>
      <c r="B34" s="181">
        <v>6</v>
      </c>
      <c r="C34" s="182"/>
      <c r="D34" s="101" t="s">
        <v>328</v>
      </c>
      <c r="E34" s="4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2"/>
    </row>
    <row r="35" spans="1:16" s="5" customFormat="1" ht="25.5" customHeight="1">
      <c r="A35" s="181"/>
      <c r="B35" s="181">
        <v>7</v>
      </c>
      <c r="C35" s="182"/>
      <c r="D35" s="101" t="s">
        <v>96</v>
      </c>
      <c r="E35" s="4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2"/>
    </row>
    <row r="36" spans="1:16" s="349" customFormat="1" ht="30.75" customHeight="1">
      <c r="A36" s="181"/>
      <c r="B36" s="181">
        <v>8</v>
      </c>
      <c r="C36" s="182"/>
      <c r="D36" s="101" t="s">
        <v>346</v>
      </c>
      <c r="E36" s="355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</row>
    <row r="37" spans="1:16" s="349" customFormat="1" ht="30.75" customHeight="1">
      <c r="A37" s="181"/>
      <c r="B37" s="181">
        <v>9</v>
      </c>
      <c r="C37" s="182"/>
      <c r="D37" s="101" t="s">
        <v>423</v>
      </c>
      <c r="E37" s="355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</row>
    <row r="38" spans="1:16" s="349" customFormat="1" ht="30.75" customHeight="1">
      <c r="A38" s="181"/>
      <c r="B38" s="181"/>
      <c r="C38" s="182">
        <v>1</v>
      </c>
      <c r="D38" s="101" t="s">
        <v>396</v>
      </c>
      <c r="E38" s="355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</row>
    <row r="39" spans="1:16" s="349" customFormat="1" ht="30.75" customHeight="1">
      <c r="A39" s="181"/>
      <c r="B39" s="181"/>
      <c r="C39" s="182">
        <v>2</v>
      </c>
      <c r="D39" s="101" t="s">
        <v>410</v>
      </c>
      <c r="E39" s="355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4"/>
    </row>
    <row r="40" spans="1:16" s="349" customFormat="1" ht="30.75" customHeight="1">
      <c r="A40" s="181"/>
      <c r="B40" s="181"/>
      <c r="C40" s="182">
        <v>3</v>
      </c>
      <c r="D40" s="101" t="s">
        <v>414</v>
      </c>
      <c r="E40" s="355"/>
      <c r="F40" s="354"/>
      <c r="G40" s="354"/>
      <c r="H40" s="354"/>
      <c r="I40" s="354"/>
      <c r="J40" s="354"/>
      <c r="K40" s="354"/>
      <c r="L40" s="354"/>
      <c r="M40" s="354"/>
      <c r="N40" s="354"/>
      <c r="O40" s="354"/>
      <c r="P40" s="354"/>
    </row>
    <row r="41" spans="1:16" s="349" customFormat="1" ht="30.75" customHeight="1">
      <c r="A41" s="181"/>
      <c r="B41" s="181"/>
      <c r="C41" s="182">
        <v>4</v>
      </c>
      <c r="D41" s="101" t="s">
        <v>415</v>
      </c>
      <c r="E41" s="355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</row>
    <row r="42" spans="1:16" s="349" customFormat="1" ht="30.75" customHeight="1">
      <c r="A42" s="181"/>
      <c r="B42" s="181"/>
      <c r="C42" s="182">
        <v>5</v>
      </c>
      <c r="D42" s="101" t="s">
        <v>416</v>
      </c>
      <c r="E42" s="355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</row>
    <row r="43" spans="1:16" s="349" customFormat="1" ht="30.75" customHeight="1">
      <c r="A43" s="181"/>
      <c r="B43" s="181"/>
      <c r="C43" s="182">
        <v>6</v>
      </c>
      <c r="D43" s="101" t="s">
        <v>497</v>
      </c>
      <c r="E43" s="355"/>
      <c r="F43" s="354"/>
      <c r="G43" s="354"/>
      <c r="H43" s="354"/>
      <c r="I43" s="354"/>
      <c r="J43" s="354"/>
      <c r="K43" s="354"/>
      <c r="L43" s="354"/>
      <c r="M43" s="354"/>
      <c r="N43" s="354"/>
      <c r="O43" s="354"/>
      <c r="P43" s="354"/>
    </row>
    <row r="44" spans="1:16" s="349" customFormat="1" ht="30.75" customHeight="1">
      <c r="A44" s="181"/>
      <c r="B44" s="181"/>
      <c r="C44" s="182">
        <v>7</v>
      </c>
      <c r="D44" s="101" t="s">
        <v>390</v>
      </c>
      <c r="E44" s="355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</row>
    <row r="45" spans="1:16" s="349" customFormat="1" ht="30.75" customHeight="1">
      <c r="A45" s="181"/>
      <c r="B45" s="181"/>
      <c r="C45" s="182">
        <v>8</v>
      </c>
      <c r="D45" s="101" t="s">
        <v>389</v>
      </c>
      <c r="E45" s="355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</row>
    <row r="46" spans="1:16" s="349" customFormat="1" ht="30.75" customHeight="1">
      <c r="A46" s="181"/>
      <c r="B46" s="181"/>
      <c r="C46" s="182">
        <v>9</v>
      </c>
      <c r="D46" s="101" t="s">
        <v>426</v>
      </c>
      <c r="E46" s="355"/>
      <c r="F46" s="354"/>
      <c r="G46" s="354"/>
      <c r="H46" s="354"/>
      <c r="I46" s="354"/>
      <c r="J46" s="354"/>
      <c r="K46" s="354"/>
      <c r="L46" s="354"/>
      <c r="M46" s="354"/>
      <c r="N46" s="354"/>
      <c r="O46" s="354"/>
      <c r="P46" s="354"/>
    </row>
    <row r="47" spans="1:16" s="349" customFormat="1" ht="30.75" customHeight="1">
      <c r="A47" s="181"/>
      <c r="B47" s="181"/>
      <c r="C47" s="182">
        <v>10</v>
      </c>
      <c r="D47" s="101" t="s">
        <v>427</v>
      </c>
      <c r="E47" s="355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54"/>
    </row>
    <row r="48" spans="1:16" s="349" customFormat="1" ht="30.75" customHeight="1">
      <c r="A48" s="181"/>
      <c r="B48" s="181"/>
      <c r="C48" s="182">
        <v>11</v>
      </c>
      <c r="D48" s="101" t="s">
        <v>498</v>
      </c>
      <c r="E48" s="355"/>
      <c r="F48" s="354"/>
      <c r="G48" s="354"/>
      <c r="H48" s="354"/>
      <c r="I48" s="354"/>
      <c r="J48" s="354"/>
      <c r="K48" s="354"/>
      <c r="L48" s="354"/>
      <c r="M48" s="354"/>
      <c r="N48" s="354"/>
      <c r="O48" s="354"/>
      <c r="P48" s="354"/>
    </row>
    <row r="49" spans="1:16" s="349" customFormat="1" ht="30.75" customHeight="1">
      <c r="A49" s="181"/>
      <c r="B49" s="181"/>
      <c r="C49" s="182">
        <v>12</v>
      </c>
      <c r="D49" s="101" t="s">
        <v>580</v>
      </c>
      <c r="E49" s="355"/>
      <c r="F49" s="354"/>
      <c r="G49" s="354"/>
      <c r="H49" s="354"/>
      <c r="I49" s="354"/>
      <c r="J49" s="354"/>
      <c r="K49" s="354"/>
      <c r="L49" s="354"/>
      <c r="M49" s="354"/>
      <c r="N49" s="354"/>
      <c r="O49" s="354"/>
      <c r="P49" s="354"/>
    </row>
    <row r="50" spans="1:16" s="349" customFormat="1" ht="30.75" customHeight="1">
      <c r="A50" s="181"/>
      <c r="B50" s="181">
        <v>10</v>
      </c>
      <c r="C50" s="182"/>
      <c r="D50" s="101" t="s">
        <v>499</v>
      </c>
      <c r="E50" s="355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</row>
    <row r="51" spans="1:16" s="349" customFormat="1" ht="30.75" customHeight="1">
      <c r="A51" s="181"/>
      <c r="B51" s="181"/>
      <c r="C51" s="182">
        <v>1</v>
      </c>
      <c r="D51" s="101" t="s">
        <v>500</v>
      </c>
      <c r="E51" s="355"/>
      <c r="F51" s="354"/>
      <c r="G51" s="354"/>
      <c r="H51" s="354"/>
      <c r="I51" s="354"/>
      <c r="J51" s="354"/>
      <c r="K51" s="354"/>
      <c r="L51" s="354"/>
      <c r="M51" s="354"/>
      <c r="N51" s="354"/>
      <c r="O51" s="354"/>
      <c r="P51" s="354"/>
    </row>
    <row r="52" spans="1:16" s="349" customFormat="1" ht="30.75" customHeight="1">
      <c r="A52" s="181"/>
      <c r="B52" s="181"/>
      <c r="C52" s="182">
        <v>2</v>
      </c>
      <c r="D52" s="101" t="s">
        <v>501</v>
      </c>
      <c r="E52" s="355"/>
      <c r="F52" s="354"/>
      <c r="G52" s="354"/>
      <c r="H52" s="354"/>
      <c r="I52" s="354"/>
      <c r="J52" s="354"/>
      <c r="K52" s="354"/>
      <c r="L52" s="354"/>
      <c r="M52" s="354"/>
      <c r="N52" s="354"/>
      <c r="O52" s="354"/>
      <c r="P52" s="354"/>
    </row>
    <row r="53" spans="1:16" s="349" customFormat="1" ht="30.75" customHeight="1">
      <c r="A53" s="181"/>
      <c r="B53" s="181"/>
      <c r="C53" s="182">
        <v>3</v>
      </c>
      <c r="D53" s="101" t="s">
        <v>502</v>
      </c>
      <c r="E53" s="355"/>
      <c r="F53" s="354"/>
      <c r="G53" s="354"/>
      <c r="H53" s="354"/>
      <c r="I53" s="354"/>
      <c r="J53" s="354"/>
      <c r="K53" s="354"/>
      <c r="L53" s="354"/>
      <c r="M53" s="354"/>
      <c r="N53" s="354"/>
      <c r="O53" s="354"/>
      <c r="P53" s="354"/>
    </row>
    <row r="54" spans="1:16" s="5" customFormat="1" ht="34.5" customHeight="1">
      <c r="A54" s="181">
        <v>2</v>
      </c>
      <c r="B54" s="181"/>
      <c r="C54" s="181"/>
      <c r="D54" s="180" t="s">
        <v>44</v>
      </c>
      <c r="E54" s="4"/>
      <c r="F54" s="353"/>
      <c r="G54" s="353"/>
      <c r="H54" s="353"/>
      <c r="I54" s="353"/>
      <c r="J54" s="353"/>
      <c r="K54" s="353"/>
      <c r="L54" s="353"/>
      <c r="M54" s="353"/>
      <c r="N54" s="353"/>
      <c r="O54" s="353"/>
      <c r="P54" s="352"/>
    </row>
    <row r="55" spans="1:16" s="5" customFormat="1" ht="30.75" customHeight="1">
      <c r="A55" s="268"/>
      <c r="B55" s="181"/>
      <c r="C55" s="273">
        <v>1</v>
      </c>
      <c r="D55" s="274" t="s">
        <v>45</v>
      </c>
      <c r="E55" s="4"/>
      <c r="F55" s="353"/>
      <c r="G55" s="353"/>
      <c r="H55" s="353"/>
      <c r="I55" s="353"/>
      <c r="J55" s="353"/>
      <c r="K55" s="353"/>
      <c r="L55" s="353"/>
      <c r="M55" s="353"/>
      <c r="N55" s="353"/>
      <c r="O55" s="353"/>
      <c r="P55" s="352"/>
    </row>
    <row r="56" spans="1:16" s="5" customFormat="1" ht="15.75" customHeight="1" hidden="1">
      <c r="A56" s="268"/>
      <c r="B56" s="181"/>
      <c r="C56" s="273"/>
      <c r="D56" s="274"/>
      <c r="E56" s="4"/>
      <c r="F56" s="353"/>
      <c r="G56" s="353"/>
      <c r="H56" s="353"/>
      <c r="I56" s="353"/>
      <c r="J56" s="353"/>
      <c r="K56" s="353"/>
      <c r="L56" s="353"/>
      <c r="M56" s="353"/>
      <c r="N56" s="353"/>
      <c r="O56" s="353"/>
      <c r="P56" s="352"/>
    </row>
    <row r="57" spans="1:16" s="5" customFormat="1" ht="15.75">
      <c r="A57" s="19"/>
      <c r="B57" s="19"/>
      <c r="C57" s="51">
        <v>2</v>
      </c>
      <c r="D57" s="16" t="s">
        <v>383</v>
      </c>
      <c r="E57" s="4"/>
      <c r="F57" s="353"/>
      <c r="G57" s="353"/>
      <c r="H57" s="353"/>
      <c r="I57" s="353"/>
      <c r="J57" s="353"/>
      <c r="K57" s="353"/>
      <c r="L57" s="353"/>
      <c r="M57" s="353"/>
      <c r="N57" s="353"/>
      <c r="O57" s="353"/>
      <c r="P57" s="352"/>
    </row>
    <row r="58" spans="1:16" s="5" customFormat="1" ht="26.25" customHeight="1">
      <c r="A58" s="181" t="s">
        <v>135</v>
      </c>
      <c r="B58" s="181"/>
      <c r="C58" s="181"/>
      <c r="D58" s="180" t="s">
        <v>551</v>
      </c>
      <c r="E58" s="4"/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2"/>
    </row>
    <row r="59" spans="1:16" s="5" customFormat="1" ht="36.75" customHeight="1">
      <c r="A59" s="268"/>
      <c r="B59" s="181"/>
      <c r="C59" s="273">
        <v>1</v>
      </c>
      <c r="D59" s="274" t="s">
        <v>98</v>
      </c>
      <c r="E59" s="4"/>
      <c r="F59" s="353"/>
      <c r="G59" s="353"/>
      <c r="H59" s="353"/>
      <c r="I59" s="353"/>
      <c r="J59" s="353"/>
      <c r="K59" s="353"/>
      <c r="L59" s="353"/>
      <c r="M59" s="353"/>
      <c r="N59" s="353"/>
      <c r="O59" s="353"/>
      <c r="P59" s="352"/>
    </row>
    <row r="60" spans="1:16" s="5" customFormat="1" ht="15.75" hidden="1">
      <c r="A60" s="268"/>
      <c r="B60" s="181"/>
      <c r="C60" s="273"/>
      <c r="D60" s="274"/>
      <c r="E60" s="4"/>
      <c r="F60" s="353"/>
      <c r="G60" s="353"/>
      <c r="H60" s="353"/>
      <c r="I60" s="353"/>
      <c r="J60" s="353"/>
      <c r="K60" s="353"/>
      <c r="L60" s="353"/>
      <c r="M60" s="353"/>
      <c r="N60" s="353"/>
      <c r="O60" s="353"/>
      <c r="P60" s="352"/>
    </row>
    <row r="61" spans="1:16" s="349" customFormat="1" ht="25.5" customHeight="1" hidden="1">
      <c r="A61" s="180"/>
      <c r="B61" s="180"/>
      <c r="C61" s="182"/>
      <c r="D61" s="101"/>
      <c r="E61" s="351"/>
      <c r="F61" s="351"/>
      <c r="G61" s="351"/>
      <c r="H61" s="351"/>
      <c r="I61" s="351"/>
      <c r="J61" s="351"/>
      <c r="K61" s="351"/>
      <c r="L61" s="351"/>
      <c r="M61" s="351"/>
      <c r="N61" s="351"/>
      <c r="O61" s="351"/>
      <c r="P61" s="350"/>
    </row>
    <row r="62" spans="1:16" ht="38.25" customHeight="1">
      <c r="A62" s="180"/>
      <c r="B62" s="180"/>
      <c r="C62" s="182">
        <v>2</v>
      </c>
      <c r="D62" s="101" t="s">
        <v>384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348"/>
    </row>
  </sheetData>
  <sheetProtection selectLockedCells="1" selectUnlockedCells="1"/>
  <mergeCells count="12">
    <mergeCell ref="A4:C4"/>
    <mergeCell ref="D4:D5"/>
    <mergeCell ref="A6:A7"/>
    <mergeCell ref="B6:B7"/>
    <mergeCell ref="C6:C7"/>
    <mergeCell ref="D6:D7"/>
    <mergeCell ref="A55:A56"/>
    <mergeCell ref="C55:C56"/>
    <mergeCell ref="D55:D56"/>
    <mergeCell ref="A59:A60"/>
    <mergeCell ref="C59:C60"/>
    <mergeCell ref="D59:D60"/>
  </mergeCells>
  <printOptions horizontalCentered="1"/>
  <pageMargins left="0.5097222222222222" right="0.27569444444444446" top="0.6097222222222223" bottom="0.3701388888888889" header="0.5118055555555555" footer="0.5118055555555555"/>
  <pageSetup horizontalDpi="300" verticalDpi="3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PageLayoutView="0" workbookViewId="0" topLeftCell="A1">
      <selection activeCell="B2" sqref="B2"/>
    </sheetView>
  </sheetViews>
  <sheetFormatPr defaultColWidth="9.00390625" defaultRowHeight="12.75"/>
  <cols>
    <col min="3" max="3" width="9.875" style="0" customWidth="1"/>
    <col min="4" max="4" width="12.875" style="0" customWidth="1"/>
    <col min="5" max="5" width="10.375" style="0" customWidth="1"/>
    <col min="6" max="6" width="11.25390625" style="0" customWidth="1"/>
    <col min="7" max="7" width="11.125" style="0" customWidth="1"/>
    <col min="8" max="8" width="6.625" style="0" customWidth="1"/>
    <col min="9" max="9" width="24.875" style="0" customWidth="1"/>
    <col min="10" max="10" width="11.25390625" style="0" customWidth="1"/>
    <col min="11" max="11" width="10.375" style="0" customWidth="1"/>
    <col min="12" max="12" width="11.125" style="0" customWidth="1"/>
    <col min="13" max="13" width="9.75390625" style="0" customWidth="1"/>
  </cols>
  <sheetData>
    <row r="1" spans="1:13" ht="12.75">
      <c r="A1" s="21" t="s">
        <v>575</v>
      </c>
      <c r="B1" s="71"/>
      <c r="C1" s="7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2" customHeight="1">
      <c r="A3" s="21"/>
      <c r="B3" s="21"/>
      <c r="C3" s="21"/>
      <c r="D3" s="21"/>
      <c r="E3" s="21"/>
      <c r="F3" s="21"/>
      <c r="G3" s="21"/>
      <c r="H3" s="21"/>
      <c r="I3" s="157"/>
      <c r="J3" s="71"/>
      <c r="K3" s="21"/>
      <c r="L3" s="21"/>
      <c r="M3" s="21"/>
    </row>
    <row r="4" spans="1:13" ht="12.75">
      <c r="A4" s="243"/>
      <c r="B4" s="243"/>
      <c r="C4" s="243"/>
      <c r="D4" s="243"/>
      <c r="E4" s="243"/>
      <c r="F4" s="243"/>
      <c r="G4" s="243"/>
      <c r="H4" s="243"/>
      <c r="I4" s="243"/>
      <c r="J4" s="243"/>
      <c r="K4" s="21"/>
      <c r="L4" s="21"/>
      <c r="M4" s="21"/>
    </row>
    <row r="5" spans="1:13" ht="13.5">
      <c r="A5" s="339" t="s">
        <v>377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</row>
    <row r="6" spans="1:13" ht="12" customHeight="1">
      <c r="A6" s="343"/>
      <c r="B6" s="343"/>
      <c r="C6" s="343"/>
      <c r="D6" s="69"/>
      <c r="E6" s="69"/>
      <c r="F6" s="69"/>
      <c r="G6" s="69"/>
      <c r="H6" s="343"/>
      <c r="I6" s="343"/>
      <c r="K6" s="21"/>
      <c r="L6" s="21"/>
      <c r="M6" s="71" t="s">
        <v>394</v>
      </c>
    </row>
    <row r="7" spans="1:13" ht="14.25" customHeight="1">
      <c r="A7" s="340" t="s">
        <v>1</v>
      </c>
      <c r="B7" s="341"/>
      <c r="C7" s="341"/>
      <c r="D7" s="341"/>
      <c r="E7" s="341"/>
      <c r="F7" s="341"/>
      <c r="G7" s="342"/>
      <c r="H7" s="340" t="s">
        <v>2</v>
      </c>
      <c r="I7" s="341"/>
      <c r="J7" s="341"/>
      <c r="K7" s="341"/>
      <c r="L7" s="341"/>
      <c r="M7" s="342"/>
    </row>
    <row r="8" spans="1:13" ht="12.75">
      <c r="A8" s="247" t="s">
        <v>3</v>
      </c>
      <c r="B8" s="247"/>
      <c r="C8" s="247"/>
      <c r="D8" s="143">
        <v>2020</v>
      </c>
      <c r="E8" s="143">
        <v>2021</v>
      </c>
      <c r="F8" s="143">
        <v>2022</v>
      </c>
      <c r="G8" s="143">
        <v>2023</v>
      </c>
      <c r="H8" s="247" t="s">
        <v>3</v>
      </c>
      <c r="I8" s="247"/>
      <c r="J8" s="143">
        <v>2020</v>
      </c>
      <c r="K8" s="143">
        <v>2021</v>
      </c>
      <c r="L8" s="143">
        <v>2022</v>
      </c>
      <c r="M8" s="143">
        <v>2023</v>
      </c>
    </row>
    <row r="9" spans="1:13" ht="12" customHeight="1">
      <c r="A9" s="336" t="s">
        <v>4</v>
      </c>
      <c r="B9" s="337"/>
      <c r="C9" s="338"/>
      <c r="D9" s="76">
        <v>277851190</v>
      </c>
      <c r="E9" s="76">
        <v>246670000</v>
      </c>
      <c r="F9" s="76">
        <v>231106000</v>
      </c>
      <c r="G9" s="76">
        <v>226142000</v>
      </c>
      <c r="H9" s="248" t="s">
        <v>5</v>
      </c>
      <c r="I9" s="248"/>
      <c r="J9" s="76">
        <v>192583191</v>
      </c>
      <c r="K9" s="76">
        <v>170000000</v>
      </c>
      <c r="L9" s="76">
        <v>160000000</v>
      </c>
      <c r="M9" s="76">
        <v>155000000</v>
      </c>
    </row>
    <row r="10" spans="1:13" ht="12" customHeight="1">
      <c r="A10" s="245" t="s">
        <v>6</v>
      </c>
      <c r="B10" s="245"/>
      <c r="C10" s="245"/>
      <c r="D10" s="76">
        <v>37550000</v>
      </c>
      <c r="E10" s="76">
        <v>37280000</v>
      </c>
      <c r="F10" s="76">
        <v>37280000</v>
      </c>
      <c r="G10" s="76">
        <v>37280000</v>
      </c>
      <c r="H10" s="245" t="s">
        <v>7</v>
      </c>
      <c r="I10" s="245"/>
      <c r="J10" s="76">
        <v>34486982</v>
      </c>
      <c r="K10" s="76">
        <v>31368000</v>
      </c>
      <c r="L10" s="76">
        <v>28800000</v>
      </c>
      <c r="M10" s="76">
        <v>27900000</v>
      </c>
    </row>
    <row r="11" spans="1:13" ht="12" customHeight="1">
      <c r="A11" s="248" t="s">
        <v>8</v>
      </c>
      <c r="B11" s="248"/>
      <c r="C11" s="248"/>
      <c r="D11" s="76">
        <v>23924630</v>
      </c>
      <c r="E11" s="76">
        <v>30000000</v>
      </c>
      <c r="F11" s="76">
        <v>30000000</v>
      </c>
      <c r="G11" s="76">
        <v>30000000</v>
      </c>
      <c r="H11" s="248" t="s">
        <v>9</v>
      </c>
      <c r="I11" s="248"/>
      <c r="J11" s="76">
        <v>144780129</v>
      </c>
      <c r="K11" s="76">
        <v>98182000</v>
      </c>
      <c r="L11" s="76">
        <v>95186000</v>
      </c>
      <c r="M11" s="76">
        <v>93122000</v>
      </c>
    </row>
    <row r="12" spans="1:13" ht="15.75" customHeight="1">
      <c r="A12" s="248" t="s">
        <v>10</v>
      </c>
      <c r="B12" s="248"/>
      <c r="C12" s="248"/>
      <c r="D12" s="76"/>
      <c r="E12" s="76"/>
      <c r="F12" s="76"/>
      <c r="G12" s="76"/>
      <c r="H12" s="248" t="s">
        <v>11</v>
      </c>
      <c r="I12" s="248"/>
      <c r="J12" s="76">
        <v>7000000</v>
      </c>
      <c r="K12" s="76">
        <v>6000000</v>
      </c>
      <c r="L12" s="76">
        <v>6000000</v>
      </c>
      <c r="M12" s="76">
        <v>6000000</v>
      </c>
    </row>
    <row r="13" spans="1:13" ht="12" customHeight="1">
      <c r="A13" s="248"/>
      <c r="B13" s="248"/>
      <c r="C13" s="248"/>
      <c r="D13" s="76"/>
      <c r="E13" s="76"/>
      <c r="F13" s="76"/>
      <c r="G13" s="76"/>
      <c r="H13" s="248" t="s">
        <v>12</v>
      </c>
      <c r="I13" s="248"/>
      <c r="J13" s="76">
        <v>10850590</v>
      </c>
      <c r="K13" s="76">
        <v>8400000</v>
      </c>
      <c r="L13" s="76">
        <v>8400000</v>
      </c>
      <c r="M13" s="76">
        <v>8400000</v>
      </c>
    </row>
    <row r="14" spans="1:13" ht="12" customHeight="1">
      <c r="A14" s="249"/>
      <c r="B14" s="249"/>
      <c r="C14" s="249"/>
      <c r="D14" s="76"/>
      <c r="E14" s="76"/>
      <c r="F14" s="76"/>
      <c r="G14" s="76"/>
      <c r="H14" s="250" t="s">
        <v>13</v>
      </c>
      <c r="I14" s="250"/>
      <c r="J14" s="76"/>
      <c r="K14" s="76"/>
      <c r="L14" s="76"/>
      <c r="M14" s="76"/>
    </row>
    <row r="15" spans="1:13" ht="12" customHeight="1">
      <c r="A15" s="253"/>
      <c r="B15" s="253"/>
      <c r="C15" s="253"/>
      <c r="D15" s="76"/>
      <c r="E15" s="76"/>
      <c r="F15" s="76"/>
      <c r="G15" s="76"/>
      <c r="H15" s="250" t="s">
        <v>14</v>
      </c>
      <c r="I15" s="250"/>
      <c r="J15" s="76">
        <v>3672448</v>
      </c>
      <c r="K15" s="76"/>
      <c r="L15" s="76"/>
      <c r="M15" s="76"/>
    </row>
    <row r="16" spans="1:13" ht="12" customHeight="1" thickBot="1">
      <c r="A16" s="254"/>
      <c r="B16" s="254"/>
      <c r="C16" s="254"/>
      <c r="D16" s="159"/>
      <c r="E16" s="159"/>
      <c r="F16" s="159"/>
      <c r="G16" s="159"/>
      <c r="H16" s="255"/>
      <c r="I16" s="255"/>
      <c r="J16" s="159"/>
      <c r="K16" s="159"/>
      <c r="L16" s="159"/>
      <c r="M16" s="159"/>
    </row>
    <row r="17" spans="1:13" ht="23.25" customHeight="1" thickBot="1">
      <c r="A17" s="333" t="s">
        <v>15</v>
      </c>
      <c r="B17" s="333"/>
      <c r="C17" s="333"/>
      <c r="D17" s="166">
        <f>SUM(D9:D16)</f>
        <v>339325820</v>
      </c>
      <c r="E17" s="166">
        <f>SUM(E9:E16)</f>
        <v>313950000</v>
      </c>
      <c r="F17" s="166">
        <f>SUM(F9:F16)</f>
        <v>298386000</v>
      </c>
      <c r="G17" s="166">
        <f>SUM(G9:G16)</f>
        <v>293422000</v>
      </c>
      <c r="H17" s="333" t="s">
        <v>16</v>
      </c>
      <c r="I17" s="333"/>
      <c r="J17" s="167">
        <f>SUM(J9:J13)</f>
        <v>389700892</v>
      </c>
      <c r="K17" s="167">
        <f>SUM(K9:K13)</f>
        <v>313950000</v>
      </c>
      <c r="L17" s="167">
        <f>SUM(L9:L13)</f>
        <v>298386000</v>
      </c>
      <c r="M17" s="167">
        <f>SUM(M9:M13)</f>
        <v>290422000</v>
      </c>
    </row>
    <row r="18" spans="1:13" ht="12" customHeight="1" thickBot="1">
      <c r="A18" s="252"/>
      <c r="B18" s="252"/>
      <c r="C18" s="252"/>
      <c r="D18" s="162"/>
      <c r="E18" s="162"/>
      <c r="F18" s="162"/>
      <c r="G18" s="162"/>
      <c r="H18" s="252"/>
      <c r="I18" s="252"/>
      <c r="J18" s="162"/>
      <c r="K18" s="162"/>
      <c r="L18" s="162"/>
      <c r="M18" s="162"/>
    </row>
    <row r="19" spans="1:13" ht="24" customHeight="1" thickBot="1">
      <c r="A19" s="333" t="s">
        <v>17</v>
      </c>
      <c r="B19" s="333"/>
      <c r="C19" s="333"/>
      <c r="D19" s="166">
        <v>50375072</v>
      </c>
      <c r="E19" s="166"/>
      <c r="F19" s="166"/>
      <c r="G19" s="166"/>
      <c r="H19" s="333" t="s">
        <v>18</v>
      </c>
      <c r="I19" s="333"/>
      <c r="J19" s="167">
        <v>6972496</v>
      </c>
      <c r="K19" s="167"/>
      <c r="L19" s="167"/>
      <c r="M19" s="167"/>
    </row>
    <row r="20" spans="1:13" ht="12" customHeight="1" thickBot="1">
      <c r="A20" s="259" t="s">
        <v>19</v>
      </c>
      <c r="B20" s="259"/>
      <c r="C20" s="259"/>
      <c r="D20" s="163">
        <v>50375072</v>
      </c>
      <c r="E20" s="163"/>
      <c r="F20" s="163"/>
      <c r="G20" s="163"/>
      <c r="H20" s="260"/>
      <c r="I20" s="260"/>
      <c r="J20" s="162"/>
      <c r="K20" s="162"/>
      <c r="L20" s="162"/>
      <c r="M20" s="162"/>
    </row>
    <row r="21" spans="1:13" ht="24.75" customHeight="1" thickBot="1">
      <c r="A21" s="334" t="s">
        <v>20</v>
      </c>
      <c r="B21" s="334"/>
      <c r="C21" s="334"/>
      <c r="D21" s="164">
        <f>D17+D19</f>
        <v>389700892</v>
      </c>
      <c r="E21" s="164">
        <f>E17+E19</f>
        <v>313950000</v>
      </c>
      <c r="F21" s="164">
        <f>F17+F19</f>
        <v>298386000</v>
      </c>
      <c r="G21" s="164">
        <f>G17+G19</f>
        <v>293422000</v>
      </c>
      <c r="H21" s="335" t="s">
        <v>21</v>
      </c>
      <c r="I21" s="335"/>
      <c r="J21" s="164">
        <f>J17+J19</f>
        <v>396673388</v>
      </c>
      <c r="K21" s="164">
        <f>K17+K19</f>
        <v>313950000</v>
      </c>
      <c r="L21" s="164">
        <f>L17+L19</f>
        <v>298386000</v>
      </c>
      <c r="M21" s="164">
        <f>M17+M19</f>
        <v>290422000</v>
      </c>
    </row>
    <row r="22" spans="1:13" ht="12" customHeight="1">
      <c r="A22" s="257"/>
      <c r="B22" s="257"/>
      <c r="C22" s="257"/>
      <c r="D22" s="160"/>
      <c r="E22" s="160"/>
      <c r="F22" s="160"/>
      <c r="G22" s="160"/>
      <c r="H22" s="258"/>
      <c r="I22" s="258"/>
      <c r="J22" s="160"/>
      <c r="K22" s="160"/>
      <c r="L22" s="160"/>
      <c r="M22" s="160"/>
    </row>
    <row r="23" spans="1:13" ht="12" customHeight="1">
      <c r="A23" s="245" t="s">
        <v>22</v>
      </c>
      <c r="B23" s="245"/>
      <c r="C23" s="245"/>
      <c r="D23" s="76">
        <v>26189532</v>
      </c>
      <c r="E23" s="76">
        <v>30488000</v>
      </c>
      <c r="F23" s="76">
        <v>135745000</v>
      </c>
      <c r="G23" s="76"/>
      <c r="H23" s="248" t="s">
        <v>23</v>
      </c>
      <c r="I23" s="248"/>
      <c r="J23" s="76">
        <v>708192126</v>
      </c>
      <c r="K23" s="76">
        <v>30488000</v>
      </c>
      <c r="L23" s="76">
        <v>135745000</v>
      </c>
      <c r="M23" s="76">
        <v>3000000</v>
      </c>
    </row>
    <row r="24" spans="1:13" ht="12" customHeight="1">
      <c r="A24" s="245" t="s">
        <v>24</v>
      </c>
      <c r="B24" s="245"/>
      <c r="C24" s="245"/>
      <c r="D24" s="76"/>
      <c r="E24" s="76"/>
      <c r="F24" s="76"/>
      <c r="G24" s="76"/>
      <c r="H24" s="248" t="s">
        <v>25</v>
      </c>
      <c r="I24" s="248"/>
      <c r="J24" s="76">
        <v>4651032</v>
      </c>
      <c r="K24" s="76"/>
      <c r="L24" s="76"/>
      <c r="M24" s="76"/>
    </row>
    <row r="25" spans="1:16" ht="30" customHeight="1" thickBot="1">
      <c r="A25" s="254" t="s">
        <v>26</v>
      </c>
      <c r="B25" s="254"/>
      <c r="C25" s="254"/>
      <c r="D25" s="159"/>
      <c r="E25" s="159"/>
      <c r="F25" s="159"/>
      <c r="G25" s="159"/>
      <c r="H25" s="254" t="s">
        <v>27</v>
      </c>
      <c r="I25" s="254"/>
      <c r="J25" s="159">
        <v>1358080</v>
      </c>
      <c r="K25" s="159"/>
      <c r="L25" s="159"/>
      <c r="M25" s="159"/>
      <c r="P25" s="44"/>
    </row>
    <row r="26" spans="1:13" ht="32.25" customHeight="1" thickBot="1">
      <c r="A26" s="331" t="s">
        <v>28</v>
      </c>
      <c r="B26" s="331"/>
      <c r="C26" s="331"/>
      <c r="D26" s="166">
        <f>SUM(D22:D25)</f>
        <v>26189532</v>
      </c>
      <c r="E26" s="166">
        <f>SUM(E22:E25)</f>
        <v>30488000</v>
      </c>
      <c r="F26" s="166">
        <f>SUM(F22:F25)</f>
        <v>135745000</v>
      </c>
      <c r="G26" s="166">
        <f>SUM(G22:G25)</f>
        <v>0</v>
      </c>
      <c r="H26" s="331" t="s">
        <v>29</v>
      </c>
      <c r="I26" s="331"/>
      <c r="J26" s="166">
        <f>SUM(J23:J25)</f>
        <v>714201238</v>
      </c>
      <c r="K26" s="166">
        <f>SUM(K23:K25)</f>
        <v>30488000</v>
      </c>
      <c r="L26" s="166">
        <f>SUM(L23:L25)</f>
        <v>135745000</v>
      </c>
      <c r="M26" s="166">
        <f>SUM(M23:M25)</f>
        <v>3000000</v>
      </c>
    </row>
    <row r="27" spans="1:13" ht="12" customHeight="1" thickBot="1">
      <c r="A27" s="252"/>
      <c r="B27" s="252"/>
      <c r="C27" s="252"/>
      <c r="D27" s="162"/>
      <c r="E27" s="162"/>
      <c r="F27" s="162"/>
      <c r="G27" s="162"/>
      <c r="H27" s="252"/>
      <c r="I27" s="252"/>
      <c r="J27" s="162"/>
      <c r="K27" s="168"/>
      <c r="L27" s="168"/>
      <c r="M27" s="168"/>
    </row>
    <row r="28" spans="1:13" ht="23.25" customHeight="1" thickBot="1">
      <c r="A28" s="333" t="s">
        <v>30</v>
      </c>
      <c r="B28" s="333"/>
      <c r="C28" s="333"/>
      <c r="D28" s="170">
        <v>694984202</v>
      </c>
      <c r="E28" s="170"/>
      <c r="F28" s="170"/>
      <c r="G28" s="170"/>
      <c r="H28" s="333" t="s">
        <v>31</v>
      </c>
      <c r="I28" s="333"/>
      <c r="J28" s="171"/>
      <c r="K28" s="172"/>
      <c r="L28" s="172"/>
      <c r="M28" s="172"/>
    </row>
    <row r="29" spans="1:13" ht="15.75" customHeight="1">
      <c r="A29" s="261" t="s">
        <v>19</v>
      </c>
      <c r="B29" s="261"/>
      <c r="C29" s="261"/>
      <c r="D29" s="169">
        <f>D28</f>
        <v>694984202</v>
      </c>
      <c r="E29" s="169"/>
      <c r="F29" s="169"/>
      <c r="G29" s="169"/>
      <c r="H29" s="262"/>
      <c r="I29" s="262"/>
      <c r="J29" s="160"/>
      <c r="K29" s="165"/>
      <c r="L29" s="165"/>
      <c r="M29" s="165"/>
    </row>
    <row r="30" spans="1:13" ht="12" customHeight="1" thickBot="1">
      <c r="A30" s="254"/>
      <c r="B30" s="254"/>
      <c r="C30" s="254"/>
      <c r="D30" s="159"/>
      <c r="E30" s="159"/>
      <c r="F30" s="159"/>
      <c r="G30" s="159"/>
      <c r="H30" s="263"/>
      <c r="I30" s="263"/>
      <c r="J30" s="159"/>
      <c r="K30" s="173"/>
      <c r="L30" s="173"/>
      <c r="M30" s="173"/>
    </row>
    <row r="31" spans="1:13" ht="21.75" customHeight="1" thickBot="1">
      <c r="A31" s="331" t="s">
        <v>32</v>
      </c>
      <c r="B31" s="331"/>
      <c r="C31" s="331"/>
      <c r="D31" s="174">
        <f>D26+D28</f>
        <v>721173734</v>
      </c>
      <c r="E31" s="174">
        <f>E26+E28</f>
        <v>30488000</v>
      </c>
      <c r="F31" s="174">
        <f>F26+F28</f>
        <v>135745000</v>
      </c>
      <c r="G31" s="174">
        <f>G26+G28</f>
        <v>0</v>
      </c>
      <c r="H31" s="332" t="s">
        <v>33</v>
      </c>
      <c r="I31" s="332"/>
      <c r="J31" s="174">
        <f>J26+J28</f>
        <v>714201238</v>
      </c>
      <c r="K31" s="174">
        <f>K26+K28</f>
        <v>30488000</v>
      </c>
      <c r="L31" s="174">
        <f>L26+L28</f>
        <v>135745000</v>
      </c>
      <c r="M31" s="174">
        <f>M26+M28</f>
        <v>3000000</v>
      </c>
    </row>
    <row r="32" spans="1:13" ht="12" customHeight="1" thickBot="1">
      <c r="A32" s="264"/>
      <c r="B32" s="264"/>
      <c r="C32" s="264"/>
      <c r="D32" s="162"/>
      <c r="E32" s="162"/>
      <c r="F32" s="162"/>
      <c r="G32" s="162"/>
      <c r="H32" s="265"/>
      <c r="I32" s="265"/>
      <c r="J32" s="162"/>
      <c r="K32" s="168"/>
      <c r="L32" s="168"/>
      <c r="M32" s="168"/>
    </row>
    <row r="33" spans="1:13" ht="22.5" customHeight="1" thickBot="1">
      <c r="A33" s="331" t="s">
        <v>34</v>
      </c>
      <c r="B33" s="331"/>
      <c r="C33" s="331"/>
      <c r="D33" s="174">
        <f>D17+D26</f>
        <v>365515352</v>
      </c>
      <c r="E33" s="174">
        <f>E17+E26</f>
        <v>344438000</v>
      </c>
      <c r="F33" s="174">
        <f>F17+F26</f>
        <v>434131000</v>
      </c>
      <c r="G33" s="174">
        <f>G17+G26</f>
        <v>293422000</v>
      </c>
      <c r="H33" s="332" t="s">
        <v>35</v>
      </c>
      <c r="I33" s="332"/>
      <c r="J33" s="174">
        <f>J17+J26</f>
        <v>1103902130</v>
      </c>
      <c r="K33" s="174">
        <f>K17+K26</f>
        <v>344438000</v>
      </c>
      <c r="L33" s="174">
        <f>L17+L26</f>
        <v>434131000</v>
      </c>
      <c r="M33" s="174">
        <f>M17+M26</f>
        <v>293422000</v>
      </c>
    </row>
    <row r="34" spans="1:13" ht="12" customHeight="1" thickBot="1">
      <c r="A34" s="264"/>
      <c r="B34" s="264"/>
      <c r="C34" s="264"/>
      <c r="D34" s="162"/>
      <c r="E34" s="162"/>
      <c r="F34" s="162"/>
      <c r="G34" s="162"/>
      <c r="H34" s="265"/>
      <c r="I34" s="265"/>
      <c r="J34" s="162"/>
      <c r="K34" s="168"/>
      <c r="L34" s="168"/>
      <c r="M34" s="168"/>
    </row>
    <row r="35" spans="1:13" ht="27" customHeight="1" thickBot="1">
      <c r="A35" s="331" t="s">
        <v>36</v>
      </c>
      <c r="B35" s="331"/>
      <c r="C35" s="331"/>
      <c r="D35" s="174">
        <f>D19+D28</f>
        <v>745359274</v>
      </c>
      <c r="E35" s="174"/>
      <c r="F35" s="174"/>
      <c r="G35" s="174"/>
      <c r="H35" s="332" t="s">
        <v>37</v>
      </c>
      <c r="I35" s="332"/>
      <c r="J35" s="171">
        <v>6972496</v>
      </c>
      <c r="K35" s="172"/>
      <c r="L35" s="172"/>
      <c r="M35" s="172"/>
    </row>
    <row r="36" spans="1:13" ht="12" customHeight="1" thickBot="1">
      <c r="A36" s="259" t="s">
        <v>19</v>
      </c>
      <c r="B36" s="259"/>
      <c r="C36" s="259"/>
      <c r="D36" s="163">
        <v>695988762</v>
      </c>
      <c r="E36" s="163"/>
      <c r="F36" s="163"/>
      <c r="G36" s="163"/>
      <c r="H36" s="267"/>
      <c r="I36" s="267"/>
      <c r="J36" s="162"/>
      <c r="K36" s="168"/>
      <c r="L36" s="168"/>
      <c r="M36" s="168"/>
    </row>
    <row r="37" spans="1:13" ht="15.75" customHeight="1" thickBot="1" thickTop="1">
      <c r="A37" s="330" t="s">
        <v>38</v>
      </c>
      <c r="B37" s="330"/>
      <c r="C37" s="330"/>
      <c r="D37" s="175">
        <f>D33+D35</f>
        <v>1110874626</v>
      </c>
      <c r="E37" s="175">
        <f>E33+E35</f>
        <v>344438000</v>
      </c>
      <c r="F37" s="175">
        <f>F33+F35</f>
        <v>434131000</v>
      </c>
      <c r="G37" s="175">
        <f>G33+G35</f>
        <v>293422000</v>
      </c>
      <c r="H37" s="330" t="s">
        <v>39</v>
      </c>
      <c r="I37" s="330"/>
      <c r="J37" s="175">
        <f>J21+J31</f>
        <v>1110874626</v>
      </c>
      <c r="K37" s="175">
        <f>K21+K31</f>
        <v>344438000</v>
      </c>
      <c r="L37" s="175">
        <f>L21+L31</f>
        <v>434131000</v>
      </c>
      <c r="M37" s="175">
        <f>M21+M31</f>
        <v>293422000</v>
      </c>
    </row>
    <row r="38" ht="13.5" thickTop="1"/>
  </sheetData>
  <sheetProtection selectLockedCells="1" selectUnlockedCells="1"/>
  <mergeCells count="66">
    <mergeCell ref="A5:M5"/>
    <mergeCell ref="A7:G7"/>
    <mergeCell ref="H7:M7"/>
    <mergeCell ref="A4:J4"/>
    <mergeCell ref="A6:C6"/>
    <mergeCell ref="H6:I6"/>
    <mergeCell ref="A10:C10"/>
    <mergeCell ref="H10:I10"/>
    <mergeCell ref="A8:C8"/>
    <mergeCell ref="H8:I8"/>
    <mergeCell ref="A9:C9"/>
    <mergeCell ref="H9:I9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C17"/>
    <mergeCell ref="H17:I17"/>
    <mergeCell ref="A18:C18"/>
    <mergeCell ref="H18:I18"/>
    <mergeCell ref="A19:C19"/>
    <mergeCell ref="H19:I19"/>
    <mergeCell ref="A20:C20"/>
    <mergeCell ref="H20:I20"/>
    <mergeCell ref="A21:C21"/>
    <mergeCell ref="H21:I21"/>
    <mergeCell ref="A22:C22"/>
    <mergeCell ref="H22:I22"/>
    <mergeCell ref="A23:C23"/>
    <mergeCell ref="H23:I23"/>
    <mergeCell ref="A24:C24"/>
    <mergeCell ref="H24:I24"/>
    <mergeCell ref="A25:C25"/>
    <mergeCell ref="H25:I25"/>
    <mergeCell ref="A26:C26"/>
    <mergeCell ref="H26:I26"/>
    <mergeCell ref="A27:C27"/>
    <mergeCell ref="H27:I27"/>
    <mergeCell ref="A28:C28"/>
    <mergeCell ref="H28:I28"/>
    <mergeCell ref="A29:C29"/>
    <mergeCell ref="H29:I29"/>
    <mergeCell ref="A30:C30"/>
    <mergeCell ref="H30:I30"/>
    <mergeCell ref="A31:C31"/>
    <mergeCell ref="H31:I31"/>
    <mergeCell ref="A32:C32"/>
    <mergeCell ref="H32:I32"/>
    <mergeCell ref="A33:C33"/>
    <mergeCell ref="H33:I33"/>
    <mergeCell ref="A34:C34"/>
    <mergeCell ref="H34:I34"/>
    <mergeCell ref="A37:C37"/>
    <mergeCell ref="H37:I37"/>
    <mergeCell ref="A35:C35"/>
    <mergeCell ref="H35:I35"/>
    <mergeCell ref="A36:C36"/>
    <mergeCell ref="H36:I36"/>
  </mergeCells>
  <printOptions/>
  <pageMargins left="0.5902777777777778" right="0.3298611111111111" top="0.25972222222222224" bottom="0.27569444444444446" header="0.5118055555555555" footer="0.5118055555555555"/>
  <pageSetup fitToHeight="1" fitToWidth="1"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0"/>
  <sheetViews>
    <sheetView zoomScale="150" zoomScaleNormal="150" zoomScalePageLayoutView="0" workbookViewId="0" topLeftCell="A2">
      <selection activeCell="A1" sqref="A1:IV1"/>
    </sheetView>
  </sheetViews>
  <sheetFormatPr defaultColWidth="9.00390625" defaultRowHeight="12.75"/>
  <cols>
    <col min="1" max="1" width="8.00390625" style="0" customWidth="1"/>
    <col min="4" max="4" width="25.125" style="0" customWidth="1"/>
    <col min="5" max="7" width="12.875" style="0" customWidth="1"/>
    <col min="8" max="10" width="12.625" style="0" customWidth="1"/>
    <col min="11" max="11" width="11.625" style="0" customWidth="1"/>
    <col min="12" max="12" width="14.875" style="0" customWidth="1"/>
    <col min="13" max="13" width="12.875" style="0" customWidth="1"/>
    <col min="14" max="15" width="10.75390625" style="0" customWidth="1"/>
    <col min="16" max="16" width="13.00390625" style="0" customWidth="1"/>
    <col min="18" max="18" width="11.125" style="0" bestFit="1" customWidth="1"/>
    <col min="19" max="19" width="10.00390625" style="0" bestFit="1" customWidth="1"/>
    <col min="21" max="21" width="12.375" style="0" customWidth="1"/>
  </cols>
  <sheetData>
    <row r="1" ht="12.75" hidden="1">
      <c r="A1" t="s">
        <v>582</v>
      </c>
    </row>
    <row r="2" spans="1:16" ht="12.75">
      <c r="A2" s="21" t="s">
        <v>559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12.75">
      <c r="A3" s="359" t="s">
        <v>518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</row>
    <row r="4" spans="1:16" ht="12.75">
      <c r="A4" s="359" t="s">
        <v>46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</row>
    <row r="5" spans="1:16" ht="13.5" thickBot="1">
      <c r="A5" s="360" t="s">
        <v>394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</row>
    <row r="6" spans="1:16" ht="12.75" customHeight="1">
      <c r="A6" s="361" t="s">
        <v>47</v>
      </c>
      <c r="B6" s="362"/>
      <c r="C6" s="362"/>
      <c r="D6" s="362"/>
      <c r="E6" s="363" t="s">
        <v>583</v>
      </c>
      <c r="F6" s="364" t="s">
        <v>584</v>
      </c>
      <c r="G6" s="365" t="s">
        <v>585</v>
      </c>
      <c r="H6" s="366" t="s">
        <v>586</v>
      </c>
      <c r="I6" s="364" t="s">
        <v>587</v>
      </c>
      <c r="J6" s="367" t="s">
        <v>588</v>
      </c>
      <c r="K6" s="368" t="s">
        <v>589</v>
      </c>
      <c r="L6" s="363" t="s">
        <v>590</v>
      </c>
      <c r="M6" s="363" t="s">
        <v>591</v>
      </c>
      <c r="N6" s="364" t="s">
        <v>592</v>
      </c>
      <c r="O6" s="364" t="s">
        <v>593</v>
      </c>
      <c r="P6" s="369" t="s">
        <v>594</v>
      </c>
    </row>
    <row r="7" spans="1:16" ht="22.5" customHeight="1">
      <c r="A7" s="370"/>
      <c r="B7" s="247"/>
      <c r="C7" s="247"/>
      <c r="D7" s="247"/>
      <c r="E7" s="276"/>
      <c r="F7" s="371"/>
      <c r="G7" s="372"/>
      <c r="H7" s="373"/>
      <c r="I7" s="371"/>
      <c r="J7" s="374"/>
      <c r="K7" s="375"/>
      <c r="L7" s="276"/>
      <c r="M7" s="276"/>
      <c r="N7" s="371"/>
      <c r="O7" s="371"/>
      <c r="P7" s="376"/>
    </row>
    <row r="8" spans="1:16" ht="12.75">
      <c r="A8" s="377" t="s">
        <v>49</v>
      </c>
      <c r="B8" s="277"/>
      <c r="C8" s="277"/>
      <c r="D8" s="277"/>
      <c r="E8" s="76">
        <f>64476431</f>
        <v>64476431</v>
      </c>
      <c r="F8" s="76">
        <v>6594863</v>
      </c>
      <c r="G8" s="378">
        <f>E8+F8</f>
        <v>71071294</v>
      </c>
      <c r="H8" s="379"/>
      <c r="I8" s="76"/>
      <c r="J8" s="187">
        <f>H8+I8</f>
        <v>0</v>
      </c>
      <c r="K8" s="187">
        <f>I8+J8</f>
        <v>0</v>
      </c>
      <c r="L8" s="187">
        <f>J8+K8</f>
        <v>0</v>
      </c>
      <c r="M8" s="187">
        <f>K8+L8</f>
        <v>0</v>
      </c>
      <c r="N8" s="187">
        <f>E8+H8+K8</f>
        <v>64476431</v>
      </c>
      <c r="O8" s="187">
        <f aca="true" t="shared" si="0" ref="O8:P57">F8+I8+L8</f>
        <v>6594863</v>
      </c>
      <c r="P8" s="380">
        <f>G8+J8+M8</f>
        <v>71071294</v>
      </c>
    </row>
    <row r="9" spans="1:16" ht="12.75">
      <c r="A9" s="381" t="s">
        <v>50</v>
      </c>
      <c r="B9" s="248"/>
      <c r="C9" s="248"/>
      <c r="D9" s="248"/>
      <c r="E9" s="76">
        <v>58981620</v>
      </c>
      <c r="F9" s="76">
        <v>4782369</v>
      </c>
      <c r="G9" s="378">
        <f aca="true" t="shared" si="1" ref="G9:G18">E9+F9</f>
        <v>63763989</v>
      </c>
      <c r="H9" s="379"/>
      <c r="I9" s="76"/>
      <c r="J9" s="380">
        <f aca="true" t="shared" si="2" ref="J9:J56">H9+I9</f>
        <v>0</v>
      </c>
      <c r="K9" s="382"/>
      <c r="L9" s="76"/>
      <c r="M9" s="187">
        <f aca="true" t="shared" si="3" ref="M9:M56">K9+L9</f>
        <v>0</v>
      </c>
      <c r="N9" s="187">
        <f aca="true" t="shared" si="4" ref="N9:N57">E9+H9+K9</f>
        <v>58981620</v>
      </c>
      <c r="O9" s="187">
        <f t="shared" si="0"/>
        <v>4782369</v>
      </c>
      <c r="P9" s="380">
        <f t="shared" si="0"/>
        <v>63763989</v>
      </c>
    </row>
    <row r="10" spans="1:16" ht="23.25" customHeight="1">
      <c r="A10" s="383" t="s">
        <v>51</v>
      </c>
      <c r="B10" s="245"/>
      <c r="C10" s="245"/>
      <c r="D10" s="245"/>
      <c r="E10" s="76">
        <v>48274797</v>
      </c>
      <c r="F10" s="76">
        <v>-797522</v>
      </c>
      <c r="G10" s="378">
        <f t="shared" si="1"/>
        <v>47477275</v>
      </c>
      <c r="H10" s="379"/>
      <c r="I10" s="76"/>
      <c r="J10" s="380">
        <f t="shared" si="2"/>
        <v>0</v>
      </c>
      <c r="K10" s="382"/>
      <c r="L10" s="76"/>
      <c r="M10" s="187">
        <f t="shared" si="3"/>
        <v>0</v>
      </c>
      <c r="N10" s="187">
        <f t="shared" si="4"/>
        <v>48274797</v>
      </c>
      <c r="O10" s="187">
        <f t="shared" si="0"/>
        <v>-797522</v>
      </c>
      <c r="P10" s="380">
        <f t="shared" si="0"/>
        <v>47477275</v>
      </c>
    </row>
    <row r="11" spans="1:16" ht="12.75">
      <c r="A11" s="381" t="s">
        <v>52</v>
      </c>
      <c r="B11" s="248"/>
      <c r="C11" s="248"/>
      <c r="D11" s="248"/>
      <c r="E11" s="76">
        <v>2579562</v>
      </c>
      <c r="F11" s="76">
        <v>886660</v>
      </c>
      <c r="G11" s="378">
        <f t="shared" si="1"/>
        <v>3466222</v>
      </c>
      <c r="H11" s="379"/>
      <c r="I11" s="76"/>
      <c r="J11" s="380">
        <f t="shared" si="2"/>
        <v>0</v>
      </c>
      <c r="K11" s="382"/>
      <c r="L11" s="76"/>
      <c r="M11" s="187">
        <f t="shared" si="3"/>
        <v>0</v>
      </c>
      <c r="N11" s="187">
        <f t="shared" si="4"/>
        <v>2579562</v>
      </c>
      <c r="O11" s="187">
        <f t="shared" si="0"/>
        <v>886660</v>
      </c>
      <c r="P11" s="380">
        <f t="shared" si="0"/>
        <v>3466222</v>
      </c>
    </row>
    <row r="12" spans="1:18" ht="12.75">
      <c r="A12" s="381" t="s">
        <v>53</v>
      </c>
      <c r="B12" s="248"/>
      <c r="C12" s="248"/>
      <c r="D12" s="248"/>
      <c r="E12" s="76"/>
      <c r="F12" s="76">
        <v>1000000</v>
      </c>
      <c r="G12" s="378">
        <f t="shared" si="1"/>
        <v>1000000</v>
      </c>
      <c r="H12" s="379"/>
      <c r="I12" s="76"/>
      <c r="J12" s="380">
        <f t="shared" si="2"/>
        <v>0</v>
      </c>
      <c r="K12" s="382"/>
      <c r="L12" s="76"/>
      <c r="M12" s="187">
        <f t="shared" si="3"/>
        <v>0</v>
      </c>
      <c r="N12" s="187">
        <f t="shared" si="4"/>
        <v>0</v>
      </c>
      <c r="O12" s="187">
        <f t="shared" si="0"/>
        <v>1000000</v>
      </c>
      <c r="P12" s="380">
        <f t="shared" si="0"/>
        <v>1000000</v>
      </c>
      <c r="R12" s="9"/>
    </row>
    <row r="13" spans="1:16" ht="12.75">
      <c r="A13" s="381" t="s">
        <v>54</v>
      </c>
      <c r="B13" s="248"/>
      <c r="C13" s="248"/>
      <c r="D13" s="248"/>
      <c r="E13" s="76"/>
      <c r="F13" s="76"/>
      <c r="G13" s="378">
        <f t="shared" si="1"/>
        <v>0</v>
      </c>
      <c r="H13" s="379"/>
      <c r="I13" s="76"/>
      <c r="J13" s="380">
        <f t="shared" si="2"/>
        <v>0</v>
      </c>
      <c r="K13" s="382"/>
      <c r="L13" s="76"/>
      <c r="M13" s="187">
        <f t="shared" si="3"/>
        <v>0</v>
      </c>
      <c r="N13" s="187">
        <f t="shared" si="4"/>
        <v>0</v>
      </c>
      <c r="O13" s="187">
        <f t="shared" si="0"/>
        <v>0</v>
      </c>
      <c r="P13" s="380">
        <f t="shared" si="0"/>
        <v>0</v>
      </c>
    </row>
    <row r="14" spans="1:16" ht="12.75">
      <c r="A14" s="384" t="s">
        <v>595</v>
      </c>
      <c r="B14" s="242"/>
      <c r="C14" s="242"/>
      <c r="D14" s="242"/>
      <c r="E14" s="76"/>
      <c r="F14" s="76">
        <v>23087</v>
      </c>
      <c r="G14" s="378">
        <f t="shared" si="1"/>
        <v>23087</v>
      </c>
      <c r="H14" s="379"/>
      <c r="I14" s="76"/>
      <c r="J14" s="380">
        <f t="shared" si="2"/>
        <v>0</v>
      </c>
      <c r="K14" s="382"/>
      <c r="L14" s="76"/>
      <c r="M14" s="187">
        <f t="shared" si="3"/>
        <v>0</v>
      </c>
      <c r="N14" s="187">
        <f t="shared" si="4"/>
        <v>0</v>
      </c>
      <c r="O14" s="187">
        <f t="shared" si="0"/>
        <v>23087</v>
      </c>
      <c r="P14" s="380">
        <f t="shared" si="0"/>
        <v>23087</v>
      </c>
    </row>
    <row r="15" spans="1:16" ht="23.25" customHeight="1">
      <c r="A15" s="383" t="s">
        <v>55</v>
      </c>
      <c r="B15" s="245"/>
      <c r="C15" s="245"/>
      <c r="D15" s="245"/>
      <c r="E15" s="76"/>
      <c r="F15" s="76"/>
      <c r="G15" s="378">
        <f t="shared" si="1"/>
        <v>0</v>
      </c>
      <c r="H15" s="379"/>
      <c r="I15" s="76"/>
      <c r="J15" s="380">
        <f t="shared" si="2"/>
        <v>0</v>
      </c>
      <c r="K15" s="382"/>
      <c r="L15" s="76"/>
      <c r="M15" s="187">
        <f t="shared" si="3"/>
        <v>0</v>
      </c>
      <c r="N15" s="187">
        <f t="shared" si="4"/>
        <v>0</v>
      </c>
      <c r="O15" s="187">
        <f t="shared" si="0"/>
        <v>0</v>
      </c>
      <c r="P15" s="380">
        <f t="shared" si="0"/>
        <v>0</v>
      </c>
    </row>
    <row r="16" spans="1:16" ht="23.25" customHeight="1">
      <c r="A16" s="383" t="s">
        <v>56</v>
      </c>
      <c r="B16" s="245"/>
      <c r="C16" s="245"/>
      <c r="D16" s="245"/>
      <c r="E16" s="76"/>
      <c r="F16" s="76"/>
      <c r="G16" s="378">
        <f t="shared" si="1"/>
        <v>0</v>
      </c>
      <c r="H16" s="379"/>
      <c r="I16" s="76"/>
      <c r="J16" s="380">
        <f t="shared" si="2"/>
        <v>0</v>
      </c>
      <c r="K16" s="382"/>
      <c r="L16" s="76"/>
      <c r="M16" s="187">
        <f t="shared" si="3"/>
        <v>0</v>
      </c>
      <c r="N16" s="187">
        <f t="shared" si="4"/>
        <v>0</v>
      </c>
      <c r="O16" s="187">
        <f t="shared" si="0"/>
        <v>0</v>
      </c>
      <c r="P16" s="380">
        <f t="shared" si="0"/>
        <v>0</v>
      </c>
    </row>
    <row r="17" spans="1:16" ht="23.25" customHeight="1">
      <c r="A17" s="383" t="s">
        <v>57</v>
      </c>
      <c r="B17" s="245"/>
      <c r="C17" s="245"/>
      <c r="D17" s="245"/>
      <c r="E17" s="76"/>
      <c r="F17" s="76"/>
      <c r="G17" s="378">
        <f t="shared" si="1"/>
        <v>0</v>
      </c>
      <c r="H17" s="379"/>
      <c r="I17" s="76"/>
      <c r="J17" s="380">
        <f t="shared" si="2"/>
        <v>0</v>
      </c>
      <c r="K17" s="382"/>
      <c r="L17" s="76"/>
      <c r="M17" s="187">
        <f t="shared" si="3"/>
        <v>0</v>
      </c>
      <c r="N17" s="187">
        <f t="shared" si="4"/>
        <v>0</v>
      </c>
      <c r="O17" s="187">
        <f t="shared" si="0"/>
        <v>0</v>
      </c>
      <c r="P17" s="380">
        <f t="shared" si="0"/>
        <v>0</v>
      </c>
    </row>
    <row r="18" spans="1:16" ht="20.25" customHeight="1" thickBot="1">
      <c r="A18" s="385" t="s">
        <v>58</v>
      </c>
      <c r="B18" s="278"/>
      <c r="C18" s="278"/>
      <c r="D18" s="278"/>
      <c r="E18" s="159">
        <f>58907291+5834440+37203203+462000</f>
        <v>102406934</v>
      </c>
      <c r="F18" s="159">
        <f>12210788+636100</f>
        <v>12846888</v>
      </c>
      <c r="G18" s="378">
        <f t="shared" si="1"/>
        <v>115253822</v>
      </c>
      <c r="H18" s="386">
        <v>1131846</v>
      </c>
      <c r="I18" s="159">
        <v>24121</v>
      </c>
      <c r="J18" s="380">
        <f t="shared" si="2"/>
        <v>1155967</v>
      </c>
      <c r="K18" s="387"/>
      <c r="L18" s="159"/>
      <c r="M18" s="187">
        <f t="shared" si="3"/>
        <v>0</v>
      </c>
      <c r="N18" s="388">
        <f t="shared" si="4"/>
        <v>103538780</v>
      </c>
      <c r="O18" s="388">
        <f t="shared" si="0"/>
        <v>12871009</v>
      </c>
      <c r="P18" s="389">
        <f t="shared" si="0"/>
        <v>116409789</v>
      </c>
    </row>
    <row r="19" spans="1:16" s="7" customFormat="1" ht="12.75" customHeight="1" thickBot="1">
      <c r="A19" s="390" t="s">
        <v>59</v>
      </c>
      <c r="B19" s="391"/>
      <c r="C19" s="391"/>
      <c r="D19" s="391"/>
      <c r="E19" s="392">
        <f aca="true" t="shared" si="5" ref="E19:M19">SUM(E8:E18)</f>
        <v>276719344</v>
      </c>
      <c r="F19" s="392">
        <f t="shared" si="5"/>
        <v>25336345</v>
      </c>
      <c r="G19" s="393">
        <f t="shared" si="5"/>
        <v>302055689</v>
      </c>
      <c r="H19" s="394">
        <f t="shared" si="5"/>
        <v>1131846</v>
      </c>
      <c r="I19" s="394">
        <f t="shared" si="5"/>
        <v>24121</v>
      </c>
      <c r="J19" s="394">
        <f t="shared" si="5"/>
        <v>1155967</v>
      </c>
      <c r="K19" s="394">
        <f t="shared" si="5"/>
        <v>0</v>
      </c>
      <c r="L19" s="394">
        <f t="shared" si="5"/>
        <v>0</v>
      </c>
      <c r="M19" s="394">
        <f t="shared" si="5"/>
        <v>0</v>
      </c>
      <c r="N19" s="395">
        <f t="shared" si="4"/>
        <v>277851190</v>
      </c>
      <c r="O19" s="395">
        <f t="shared" si="0"/>
        <v>25360466</v>
      </c>
      <c r="P19" s="396">
        <f t="shared" si="0"/>
        <v>303211656</v>
      </c>
    </row>
    <row r="20" spans="1:16" s="7" customFormat="1" ht="12.75" customHeight="1">
      <c r="A20" s="397"/>
      <c r="B20" s="279"/>
      <c r="C20" s="279"/>
      <c r="D20" s="279"/>
      <c r="E20" s="188"/>
      <c r="F20" s="188"/>
      <c r="G20" s="398"/>
      <c r="H20" s="399"/>
      <c r="I20" s="188"/>
      <c r="J20" s="380">
        <f t="shared" si="2"/>
        <v>0</v>
      </c>
      <c r="K20" s="400"/>
      <c r="L20" s="188"/>
      <c r="M20" s="187">
        <f t="shared" si="3"/>
        <v>0</v>
      </c>
      <c r="N20" s="401">
        <f t="shared" si="4"/>
        <v>0</v>
      </c>
      <c r="O20" s="401">
        <f t="shared" si="0"/>
        <v>0</v>
      </c>
      <c r="P20" s="402">
        <f t="shared" si="0"/>
        <v>0</v>
      </c>
    </row>
    <row r="21" spans="1:16" s="7" customFormat="1" ht="12.75" customHeight="1">
      <c r="A21" s="383" t="s">
        <v>60</v>
      </c>
      <c r="B21" s="245"/>
      <c r="C21" s="245"/>
      <c r="D21" s="245"/>
      <c r="E21" s="76">
        <v>800000</v>
      </c>
      <c r="F21" s="76"/>
      <c r="G21" s="378">
        <f>E21+F21</f>
        <v>800000</v>
      </c>
      <c r="H21" s="403"/>
      <c r="I21" s="78"/>
      <c r="J21" s="380">
        <f t="shared" si="2"/>
        <v>0</v>
      </c>
      <c r="K21" s="404"/>
      <c r="L21" s="78"/>
      <c r="M21" s="187">
        <f t="shared" si="3"/>
        <v>0</v>
      </c>
      <c r="N21" s="187">
        <f t="shared" si="4"/>
        <v>800000</v>
      </c>
      <c r="O21" s="187">
        <f t="shared" si="0"/>
        <v>0</v>
      </c>
      <c r="P21" s="380">
        <f t="shared" si="0"/>
        <v>800000</v>
      </c>
    </row>
    <row r="22" spans="1:16" s="7" customFormat="1" ht="12.75" customHeight="1">
      <c r="A22" s="383" t="s">
        <v>61</v>
      </c>
      <c r="B22" s="245"/>
      <c r="C22" s="245"/>
      <c r="D22" s="245"/>
      <c r="E22" s="76">
        <v>32000000</v>
      </c>
      <c r="F22" s="76"/>
      <c r="G22" s="378">
        <f>E22+F22</f>
        <v>32000000</v>
      </c>
      <c r="H22" s="403"/>
      <c r="I22" s="78"/>
      <c r="J22" s="380">
        <f t="shared" si="2"/>
        <v>0</v>
      </c>
      <c r="K22" s="404"/>
      <c r="L22" s="78"/>
      <c r="M22" s="187">
        <f t="shared" si="3"/>
        <v>0</v>
      </c>
      <c r="N22" s="187">
        <f t="shared" si="4"/>
        <v>32000000</v>
      </c>
      <c r="O22" s="187">
        <f t="shared" si="0"/>
        <v>0</v>
      </c>
      <c r="P22" s="380">
        <f t="shared" si="0"/>
        <v>32000000</v>
      </c>
    </row>
    <row r="23" spans="1:16" s="7" customFormat="1" ht="12.75" customHeight="1">
      <c r="A23" s="383" t="s">
        <v>348</v>
      </c>
      <c r="B23" s="245"/>
      <c r="C23" s="245"/>
      <c r="D23" s="245"/>
      <c r="E23" s="76">
        <v>4000000</v>
      </c>
      <c r="F23" s="76">
        <v>-4000000</v>
      </c>
      <c r="G23" s="378">
        <f>E23+F23</f>
        <v>0</v>
      </c>
      <c r="H23" s="403"/>
      <c r="I23" s="78"/>
      <c r="J23" s="380">
        <f t="shared" si="2"/>
        <v>0</v>
      </c>
      <c r="K23" s="404"/>
      <c r="L23" s="78"/>
      <c r="M23" s="187">
        <f t="shared" si="3"/>
        <v>0</v>
      </c>
      <c r="N23" s="187">
        <f t="shared" si="4"/>
        <v>4000000</v>
      </c>
      <c r="O23" s="187">
        <f t="shared" si="0"/>
        <v>-4000000</v>
      </c>
      <c r="P23" s="380">
        <f t="shared" si="0"/>
        <v>0</v>
      </c>
    </row>
    <row r="24" spans="1:16" s="7" customFormat="1" ht="12.75" customHeight="1">
      <c r="A24" s="383" t="s">
        <v>62</v>
      </c>
      <c r="B24" s="245"/>
      <c r="C24" s="245"/>
      <c r="D24" s="245"/>
      <c r="E24" s="76">
        <v>200000</v>
      </c>
      <c r="F24" s="76"/>
      <c r="G24" s="378">
        <f>E24+F24</f>
        <v>200000</v>
      </c>
      <c r="H24" s="403"/>
      <c r="I24" s="78"/>
      <c r="J24" s="380">
        <f t="shared" si="2"/>
        <v>0</v>
      </c>
      <c r="K24" s="404"/>
      <c r="L24" s="78"/>
      <c r="M24" s="187">
        <f t="shared" si="3"/>
        <v>0</v>
      </c>
      <c r="N24" s="187">
        <f t="shared" si="4"/>
        <v>200000</v>
      </c>
      <c r="O24" s="187">
        <f t="shared" si="0"/>
        <v>0</v>
      </c>
      <c r="P24" s="380">
        <f t="shared" si="0"/>
        <v>200000</v>
      </c>
    </row>
    <row r="25" spans="1:16" ht="12.75" customHeight="1" thickBot="1">
      <c r="A25" s="405" t="s">
        <v>63</v>
      </c>
      <c r="B25" s="406"/>
      <c r="C25" s="406"/>
      <c r="D25" s="406"/>
      <c r="E25" s="159">
        <v>300000</v>
      </c>
      <c r="F25" s="159"/>
      <c r="G25" s="378">
        <f>E25+F25</f>
        <v>300000</v>
      </c>
      <c r="H25" s="386">
        <v>250000</v>
      </c>
      <c r="I25" s="407"/>
      <c r="J25" s="380">
        <f t="shared" si="2"/>
        <v>250000</v>
      </c>
      <c r="K25" s="408"/>
      <c r="L25" s="409"/>
      <c r="M25" s="187">
        <f t="shared" si="3"/>
        <v>0</v>
      </c>
      <c r="N25" s="410">
        <f t="shared" si="4"/>
        <v>550000</v>
      </c>
      <c r="O25" s="388">
        <f t="shared" si="0"/>
        <v>0</v>
      </c>
      <c r="P25" s="389">
        <f t="shared" si="0"/>
        <v>550000</v>
      </c>
    </row>
    <row r="26" spans="1:16" s="7" customFormat="1" ht="13.5" thickBot="1">
      <c r="A26" s="411" t="s">
        <v>64</v>
      </c>
      <c r="B26" s="412"/>
      <c r="C26" s="412"/>
      <c r="D26" s="412"/>
      <c r="E26" s="392">
        <f aca="true" t="shared" si="6" ref="E26:M26">SUM(E21:E25)</f>
        <v>37300000</v>
      </c>
      <c r="F26" s="392">
        <f t="shared" si="6"/>
        <v>-4000000</v>
      </c>
      <c r="G26" s="393">
        <f t="shared" si="6"/>
        <v>33300000</v>
      </c>
      <c r="H26" s="394">
        <f t="shared" si="6"/>
        <v>250000</v>
      </c>
      <c r="I26" s="394">
        <f t="shared" si="6"/>
        <v>0</v>
      </c>
      <c r="J26" s="394">
        <f t="shared" si="6"/>
        <v>250000</v>
      </c>
      <c r="K26" s="413">
        <f t="shared" si="6"/>
        <v>0</v>
      </c>
      <c r="L26" s="413">
        <f t="shared" si="6"/>
        <v>0</v>
      </c>
      <c r="M26" s="413">
        <f t="shared" si="6"/>
        <v>0</v>
      </c>
      <c r="N26" s="395">
        <f t="shared" si="4"/>
        <v>37550000</v>
      </c>
      <c r="O26" s="395">
        <f t="shared" si="0"/>
        <v>-4000000</v>
      </c>
      <c r="P26" s="396">
        <f t="shared" si="0"/>
        <v>33550000</v>
      </c>
    </row>
    <row r="27" spans="1:16" ht="12.75">
      <c r="A27" s="414"/>
      <c r="B27" s="280"/>
      <c r="C27" s="280"/>
      <c r="D27" s="280"/>
      <c r="E27" s="188"/>
      <c r="F27" s="188"/>
      <c r="G27" s="398"/>
      <c r="H27" s="415"/>
      <c r="I27" s="160"/>
      <c r="J27" s="380">
        <f t="shared" si="2"/>
        <v>0</v>
      </c>
      <c r="K27" s="416"/>
      <c r="L27" s="160"/>
      <c r="M27" s="187">
        <f t="shared" si="3"/>
        <v>0</v>
      </c>
      <c r="N27" s="401">
        <f t="shared" si="4"/>
        <v>0</v>
      </c>
      <c r="O27" s="401">
        <f t="shared" si="0"/>
        <v>0</v>
      </c>
      <c r="P27" s="402">
        <f t="shared" si="0"/>
        <v>0</v>
      </c>
    </row>
    <row r="28" spans="1:16" ht="12.75">
      <c r="A28" s="381" t="s">
        <v>65</v>
      </c>
      <c r="B28" s="248"/>
      <c r="C28" s="248"/>
      <c r="D28" s="248"/>
      <c r="E28" s="76">
        <v>200000</v>
      </c>
      <c r="F28" s="159">
        <v>1493000</v>
      </c>
      <c r="G28" s="378">
        <f aca="true" t="shared" si="7" ref="G28:G38">E28+F28</f>
        <v>1693000</v>
      </c>
      <c r="H28" s="386"/>
      <c r="I28" s="159"/>
      <c r="J28" s="380">
        <f t="shared" si="2"/>
        <v>0</v>
      </c>
      <c r="K28" s="382"/>
      <c r="L28" s="76"/>
      <c r="M28" s="187">
        <f t="shared" si="3"/>
        <v>0</v>
      </c>
      <c r="N28" s="187">
        <f t="shared" si="4"/>
        <v>200000</v>
      </c>
      <c r="O28" s="187">
        <f t="shared" si="0"/>
        <v>1493000</v>
      </c>
      <c r="P28" s="380">
        <f t="shared" si="0"/>
        <v>1693000</v>
      </c>
    </row>
    <row r="29" spans="1:16" ht="12.75" customHeight="1">
      <c r="A29" s="383" t="s">
        <v>66</v>
      </c>
      <c r="B29" s="245"/>
      <c r="C29" s="245"/>
      <c r="D29" s="245"/>
      <c r="E29" s="378">
        <v>4196460</v>
      </c>
      <c r="F29" s="417"/>
      <c r="G29" s="378">
        <f t="shared" si="7"/>
        <v>4196460</v>
      </c>
      <c r="H29" s="418"/>
      <c r="I29" s="419"/>
      <c r="J29" s="380">
        <f t="shared" si="2"/>
        <v>0</v>
      </c>
      <c r="K29" s="387">
        <v>6050000</v>
      </c>
      <c r="L29" s="76"/>
      <c r="M29" s="187">
        <f t="shared" si="3"/>
        <v>6050000</v>
      </c>
      <c r="N29" s="187">
        <f t="shared" si="4"/>
        <v>10246460</v>
      </c>
      <c r="O29" s="187">
        <f t="shared" si="0"/>
        <v>0</v>
      </c>
      <c r="P29" s="380">
        <f t="shared" si="0"/>
        <v>10246460</v>
      </c>
    </row>
    <row r="30" spans="1:16" ht="12.75">
      <c r="A30" s="381" t="s">
        <v>67</v>
      </c>
      <c r="B30" s="248"/>
      <c r="C30" s="248"/>
      <c r="D30" s="248"/>
      <c r="E30" s="78"/>
      <c r="F30" s="188"/>
      <c r="G30" s="378">
        <f t="shared" si="7"/>
        <v>0</v>
      </c>
      <c r="H30" s="420">
        <v>100000</v>
      </c>
      <c r="I30" s="421"/>
      <c r="J30" s="380">
        <f t="shared" si="2"/>
        <v>100000</v>
      </c>
      <c r="K30" s="422"/>
      <c r="L30" s="21"/>
      <c r="M30" s="187">
        <f t="shared" si="3"/>
        <v>0</v>
      </c>
      <c r="N30" s="187">
        <f t="shared" si="4"/>
        <v>100000</v>
      </c>
      <c r="O30" s="187">
        <f t="shared" si="0"/>
        <v>0</v>
      </c>
      <c r="P30" s="380">
        <f t="shared" si="0"/>
        <v>100000</v>
      </c>
    </row>
    <row r="31" spans="1:16" ht="12.75">
      <c r="A31" s="381" t="s">
        <v>68</v>
      </c>
      <c r="B31" s="248"/>
      <c r="C31" s="248"/>
      <c r="D31" s="248"/>
      <c r="E31" s="76"/>
      <c r="F31" s="159"/>
      <c r="G31" s="378">
        <f t="shared" si="7"/>
        <v>0</v>
      </c>
      <c r="H31" s="386"/>
      <c r="I31" s="162"/>
      <c r="J31" s="380">
        <f t="shared" si="2"/>
        <v>0</v>
      </c>
      <c r="K31" s="416"/>
      <c r="L31" s="76"/>
      <c r="M31" s="187">
        <f t="shared" si="3"/>
        <v>0</v>
      </c>
      <c r="N31" s="187">
        <f t="shared" si="4"/>
        <v>0</v>
      </c>
      <c r="O31" s="187">
        <f t="shared" si="0"/>
        <v>0</v>
      </c>
      <c r="P31" s="380">
        <f t="shared" si="0"/>
        <v>0</v>
      </c>
    </row>
    <row r="32" spans="1:16" ht="12.75" customHeight="1">
      <c r="A32" s="381" t="s">
        <v>69</v>
      </c>
      <c r="B32" s="248"/>
      <c r="C32" s="248"/>
      <c r="D32" s="248"/>
      <c r="E32" s="378">
        <v>510000</v>
      </c>
      <c r="F32" s="417"/>
      <c r="G32" s="378">
        <f t="shared" si="7"/>
        <v>510000</v>
      </c>
      <c r="H32" s="418"/>
      <c r="I32" s="419"/>
      <c r="J32" s="380">
        <f t="shared" si="2"/>
        <v>0</v>
      </c>
      <c r="K32" s="382">
        <v>8400000</v>
      </c>
      <c r="L32" s="76"/>
      <c r="M32" s="187">
        <f t="shared" si="3"/>
        <v>8400000</v>
      </c>
      <c r="N32" s="187">
        <f t="shared" si="4"/>
        <v>8910000</v>
      </c>
      <c r="O32" s="187">
        <f t="shared" si="0"/>
        <v>0</v>
      </c>
      <c r="P32" s="380">
        <f t="shared" si="0"/>
        <v>8910000</v>
      </c>
    </row>
    <row r="33" spans="1:16" ht="12.75" customHeight="1">
      <c r="A33" s="381" t="s">
        <v>70</v>
      </c>
      <c r="B33" s="248"/>
      <c r="C33" s="248"/>
      <c r="D33" s="248"/>
      <c r="E33" s="76">
        <v>532170</v>
      </c>
      <c r="F33" s="160"/>
      <c r="G33" s="378">
        <f t="shared" si="7"/>
        <v>532170</v>
      </c>
      <c r="H33" s="415">
        <v>27000</v>
      </c>
      <c r="I33" s="160"/>
      <c r="J33" s="380">
        <f t="shared" si="2"/>
        <v>27000</v>
      </c>
      <c r="K33" s="382">
        <v>3901500</v>
      </c>
      <c r="L33" s="76"/>
      <c r="M33" s="187">
        <f t="shared" si="3"/>
        <v>3901500</v>
      </c>
      <c r="N33" s="187">
        <f t="shared" si="4"/>
        <v>4460670</v>
      </c>
      <c r="O33" s="187">
        <f t="shared" si="0"/>
        <v>0</v>
      </c>
      <c r="P33" s="380">
        <f t="shared" si="0"/>
        <v>4460670</v>
      </c>
    </row>
    <row r="34" spans="1:16" ht="12.75" customHeight="1">
      <c r="A34" s="381" t="s">
        <v>71</v>
      </c>
      <c r="B34" s="248"/>
      <c r="C34" s="248"/>
      <c r="D34" s="248"/>
      <c r="E34" s="76"/>
      <c r="F34" s="76"/>
      <c r="G34" s="378">
        <f t="shared" si="7"/>
        <v>0</v>
      </c>
      <c r="H34" s="379"/>
      <c r="I34" s="76"/>
      <c r="J34" s="380">
        <f t="shared" si="2"/>
        <v>0</v>
      </c>
      <c r="K34" s="382"/>
      <c r="L34" s="76"/>
      <c r="M34" s="187">
        <f t="shared" si="3"/>
        <v>0</v>
      </c>
      <c r="N34" s="187">
        <f t="shared" si="4"/>
        <v>0</v>
      </c>
      <c r="O34" s="187">
        <f t="shared" si="0"/>
        <v>0</v>
      </c>
      <c r="P34" s="380">
        <f t="shared" si="0"/>
        <v>0</v>
      </c>
    </row>
    <row r="35" spans="1:16" ht="12.75" customHeight="1">
      <c r="A35" s="381" t="s">
        <v>72</v>
      </c>
      <c r="B35" s="248"/>
      <c r="C35" s="248"/>
      <c r="D35" s="248"/>
      <c r="E35" s="76"/>
      <c r="F35" s="76"/>
      <c r="G35" s="378">
        <f t="shared" si="7"/>
        <v>0</v>
      </c>
      <c r="H35" s="379"/>
      <c r="I35" s="76"/>
      <c r="J35" s="380">
        <f t="shared" si="2"/>
        <v>0</v>
      </c>
      <c r="K35" s="382"/>
      <c r="L35" s="76"/>
      <c r="M35" s="187">
        <f t="shared" si="3"/>
        <v>0</v>
      </c>
      <c r="N35" s="187">
        <f t="shared" si="4"/>
        <v>0</v>
      </c>
      <c r="O35" s="187">
        <f t="shared" si="0"/>
        <v>0</v>
      </c>
      <c r="P35" s="380">
        <f t="shared" si="0"/>
        <v>0</v>
      </c>
    </row>
    <row r="36" spans="1:16" ht="12.75" customHeight="1">
      <c r="A36" s="381" t="s">
        <v>73</v>
      </c>
      <c r="B36" s="248"/>
      <c r="C36" s="248"/>
      <c r="D36" s="248"/>
      <c r="E36" s="189"/>
      <c r="F36" s="189"/>
      <c r="G36" s="378">
        <f t="shared" si="7"/>
        <v>0</v>
      </c>
      <c r="H36" s="386"/>
      <c r="I36" s="159"/>
      <c r="J36" s="380">
        <f t="shared" si="2"/>
        <v>0</v>
      </c>
      <c r="K36" s="387"/>
      <c r="L36" s="159"/>
      <c r="M36" s="187">
        <f t="shared" si="3"/>
        <v>0</v>
      </c>
      <c r="N36" s="187">
        <f t="shared" si="4"/>
        <v>0</v>
      </c>
      <c r="O36" s="187">
        <f t="shared" si="0"/>
        <v>0</v>
      </c>
      <c r="P36" s="380">
        <f t="shared" si="0"/>
        <v>0</v>
      </c>
    </row>
    <row r="37" spans="1:16" ht="12.75">
      <c r="A37" s="423" t="s">
        <v>596</v>
      </c>
      <c r="B37" s="254"/>
      <c r="C37" s="254"/>
      <c r="D37" s="424"/>
      <c r="E37" s="425"/>
      <c r="F37" s="425"/>
      <c r="G37" s="378">
        <f t="shared" si="7"/>
        <v>0</v>
      </c>
      <c r="H37" s="426"/>
      <c r="I37" s="417"/>
      <c r="J37" s="380">
        <f t="shared" si="2"/>
        <v>0</v>
      </c>
      <c r="K37" s="427"/>
      <c r="L37" s="417"/>
      <c r="M37" s="187">
        <f t="shared" si="3"/>
        <v>0</v>
      </c>
      <c r="N37" s="428">
        <f t="shared" si="4"/>
        <v>0</v>
      </c>
      <c r="O37" s="187">
        <f t="shared" si="0"/>
        <v>0</v>
      </c>
      <c r="P37" s="380">
        <f t="shared" si="0"/>
        <v>0</v>
      </c>
    </row>
    <row r="38" spans="1:16" ht="13.5" thickBot="1">
      <c r="A38" s="423" t="s">
        <v>597</v>
      </c>
      <c r="B38" s="254"/>
      <c r="C38" s="254"/>
      <c r="D38" s="254"/>
      <c r="E38" s="429"/>
      <c r="F38" s="429"/>
      <c r="G38" s="378">
        <f t="shared" si="7"/>
        <v>0</v>
      </c>
      <c r="H38" s="430">
        <v>5000</v>
      </c>
      <c r="I38" s="162"/>
      <c r="J38" s="380">
        <f t="shared" si="2"/>
        <v>5000</v>
      </c>
      <c r="K38" s="431">
        <v>2500</v>
      </c>
      <c r="L38" s="162"/>
      <c r="M38" s="187">
        <f t="shared" si="3"/>
        <v>2500</v>
      </c>
      <c r="N38" s="388">
        <f t="shared" si="4"/>
        <v>7500</v>
      </c>
      <c r="O38" s="388">
        <f t="shared" si="0"/>
        <v>0</v>
      </c>
      <c r="P38" s="389">
        <f t="shared" si="0"/>
        <v>7500</v>
      </c>
    </row>
    <row r="39" spans="1:16" s="7" customFormat="1" ht="13.5" thickBot="1">
      <c r="A39" s="432" t="s">
        <v>74</v>
      </c>
      <c r="B39" s="433"/>
      <c r="C39" s="433"/>
      <c r="D39" s="433"/>
      <c r="E39" s="392">
        <f>SUM(E28:E38)</f>
        <v>5438630</v>
      </c>
      <c r="F39" s="392">
        <f aca="true" t="shared" si="8" ref="F39:P39">SUM(F28:F38)</f>
        <v>1493000</v>
      </c>
      <c r="G39" s="393">
        <f t="shared" si="8"/>
        <v>6931630</v>
      </c>
      <c r="H39" s="394">
        <f t="shared" si="8"/>
        <v>132000</v>
      </c>
      <c r="I39" s="394">
        <f t="shared" si="8"/>
        <v>0</v>
      </c>
      <c r="J39" s="394">
        <f t="shared" si="8"/>
        <v>132000</v>
      </c>
      <c r="K39" s="413">
        <f t="shared" si="8"/>
        <v>18354000</v>
      </c>
      <c r="L39" s="413">
        <f t="shared" si="8"/>
        <v>0</v>
      </c>
      <c r="M39" s="413">
        <f t="shared" si="8"/>
        <v>18354000</v>
      </c>
      <c r="N39" s="392">
        <f t="shared" si="8"/>
        <v>23924630</v>
      </c>
      <c r="O39" s="392">
        <f t="shared" si="8"/>
        <v>1493000</v>
      </c>
      <c r="P39" s="392">
        <f t="shared" si="8"/>
        <v>25417630</v>
      </c>
    </row>
    <row r="40" spans="1:16" ht="12.75">
      <c r="A40" s="434"/>
      <c r="B40" s="281"/>
      <c r="C40" s="281"/>
      <c r="D40" s="281"/>
      <c r="E40" s="160"/>
      <c r="F40" s="160"/>
      <c r="G40" s="435"/>
      <c r="H40" s="415"/>
      <c r="I40" s="160"/>
      <c r="J40" s="380">
        <f t="shared" si="2"/>
        <v>0</v>
      </c>
      <c r="K40" s="416"/>
      <c r="L40" s="160"/>
      <c r="M40" s="187">
        <f t="shared" si="3"/>
        <v>0</v>
      </c>
      <c r="N40" s="401">
        <f t="shared" si="4"/>
        <v>0</v>
      </c>
      <c r="O40" s="401">
        <f t="shared" si="0"/>
        <v>0</v>
      </c>
      <c r="P40" s="402">
        <f t="shared" si="0"/>
        <v>0</v>
      </c>
    </row>
    <row r="41" spans="1:16" ht="23.25" customHeight="1">
      <c r="A41" s="383" t="s">
        <v>75</v>
      </c>
      <c r="B41" s="245"/>
      <c r="C41" s="245"/>
      <c r="D41" s="245"/>
      <c r="E41" s="76"/>
      <c r="F41" s="76"/>
      <c r="G41" s="378"/>
      <c r="H41" s="379"/>
      <c r="I41" s="76"/>
      <c r="J41" s="380">
        <f t="shared" si="2"/>
        <v>0</v>
      </c>
      <c r="K41" s="382"/>
      <c r="L41" s="76"/>
      <c r="M41" s="187">
        <f t="shared" si="3"/>
        <v>0</v>
      </c>
      <c r="N41" s="187">
        <f t="shared" si="4"/>
        <v>0</v>
      </c>
      <c r="O41" s="187">
        <f t="shared" si="0"/>
        <v>0</v>
      </c>
      <c r="P41" s="380">
        <f t="shared" si="0"/>
        <v>0</v>
      </c>
    </row>
    <row r="42" spans="1:16" ht="23.25" customHeight="1">
      <c r="A42" s="383" t="s">
        <v>76</v>
      </c>
      <c r="B42" s="245"/>
      <c r="C42" s="245"/>
      <c r="D42" s="245"/>
      <c r="E42" s="76"/>
      <c r="F42" s="76"/>
      <c r="G42" s="378"/>
      <c r="H42" s="379"/>
      <c r="I42" s="76"/>
      <c r="J42" s="380">
        <f t="shared" si="2"/>
        <v>0</v>
      </c>
      <c r="K42" s="382"/>
      <c r="L42" s="76"/>
      <c r="M42" s="187">
        <f t="shared" si="3"/>
        <v>0</v>
      </c>
      <c r="N42" s="187">
        <f t="shared" si="4"/>
        <v>0</v>
      </c>
      <c r="O42" s="187">
        <f t="shared" si="0"/>
        <v>0</v>
      </c>
      <c r="P42" s="380">
        <f t="shared" si="0"/>
        <v>0</v>
      </c>
    </row>
    <row r="43" spans="1:16" ht="13.5" thickBot="1">
      <c r="A43" s="423" t="s">
        <v>77</v>
      </c>
      <c r="B43" s="254"/>
      <c r="C43" s="254"/>
      <c r="D43" s="254"/>
      <c r="E43" s="159"/>
      <c r="F43" s="159"/>
      <c r="G43" s="436"/>
      <c r="H43" s="386"/>
      <c r="I43" s="159"/>
      <c r="J43" s="380">
        <f t="shared" si="2"/>
        <v>0</v>
      </c>
      <c r="K43" s="387"/>
      <c r="L43" s="159"/>
      <c r="M43" s="187">
        <f t="shared" si="3"/>
        <v>0</v>
      </c>
      <c r="N43" s="388">
        <f t="shared" si="4"/>
        <v>0</v>
      </c>
      <c r="O43" s="388">
        <f t="shared" si="0"/>
        <v>0</v>
      </c>
      <c r="P43" s="389">
        <f t="shared" si="0"/>
        <v>0</v>
      </c>
    </row>
    <row r="44" spans="1:16" s="7" customFormat="1" ht="13.5" thickBot="1">
      <c r="A44" s="432" t="s">
        <v>78</v>
      </c>
      <c r="B44" s="433"/>
      <c r="C44" s="433"/>
      <c r="D44" s="433"/>
      <c r="E44" s="392">
        <f>SUM(E41:E43)</f>
        <v>0</v>
      </c>
      <c r="F44" s="392">
        <f aca="true" t="shared" si="9" ref="F44:P44">SUM(F41:F43)</f>
        <v>0</v>
      </c>
      <c r="G44" s="393">
        <f t="shared" si="9"/>
        <v>0</v>
      </c>
      <c r="H44" s="394">
        <f t="shared" si="9"/>
        <v>0</v>
      </c>
      <c r="I44" s="394">
        <f t="shared" si="9"/>
        <v>0</v>
      </c>
      <c r="J44" s="394">
        <f t="shared" si="9"/>
        <v>0</v>
      </c>
      <c r="K44" s="413">
        <f t="shared" si="9"/>
        <v>0</v>
      </c>
      <c r="L44" s="413">
        <f t="shared" si="9"/>
        <v>0</v>
      </c>
      <c r="M44" s="413">
        <f t="shared" si="9"/>
        <v>0</v>
      </c>
      <c r="N44" s="392">
        <f t="shared" si="9"/>
        <v>0</v>
      </c>
      <c r="O44" s="392">
        <f t="shared" si="9"/>
        <v>0</v>
      </c>
      <c r="P44" s="392">
        <f t="shared" si="9"/>
        <v>0</v>
      </c>
    </row>
    <row r="45" spans="1:16" ht="13.5" thickBot="1">
      <c r="A45" s="437"/>
      <c r="B45" s="252"/>
      <c r="C45" s="252"/>
      <c r="D45" s="252"/>
      <c r="E45" s="162"/>
      <c r="F45" s="162"/>
      <c r="G45" s="438"/>
      <c r="H45" s="430"/>
      <c r="I45" s="162"/>
      <c r="J45" s="380">
        <f t="shared" si="2"/>
        <v>0</v>
      </c>
      <c r="K45" s="431"/>
      <c r="L45" s="162"/>
      <c r="M45" s="187">
        <f t="shared" si="3"/>
        <v>0</v>
      </c>
      <c r="N45" s="439">
        <f t="shared" si="4"/>
        <v>0</v>
      </c>
      <c r="O45" s="439">
        <f t="shared" si="0"/>
        <v>0</v>
      </c>
      <c r="P45" s="440">
        <f t="shared" si="0"/>
        <v>0</v>
      </c>
    </row>
    <row r="46" spans="1:16" s="7" customFormat="1" ht="24.75" customHeight="1" thickBot="1">
      <c r="A46" s="441" t="s">
        <v>79</v>
      </c>
      <c r="B46" s="442"/>
      <c r="C46" s="442"/>
      <c r="D46" s="442"/>
      <c r="E46" s="392">
        <f aca="true" t="shared" si="10" ref="E46:M46">E19+E26+E39+E44</f>
        <v>319457974</v>
      </c>
      <c r="F46" s="392">
        <f t="shared" si="10"/>
        <v>22829345</v>
      </c>
      <c r="G46" s="393">
        <f t="shared" si="10"/>
        <v>342287319</v>
      </c>
      <c r="H46" s="394">
        <f t="shared" si="10"/>
        <v>1513846</v>
      </c>
      <c r="I46" s="394">
        <f t="shared" si="10"/>
        <v>24121</v>
      </c>
      <c r="J46" s="394">
        <f t="shared" si="10"/>
        <v>1537967</v>
      </c>
      <c r="K46" s="413">
        <f t="shared" si="10"/>
        <v>18354000</v>
      </c>
      <c r="L46" s="413">
        <f t="shared" si="10"/>
        <v>0</v>
      </c>
      <c r="M46" s="413">
        <f t="shared" si="10"/>
        <v>18354000</v>
      </c>
      <c r="N46" s="395">
        <f t="shared" si="4"/>
        <v>339325820</v>
      </c>
      <c r="O46" s="395">
        <f t="shared" si="0"/>
        <v>22853466</v>
      </c>
      <c r="P46" s="396">
        <f t="shared" si="0"/>
        <v>362179286</v>
      </c>
    </row>
    <row r="47" spans="1:16" ht="12.75">
      <c r="A47" s="443"/>
      <c r="B47" s="258"/>
      <c r="C47" s="258"/>
      <c r="D47" s="258"/>
      <c r="E47" s="160"/>
      <c r="F47" s="160"/>
      <c r="G47" s="435"/>
      <c r="H47" s="415"/>
      <c r="I47" s="160"/>
      <c r="J47" s="380">
        <f t="shared" si="2"/>
        <v>0</v>
      </c>
      <c r="K47" s="416"/>
      <c r="L47" s="160"/>
      <c r="M47" s="187">
        <f t="shared" si="3"/>
        <v>0</v>
      </c>
      <c r="N47" s="401">
        <f t="shared" si="4"/>
        <v>0</v>
      </c>
      <c r="O47" s="401">
        <f t="shared" si="0"/>
        <v>0</v>
      </c>
      <c r="P47" s="402">
        <f t="shared" si="0"/>
        <v>0</v>
      </c>
    </row>
    <row r="48" spans="1:21" ht="12.75">
      <c r="A48" s="381" t="s">
        <v>80</v>
      </c>
      <c r="B48" s="248"/>
      <c r="C48" s="248"/>
      <c r="D48" s="248"/>
      <c r="E48" s="76"/>
      <c r="F48" s="76"/>
      <c r="G48" s="378">
        <f>E48+F48</f>
        <v>0</v>
      </c>
      <c r="H48" s="379"/>
      <c r="I48" s="76"/>
      <c r="J48" s="380">
        <f t="shared" si="2"/>
        <v>0</v>
      </c>
      <c r="K48" s="382"/>
      <c r="L48" s="76"/>
      <c r="M48" s="187">
        <f t="shared" si="3"/>
        <v>0</v>
      </c>
      <c r="N48" s="187">
        <f t="shared" si="4"/>
        <v>0</v>
      </c>
      <c r="O48" s="187">
        <f t="shared" si="0"/>
        <v>0</v>
      </c>
      <c r="P48" s="380">
        <f t="shared" si="0"/>
        <v>0</v>
      </c>
      <c r="U48" s="7"/>
    </row>
    <row r="49" spans="1:16" ht="12.75">
      <c r="A49" s="381" t="s">
        <v>81</v>
      </c>
      <c r="B49" s="248"/>
      <c r="C49" s="248"/>
      <c r="D49" s="248"/>
      <c r="E49" s="76"/>
      <c r="F49" s="76"/>
      <c r="G49" s="378">
        <f aca="true" t="shared" si="11" ref="G49:G54">E49+F49</f>
        <v>0</v>
      </c>
      <c r="H49" s="379"/>
      <c r="I49" s="76"/>
      <c r="J49" s="380">
        <f t="shared" si="2"/>
        <v>0</v>
      </c>
      <c r="K49" s="382"/>
      <c r="L49" s="76"/>
      <c r="M49" s="187">
        <f t="shared" si="3"/>
        <v>0</v>
      </c>
      <c r="N49" s="187">
        <f t="shared" si="4"/>
        <v>0</v>
      </c>
      <c r="O49" s="187">
        <f t="shared" si="0"/>
        <v>0</v>
      </c>
      <c r="P49" s="380">
        <f t="shared" si="0"/>
        <v>0</v>
      </c>
    </row>
    <row r="50" spans="1:16" ht="12.75">
      <c r="A50" s="381" t="s">
        <v>82</v>
      </c>
      <c r="B50" s="248"/>
      <c r="C50" s="248"/>
      <c r="D50" s="248"/>
      <c r="E50" s="76">
        <f>45830820-488492+2963053+709395+1448352-576548</f>
        <v>49886580</v>
      </c>
      <c r="F50" s="76">
        <v>7269304</v>
      </c>
      <c r="G50" s="378">
        <f t="shared" si="11"/>
        <v>57155884</v>
      </c>
      <c r="H50" s="379">
        <v>139222</v>
      </c>
      <c r="I50" s="76"/>
      <c r="J50" s="380">
        <f t="shared" si="2"/>
        <v>139222</v>
      </c>
      <c r="K50" s="382">
        <v>349270</v>
      </c>
      <c r="L50" s="76">
        <v>13490</v>
      </c>
      <c r="M50" s="187">
        <f t="shared" si="3"/>
        <v>362760</v>
      </c>
      <c r="N50" s="187">
        <f t="shared" si="4"/>
        <v>50375072</v>
      </c>
      <c r="O50" s="187">
        <f t="shared" si="0"/>
        <v>7282794</v>
      </c>
      <c r="P50" s="380">
        <f t="shared" si="0"/>
        <v>57657866</v>
      </c>
    </row>
    <row r="51" spans="1:16" ht="12.75">
      <c r="A51" s="381" t="s">
        <v>83</v>
      </c>
      <c r="B51" s="248"/>
      <c r="C51" s="248"/>
      <c r="D51" s="248"/>
      <c r="E51" s="76"/>
      <c r="F51" s="76"/>
      <c r="G51" s="378">
        <f t="shared" si="11"/>
        <v>0</v>
      </c>
      <c r="H51" s="379"/>
      <c r="I51" s="76"/>
      <c r="J51" s="380">
        <f t="shared" si="2"/>
        <v>0</v>
      </c>
      <c r="K51" s="382"/>
      <c r="L51" s="76"/>
      <c r="M51" s="187">
        <f t="shared" si="3"/>
        <v>0</v>
      </c>
      <c r="N51" s="187">
        <f t="shared" si="4"/>
        <v>0</v>
      </c>
      <c r="O51" s="187">
        <f t="shared" si="0"/>
        <v>0</v>
      </c>
      <c r="P51" s="380">
        <f t="shared" si="0"/>
        <v>0</v>
      </c>
    </row>
    <row r="52" spans="1:16" ht="12.75">
      <c r="A52" s="381" t="s">
        <v>84</v>
      </c>
      <c r="B52" s="248"/>
      <c r="C52" s="248"/>
      <c r="D52" s="248"/>
      <c r="E52" s="76"/>
      <c r="F52" s="76"/>
      <c r="G52" s="378">
        <f t="shared" si="11"/>
        <v>0</v>
      </c>
      <c r="H52" s="379"/>
      <c r="I52" s="76"/>
      <c r="J52" s="380">
        <f t="shared" si="2"/>
        <v>0</v>
      </c>
      <c r="K52" s="382"/>
      <c r="L52" s="76"/>
      <c r="M52" s="187">
        <f t="shared" si="3"/>
        <v>0</v>
      </c>
      <c r="N52" s="187">
        <f t="shared" si="4"/>
        <v>0</v>
      </c>
      <c r="O52" s="187">
        <f t="shared" si="0"/>
        <v>0</v>
      </c>
      <c r="P52" s="380">
        <f t="shared" si="0"/>
        <v>0</v>
      </c>
    </row>
    <row r="53" spans="1:16" ht="12.75">
      <c r="A53" s="381" t="s">
        <v>85</v>
      </c>
      <c r="B53" s="248"/>
      <c r="C53" s="248"/>
      <c r="D53" s="248"/>
      <c r="E53" s="76"/>
      <c r="F53" s="76"/>
      <c r="G53" s="378">
        <f t="shared" si="11"/>
        <v>0</v>
      </c>
      <c r="H53" s="379"/>
      <c r="I53" s="76"/>
      <c r="J53" s="380">
        <f t="shared" si="2"/>
        <v>0</v>
      </c>
      <c r="K53" s="382"/>
      <c r="L53" s="76"/>
      <c r="M53" s="187">
        <f t="shared" si="3"/>
        <v>0</v>
      </c>
      <c r="N53" s="187">
        <f t="shared" si="4"/>
        <v>0</v>
      </c>
      <c r="O53" s="187">
        <f t="shared" si="0"/>
        <v>0</v>
      </c>
      <c r="P53" s="380">
        <f t="shared" si="0"/>
        <v>0</v>
      </c>
    </row>
    <row r="54" spans="1:16" ht="13.5" thickBot="1">
      <c r="A54" s="423" t="s">
        <v>86</v>
      </c>
      <c r="B54" s="254"/>
      <c r="C54" s="254"/>
      <c r="D54" s="254"/>
      <c r="E54" s="159"/>
      <c r="F54" s="159"/>
      <c r="G54" s="378">
        <f t="shared" si="11"/>
        <v>0</v>
      </c>
      <c r="H54" s="386"/>
      <c r="I54" s="159"/>
      <c r="J54" s="380">
        <f t="shared" si="2"/>
        <v>0</v>
      </c>
      <c r="K54" s="387"/>
      <c r="L54" s="159"/>
      <c r="M54" s="187">
        <f t="shared" si="3"/>
        <v>0</v>
      </c>
      <c r="N54" s="388">
        <f t="shared" si="4"/>
        <v>0</v>
      </c>
      <c r="O54" s="388">
        <f t="shared" si="0"/>
        <v>0</v>
      </c>
      <c r="P54" s="389">
        <f t="shared" si="0"/>
        <v>0</v>
      </c>
    </row>
    <row r="55" spans="1:16" ht="13.5" thickBot="1">
      <c r="A55" s="432" t="s">
        <v>87</v>
      </c>
      <c r="B55" s="433"/>
      <c r="C55" s="433"/>
      <c r="D55" s="433"/>
      <c r="E55" s="392">
        <f aca="true" t="shared" si="12" ref="E55:M55">SUM(E48:E54)</f>
        <v>49886580</v>
      </c>
      <c r="F55" s="392">
        <f t="shared" si="12"/>
        <v>7269304</v>
      </c>
      <c r="G55" s="393">
        <f t="shared" si="12"/>
        <v>57155884</v>
      </c>
      <c r="H55" s="394">
        <f t="shared" si="12"/>
        <v>139222</v>
      </c>
      <c r="I55" s="394">
        <f t="shared" si="12"/>
        <v>0</v>
      </c>
      <c r="J55" s="394">
        <f t="shared" si="12"/>
        <v>139222</v>
      </c>
      <c r="K55" s="413">
        <f t="shared" si="12"/>
        <v>349270</v>
      </c>
      <c r="L55" s="413">
        <f t="shared" si="12"/>
        <v>13490</v>
      </c>
      <c r="M55" s="413">
        <f t="shared" si="12"/>
        <v>362760</v>
      </c>
      <c r="N55" s="395">
        <f t="shared" si="4"/>
        <v>50375072</v>
      </c>
      <c r="O55" s="395">
        <f t="shared" si="0"/>
        <v>7282794</v>
      </c>
      <c r="P55" s="396">
        <f t="shared" si="0"/>
        <v>57657866</v>
      </c>
    </row>
    <row r="56" spans="1:16" ht="13.5" thickBot="1">
      <c r="A56" s="437"/>
      <c r="B56" s="252"/>
      <c r="C56" s="252"/>
      <c r="D56" s="252"/>
      <c r="E56" s="162"/>
      <c r="F56" s="162"/>
      <c r="G56" s="438"/>
      <c r="H56" s="430"/>
      <c r="I56" s="162"/>
      <c r="J56" s="380">
        <f t="shared" si="2"/>
        <v>0</v>
      </c>
      <c r="K56" s="431"/>
      <c r="L56" s="162"/>
      <c r="M56" s="187">
        <f t="shared" si="3"/>
        <v>0</v>
      </c>
      <c r="N56" s="439">
        <f t="shared" si="4"/>
        <v>0</v>
      </c>
      <c r="O56" s="439">
        <f t="shared" si="0"/>
        <v>0</v>
      </c>
      <c r="P56" s="440">
        <f t="shared" si="0"/>
        <v>0</v>
      </c>
    </row>
    <row r="57" spans="1:16" ht="13.5" thickBot="1">
      <c r="A57" s="432" t="s">
        <v>88</v>
      </c>
      <c r="B57" s="433"/>
      <c r="C57" s="433"/>
      <c r="D57" s="433"/>
      <c r="E57" s="392">
        <f aca="true" t="shared" si="13" ref="E57:J57">E46+E55</f>
        <v>369344554</v>
      </c>
      <c r="F57" s="392">
        <f t="shared" si="13"/>
        <v>30098649</v>
      </c>
      <c r="G57" s="393">
        <f t="shared" si="13"/>
        <v>399443203</v>
      </c>
      <c r="H57" s="394">
        <f t="shared" si="13"/>
        <v>1653068</v>
      </c>
      <c r="I57" s="394">
        <f t="shared" si="13"/>
        <v>24121</v>
      </c>
      <c r="J57" s="394">
        <f t="shared" si="13"/>
        <v>1677189</v>
      </c>
      <c r="K57" s="413">
        <f>K46+K55</f>
        <v>18703270</v>
      </c>
      <c r="L57" s="413">
        <f>L46+L55</f>
        <v>13490</v>
      </c>
      <c r="M57" s="413">
        <f>M46+M55</f>
        <v>18716760</v>
      </c>
      <c r="N57" s="395">
        <f t="shared" si="4"/>
        <v>389700892</v>
      </c>
      <c r="O57" s="395">
        <f t="shared" si="0"/>
        <v>30136260</v>
      </c>
      <c r="P57" s="396">
        <f t="shared" si="0"/>
        <v>419837152</v>
      </c>
    </row>
    <row r="58" spans="1:16" ht="13.5" thickBot="1">
      <c r="A58" s="444" t="s">
        <v>85</v>
      </c>
      <c r="B58" s="445"/>
      <c r="C58" s="445"/>
      <c r="D58" s="445"/>
      <c r="E58" s="446"/>
      <c r="F58" s="446"/>
      <c r="G58" s="446"/>
      <c r="H58" s="446">
        <v>38642033</v>
      </c>
      <c r="I58" s="446">
        <v>-400000</v>
      </c>
      <c r="J58" s="446">
        <f>H58+I48</f>
        <v>38642033</v>
      </c>
      <c r="K58" s="446">
        <v>104360358</v>
      </c>
      <c r="L58" s="446"/>
      <c r="M58" s="446">
        <f>K58+L58</f>
        <v>104360358</v>
      </c>
      <c r="N58" s="447">
        <f>H58+K58</f>
        <v>143002391</v>
      </c>
      <c r="O58" s="446">
        <f>I58+L58</f>
        <v>-400000</v>
      </c>
      <c r="P58" s="448">
        <f>N58+O58</f>
        <v>142602391</v>
      </c>
    </row>
    <row r="60" ht="12.75">
      <c r="O60" s="9"/>
    </row>
  </sheetData>
  <sheetProtection selectLockedCells="1" selectUnlockedCells="1"/>
  <mergeCells count="66">
    <mergeCell ref="A57:D57"/>
    <mergeCell ref="A58:D58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8:D8"/>
    <mergeCell ref="A9:D9"/>
    <mergeCell ref="A10:D10"/>
    <mergeCell ref="A11:D11"/>
    <mergeCell ref="A12:D12"/>
    <mergeCell ref="A13:D13"/>
    <mergeCell ref="K6:K7"/>
    <mergeCell ref="L6:L7"/>
    <mergeCell ref="M6:M7"/>
    <mergeCell ref="N6:N7"/>
    <mergeCell ref="O6:O7"/>
    <mergeCell ref="P6:P7"/>
    <mergeCell ref="A3:P3"/>
    <mergeCell ref="A4:P4"/>
    <mergeCell ref="A5:P5"/>
    <mergeCell ref="A6:D7"/>
    <mergeCell ref="E6:E7"/>
    <mergeCell ref="F6:F7"/>
    <mergeCell ref="G6:G7"/>
    <mergeCell ref="H6:H7"/>
    <mergeCell ref="I6:I7"/>
    <mergeCell ref="J6:J7"/>
  </mergeCells>
  <printOptions horizontalCentered="1"/>
  <pageMargins left="0.2902777777777778" right="0.20972222222222223" top="0.22013888888888888" bottom="0.20972222222222223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zoomScale="150" zoomScaleNormal="150" zoomScalePageLayoutView="0" workbookViewId="0" topLeftCell="A2">
      <selection activeCell="A1" sqref="A1:IV1"/>
    </sheetView>
  </sheetViews>
  <sheetFormatPr defaultColWidth="9.00390625" defaultRowHeight="12.75"/>
  <cols>
    <col min="1" max="2" width="9.25390625" style="0" customWidth="1"/>
    <col min="4" max="4" width="17.125" style="0" customWidth="1"/>
    <col min="5" max="7" width="12.25390625" style="0" customWidth="1"/>
    <col min="8" max="10" width="11.25390625" style="0" customWidth="1"/>
    <col min="11" max="11" width="13.375" style="0" customWidth="1"/>
    <col min="12" max="12" width="14.00390625" style="0" customWidth="1"/>
    <col min="13" max="13" width="14.125" style="0" customWidth="1"/>
    <col min="14" max="15" width="9.625" style="0" customWidth="1"/>
    <col min="16" max="16" width="10.875" style="0" customWidth="1"/>
  </cols>
  <sheetData>
    <row r="1" ht="12.75" hidden="1">
      <c r="A1" t="s">
        <v>598</v>
      </c>
    </row>
    <row r="2" spans="1:16" ht="12.75">
      <c r="A2" s="21" t="s">
        <v>560</v>
      </c>
      <c r="B2" s="71"/>
      <c r="C2" s="71"/>
      <c r="D2" s="71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spans="1:16" ht="12.75">
      <c r="A3" s="449"/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</row>
    <row r="4" spans="1:16" ht="12.75">
      <c r="A4" s="359" t="s">
        <v>519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</row>
    <row r="5" spans="1:16" ht="12.75">
      <c r="A5" s="359" t="s">
        <v>46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</row>
    <row r="6" spans="1:16" ht="13.5" thickBot="1">
      <c r="A6" s="360" t="s">
        <v>417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</row>
    <row r="7" spans="1:16" ht="12.75" customHeight="1">
      <c r="A7" s="361" t="s">
        <v>47</v>
      </c>
      <c r="B7" s="362"/>
      <c r="C7" s="362"/>
      <c r="D7" s="362"/>
      <c r="E7" s="363" t="s">
        <v>583</v>
      </c>
      <c r="F7" s="364" t="s">
        <v>584</v>
      </c>
      <c r="G7" s="365" t="s">
        <v>585</v>
      </c>
      <c r="H7" s="366" t="s">
        <v>586</v>
      </c>
      <c r="I7" s="364" t="s">
        <v>587</v>
      </c>
      <c r="J7" s="367" t="s">
        <v>588</v>
      </c>
      <c r="K7" s="368" t="s">
        <v>589</v>
      </c>
      <c r="L7" s="363" t="s">
        <v>590</v>
      </c>
      <c r="M7" s="363" t="s">
        <v>591</v>
      </c>
      <c r="N7" s="364" t="s">
        <v>592</v>
      </c>
      <c r="O7" s="364" t="s">
        <v>593</v>
      </c>
      <c r="P7" s="369" t="s">
        <v>594</v>
      </c>
    </row>
    <row r="8" spans="1:16" ht="21" customHeight="1">
      <c r="A8" s="370"/>
      <c r="B8" s="247"/>
      <c r="C8" s="247"/>
      <c r="D8" s="247"/>
      <c r="E8" s="276"/>
      <c r="F8" s="371"/>
      <c r="G8" s="372"/>
      <c r="H8" s="373"/>
      <c r="I8" s="371"/>
      <c r="J8" s="374"/>
      <c r="K8" s="375"/>
      <c r="L8" s="276"/>
      <c r="M8" s="276"/>
      <c r="N8" s="371"/>
      <c r="O8" s="371"/>
      <c r="P8" s="376"/>
    </row>
    <row r="9" spans="1:16" ht="12.75">
      <c r="A9" s="381" t="s">
        <v>308</v>
      </c>
      <c r="B9" s="248"/>
      <c r="C9" s="248"/>
      <c r="D9" s="248"/>
      <c r="E9" s="74"/>
      <c r="F9" s="74"/>
      <c r="G9" s="74">
        <f>E9+F9</f>
        <v>0</v>
      </c>
      <c r="H9" s="74"/>
      <c r="I9" s="74"/>
      <c r="J9" s="74">
        <f>H9+I9</f>
        <v>0</v>
      </c>
      <c r="K9" s="74"/>
      <c r="L9" s="74"/>
      <c r="M9" s="74">
        <f>K9+L9</f>
        <v>0</v>
      </c>
      <c r="N9" s="74">
        <f>E9+H9+K9</f>
        <v>0</v>
      </c>
      <c r="O9" s="74">
        <f>F9+I9+L9</f>
        <v>0</v>
      </c>
      <c r="P9" s="450">
        <f>G9+J9+M9</f>
        <v>0</v>
      </c>
    </row>
    <row r="10" spans="1:16" ht="23.25" customHeight="1">
      <c r="A10" s="383" t="s">
        <v>309</v>
      </c>
      <c r="B10" s="245"/>
      <c r="C10" s="245"/>
      <c r="D10" s="245"/>
      <c r="E10" s="191"/>
      <c r="F10" s="191"/>
      <c r="G10" s="74">
        <f aca="true" t="shared" si="0" ref="G10:G40">E10+F10</f>
        <v>0</v>
      </c>
      <c r="H10" s="191"/>
      <c r="I10" s="191"/>
      <c r="J10" s="74">
        <f aca="true" t="shared" si="1" ref="J10:J40">H10+I10</f>
        <v>0</v>
      </c>
      <c r="K10" s="191"/>
      <c r="L10" s="191"/>
      <c r="M10" s="74">
        <f aca="true" t="shared" si="2" ref="M10:M40">K10+L10</f>
        <v>0</v>
      </c>
      <c r="N10" s="74">
        <f aca="true" t="shared" si="3" ref="N10:P41">E10+H10+K10</f>
        <v>0</v>
      </c>
      <c r="O10" s="74">
        <f t="shared" si="3"/>
        <v>0</v>
      </c>
      <c r="P10" s="450">
        <f t="shared" si="3"/>
        <v>0</v>
      </c>
    </row>
    <row r="11" spans="1:16" ht="23.25" customHeight="1">
      <c r="A11" s="451" t="s">
        <v>310</v>
      </c>
      <c r="B11" s="452"/>
      <c r="C11" s="452"/>
      <c r="D11" s="452"/>
      <c r="E11" s="191"/>
      <c r="F11" s="191"/>
      <c r="G11" s="74">
        <f t="shared" si="0"/>
        <v>0</v>
      </c>
      <c r="H11" s="191"/>
      <c r="I11" s="191"/>
      <c r="J11" s="74">
        <f t="shared" si="1"/>
        <v>0</v>
      </c>
      <c r="K11" s="191"/>
      <c r="L11" s="191"/>
      <c r="M11" s="74">
        <f t="shared" si="2"/>
        <v>0</v>
      </c>
      <c r="N11" s="74">
        <f t="shared" si="3"/>
        <v>0</v>
      </c>
      <c r="O11" s="74">
        <f t="shared" si="3"/>
        <v>0</v>
      </c>
      <c r="P11" s="450">
        <f t="shared" si="3"/>
        <v>0</v>
      </c>
    </row>
    <row r="12" spans="1:16" ht="23.25" customHeight="1">
      <c r="A12" s="451" t="s">
        <v>311</v>
      </c>
      <c r="B12" s="452"/>
      <c r="C12" s="452"/>
      <c r="D12" s="452"/>
      <c r="E12" s="191"/>
      <c r="F12" s="191"/>
      <c r="G12" s="74">
        <f t="shared" si="0"/>
        <v>0</v>
      </c>
      <c r="H12" s="191"/>
      <c r="I12" s="191"/>
      <c r="J12" s="74">
        <f t="shared" si="1"/>
        <v>0</v>
      </c>
      <c r="K12" s="191"/>
      <c r="L12" s="191"/>
      <c r="M12" s="74">
        <f t="shared" si="2"/>
        <v>0</v>
      </c>
      <c r="N12" s="74">
        <f t="shared" si="3"/>
        <v>0</v>
      </c>
      <c r="O12" s="74">
        <f t="shared" si="3"/>
        <v>0</v>
      </c>
      <c r="P12" s="450">
        <f t="shared" si="3"/>
        <v>0</v>
      </c>
    </row>
    <row r="13" spans="1:16" ht="23.25" customHeight="1" thickBot="1">
      <c r="A13" s="453" t="s">
        <v>312</v>
      </c>
      <c r="B13" s="454"/>
      <c r="C13" s="454"/>
      <c r="D13" s="454"/>
      <c r="E13" s="194">
        <v>26189532</v>
      </c>
      <c r="F13" s="194">
        <v>1823827</v>
      </c>
      <c r="G13" s="74">
        <f t="shared" si="0"/>
        <v>28013359</v>
      </c>
      <c r="H13" s="194"/>
      <c r="I13" s="194"/>
      <c r="J13" s="74">
        <f t="shared" si="1"/>
        <v>0</v>
      </c>
      <c r="K13" s="194"/>
      <c r="L13" s="194"/>
      <c r="M13" s="74">
        <f t="shared" si="2"/>
        <v>0</v>
      </c>
      <c r="N13" s="455">
        <f t="shared" si="3"/>
        <v>26189532</v>
      </c>
      <c r="O13" s="455">
        <f t="shared" si="3"/>
        <v>1823827</v>
      </c>
      <c r="P13" s="456">
        <f t="shared" si="3"/>
        <v>28013359</v>
      </c>
    </row>
    <row r="14" spans="1:16" ht="23.25" customHeight="1" thickBot="1">
      <c r="A14" s="390" t="s">
        <v>313</v>
      </c>
      <c r="B14" s="391"/>
      <c r="C14" s="391"/>
      <c r="D14" s="391"/>
      <c r="E14" s="457">
        <f aca="true" t="shared" si="4" ref="E14:M14">SUM(E9:E13)</f>
        <v>26189532</v>
      </c>
      <c r="F14" s="457">
        <f t="shared" si="4"/>
        <v>1823827</v>
      </c>
      <c r="G14" s="457">
        <f t="shared" si="4"/>
        <v>28013359</v>
      </c>
      <c r="H14" s="457">
        <f t="shared" si="4"/>
        <v>0</v>
      </c>
      <c r="I14" s="457">
        <f t="shared" si="4"/>
        <v>0</v>
      </c>
      <c r="J14" s="457">
        <f t="shared" si="4"/>
        <v>0</v>
      </c>
      <c r="K14" s="457">
        <f t="shared" si="4"/>
        <v>0</v>
      </c>
      <c r="L14" s="457">
        <f t="shared" si="4"/>
        <v>0</v>
      </c>
      <c r="M14" s="457">
        <f t="shared" si="4"/>
        <v>0</v>
      </c>
      <c r="N14" s="458">
        <f t="shared" si="3"/>
        <v>26189532</v>
      </c>
      <c r="O14" s="458">
        <f t="shared" si="3"/>
        <v>1823827</v>
      </c>
      <c r="P14" s="459">
        <f t="shared" si="3"/>
        <v>28013359</v>
      </c>
    </row>
    <row r="15" spans="1:16" ht="12.75" customHeight="1">
      <c r="A15" s="460"/>
      <c r="B15" s="461"/>
      <c r="C15" s="461"/>
      <c r="D15" s="461"/>
      <c r="E15" s="195"/>
      <c r="F15" s="195"/>
      <c r="G15" s="74">
        <f t="shared" si="0"/>
        <v>0</v>
      </c>
      <c r="H15" s="195"/>
      <c r="I15" s="195"/>
      <c r="J15" s="74">
        <f t="shared" si="1"/>
        <v>0</v>
      </c>
      <c r="K15" s="195"/>
      <c r="L15" s="195"/>
      <c r="M15" s="74">
        <f t="shared" si="2"/>
        <v>0</v>
      </c>
      <c r="N15" s="212">
        <f t="shared" si="3"/>
        <v>0</v>
      </c>
      <c r="O15" s="212">
        <f t="shared" si="3"/>
        <v>0</v>
      </c>
      <c r="P15" s="462">
        <f t="shared" si="3"/>
        <v>0</v>
      </c>
    </row>
    <row r="16" spans="1:16" ht="12.75" customHeight="1">
      <c r="A16" s="451" t="s">
        <v>314</v>
      </c>
      <c r="B16" s="452"/>
      <c r="C16" s="452"/>
      <c r="D16" s="452"/>
      <c r="E16" s="191"/>
      <c r="F16" s="191"/>
      <c r="G16" s="74">
        <f t="shared" si="0"/>
        <v>0</v>
      </c>
      <c r="H16" s="191"/>
      <c r="I16" s="191"/>
      <c r="J16" s="74">
        <f t="shared" si="1"/>
        <v>0</v>
      </c>
      <c r="K16" s="191"/>
      <c r="L16" s="191"/>
      <c r="M16" s="74">
        <f t="shared" si="2"/>
        <v>0</v>
      </c>
      <c r="N16" s="74">
        <f t="shared" si="3"/>
        <v>0</v>
      </c>
      <c r="O16" s="74">
        <f t="shared" si="3"/>
        <v>0</v>
      </c>
      <c r="P16" s="450">
        <f t="shared" si="3"/>
        <v>0</v>
      </c>
    </row>
    <row r="17" spans="1:16" ht="12.75" customHeight="1">
      <c r="A17" s="451" t="s">
        <v>315</v>
      </c>
      <c r="B17" s="452"/>
      <c r="C17" s="452"/>
      <c r="D17" s="452"/>
      <c r="E17" s="191"/>
      <c r="F17" s="191"/>
      <c r="G17" s="74">
        <f t="shared" si="0"/>
        <v>0</v>
      </c>
      <c r="H17" s="191"/>
      <c r="I17" s="191"/>
      <c r="J17" s="74">
        <f t="shared" si="1"/>
        <v>0</v>
      </c>
      <c r="K17" s="191"/>
      <c r="L17" s="191"/>
      <c r="M17" s="74">
        <f t="shared" si="2"/>
        <v>0</v>
      </c>
      <c r="N17" s="74">
        <f t="shared" si="3"/>
        <v>0</v>
      </c>
      <c r="O17" s="74">
        <f t="shared" si="3"/>
        <v>0</v>
      </c>
      <c r="P17" s="450">
        <f t="shared" si="3"/>
        <v>0</v>
      </c>
    </row>
    <row r="18" spans="1:16" ht="12.75">
      <c r="A18" s="381" t="s">
        <v>316</v>
      </c>
      <c r="B18" s="248"/>
      <c r="C18" s="248"/>
      <c r="D18" s="248"/>
      <c r="E18" s="191"/>
      <c r="F18" s="191"/>
      <c r="G18" s="74">
        <f t="shared" si="0"/>
        <v>0</v>
      </c>
      <c r="H18" s="191"/>
      <c r="I18" s="191"/>
      <c r="J18" s="74">
        <f t="shared" si="1"/>
        <v>0</v>
      </c>
      <c r="K18" s="191"/>
      <c r="L18" s="191"/>
      <c r="M18" s="74">
        <f t="shared" si="2"/>
        <v>0</v>
      </c>
      <c r="N18" s="74">
        <f t="shared" si="3"/>
        <v>0</v>
      </c>
      <c r="O18" s="74">
        <f t="shared" si="3"/>
        <v>0</v>
      </c>
      <c r="P18" s="450">
        <f t="shared" si="3"/>
        <v>0</v>
      </c>
    </row>
    <row r="19" spans="1:16" ht="12.75">
      <c r="A19" s="381" t="s">
        <v>317</v>
      </c>
      <c r="B19" s="248"/>
      <c r="C19" s="248"/>
      <c r="D19" s="248"/>
      <c r="E19" s="191"/>
      <c r="F19" s="191"/>
      <c r="G19" s="74">
        <f t="shared" si="0"/>
        <v>0</v>
      </c>
      <c r="H19" s="191"/>
      <c r="I19" s="191"/>
      <c r="J19" s="74">
        <f t="shared" si="1"/>
        <v>0</v>
      </c>
      <c r="K19" s="191"/>
      <c r="L19" s="191"/>
      <c r="M19" s="74">
        <f t="shared" si="2"/>
        <v>0</v>
      </c>
      <c r="N19" s="74">
        <f t="shared" si="3"/>
        <v>0</v>
      </c>
      <c r="O19" s="74">
        <f t="shared" si="3"/>
        <v>0</v>
      </c>
      <c r="P19" s="450">
        <f t="shared" si="3"/>
        <v>0</v>
      </c>
    </row>
    <row r="20" spans="1:16" ht="12.75">
      <c r="A20" s="381" t="s">
        <v>318</v>
      </c>
      <c r="B20" s="248"/>
      <c r="C20" s="248"/>
      <c r="D20" s="248"/>
      <c r="E20" s="191"/>
      <c r="F20" s="191"/>
      <c r="G20" s="74">
        <f t="shared" si="0"/>
        <v>0</v>
      </c>
      <c r="H20" s="191"/>
      <c r="I20" s="191"/>
      <c r="J20" s="74">
        <f t="shared" si="1"/>
        <v>0</v>
      </c>
      <c r="K20" s="191"/>
      <c r="L20" s="191"/>
      <c r="M20" s="74">
        <f t="shared" si="2"/>
        <v>0</v>
      </c>
      <c r="N20" s="74">
        <f t="shared" si="3"/>
        <v>0</v>
      </c>
      <c r="O20" s="74">
        <f t="shared" si="3"/>
        <v>0</v>
      </c>
      <c r="P20" s="450">
        <f t="shared" si="3"/>
        <v>0</v>
      </c>
    </row>
    <row r="21" spans="1:16" ht="13.5" thickBot="1">
      <c r="A21" s="463"/>
      <c r="B21" s="283"/>
      <c r="C21" s="283"/>
      <c r="D21" s="283"/>
      <c r="E21" s="194"/>
      <c r="F21" s="194"/>
      <c r="G21" s="74">
        <f t="shared" si="0"/>
        <v>0</v>
      </c>
      <c r="H21" s="194"/>
      <c r="I21" s="194"/>
      <c r="J21" s="74">
        <f t="shared" si="1"/>
        <v>0</v>
      </c>
      <c r="K21" s="194"/>
      <c r="L21" s="194"/>
      <c r="M21" s="74">
        <f t="shared" si="2"/>
        <v>0</v>
      </c>
      <c r="N21" s="455">
        <f t="shared" si="3"/>
        <v>0</v>
      </c>
      <c r="O21" s="455">
        <f t="shared" si="3"/>
        <v>0</v>
      </c>
      <c r="P21" s="456">
        <f t="shared" si="3"/>
        <v>0</v>
      </c>
    </row>
    <row r="22" spans="1:16" ht="12.75" customHeight="1" thickBot="1">
      <c r="A22" s="411" t="s">
        <v>319</v>
      </c>
      <c r="B22" s="412"/>
      <c r="C22" s="412"/>
      <c r="D22" s="412"/>
      <c r="E22" s="457">
        <f>SUM(E16:E20)</f>
        <v>0</v>
      </c>
      <c r="F22" s="457">
        <f aca="true" t="shared" si="5" ref="F22:M22">SUM(F16:F20)</f>
        <v>0</v>
      </c>
      <c r="G22" s="457">
        <f t="shared" si="5"/>
        <v>0</v>
      </c>
      <c r="H22" s="457">
        <f t="shared" si="5"/>
        <v>0</v>
      </c>
      <c r="I22" s="457">
        <f t="shared" si="5"/>
        <v>0</v>
      </c>
      <c r="J22" s="457">
        <f t="shared" si="5"/>
        <v>0</v>
      </c>
      <c r="K22" s="457">
        <f t="shared" si="5"/>
        <v>0</v>
      </c>
      <c r="L22" s="457">
        <f t="shared" si="5"/>
        <v>0</v>
      </c>
      <c r="M22" s="457">
        <f t="shared" si="5"/>
        <v>0</v>
      </c>
      <c r="N22" s="458">
        <f t="shared" si="3"/>
        <v>0</v>
      </c>
      <c r="O22" s="458">
        <f t="shared" si="3"/>
        <v>0</v>
      </c>
      <c r="P22" s="459">
        <f t="shared" si="3"/>
        <v>0</v>
      </c>
    </row>
    <row r="23" spans="1:16" ht="12.75" customHeight="1">
      <c r="A23" s="464"/>
      <c r="B23" s="284"/>
      <c r="C23" s="284"/>
      <c r="D23" s="284"/>
      <c r="E23" s="195"/>
      <c r="F23" s="195"/>
      <c r="G23" s="74">
        <f t="shared" si="0"/>
        <v>0</v>
      </c>
      <c r="H23" s="195"/>
      <c r="I23" s="195"/>
      <c r="J23" s="74">
        <f t="shared" si="1"/>
        <v>0</v>
      </c>
      <c r="K23" s="195"/>
      <c r="L23" s="195"/>
      <c r="M23" s="74">
        <f t="shared" si="2"/>
        <v>0</v>
      </c>
      <c r="N23" s="212">
        <f t="shared" si="3"/>
        <v>0</v>
      </c>
      <c r="O23" s="212">
        <f t="shared" si="3"/>
        <v>0</v>
      </c>
      <c r="P23" s="462">
        <f t="shared" si="3"/>
        <v>0</v>
      </c>
    </row>
    <row r="24" spans="1:16" ht="23.25" customHeight="1">
      <c r="A24" s="383" t="s">
        <v>320</v>
      </c>
      <c r="B24" s="245"/>
      <c r="C24" s="245"/>
      <c r="D24" s="245"/>
      <c r="E24" s="192"/>
      <c r="F24" s="192"/>
      <c r="G24" s="74">
        <f t="shared" si="0"/>
        <v>0</v>
      </c>
      <c r="H24" s="193"/>
      <c r="I24" s="193"/>
      <c r="J24" s="74">
        <f t="shared" si="1"/>
        <v>0</v>
      </c>
      <c r="K24" s="193"/>
      <c r="L24" s="193"/>
      <c r="M24" s="74">
        <f t="shared" si="2"/>
        <v>0</v>
      </c>
      <c r="N24" s="74">
        <f t="shared" si="3"/>
        <v>0</v>
      </c>
      <c r="O24" s="74">
        <f t="shared" si="3"/>
        <v>0</v>
      </c>
      <c r="P24" s="450">
        <f t="shared" si="3"/>
        <v>0</v>
      </c>
    </row>
    <row r="25" spans="1:16" ht="23.25" customHeight="1">
      <c r="A25" s="451" t="s">
        <v>321</v>
      </c>
      <c r="B25" s="452"/>
      <c r="C25" s="452"/>
      <c r="D25" s="452"/>
      <c r="E25" s="191"/>
      <c r="F25" s="191"/>
      <c r="G25" s="74">
        <f t="shared" si="0"/>
        <v>0</v>
      </c>
      <c r="H25" s="191"/>
      <c r="I25" s="191"/>
      <c r="J25" s="74">
        <f t="shared" si="1"/>
        <v>0</v>
      </c>
      <c r="K25" s="191"/>
      <c r="L25" s="191"/>
      <c r="M25" s="74">
        <f t="shared" si="2"/>
        <v>0</v>
      </c>
      <c r="N25" s="74">
        <f t="shared" si="3"/>
        <v>0</v>
      </c>
      <c r="O25" s="74">
        <f t="shared" si="3"/>
        <v>0</v>
      </c>
      <c r="P25" s="450">
        <f t="shared" si="3"/>
        <v>0</v>
      </c>
    </row>
    <row r="26" spans="1:16" ht="12.75">
      <c r="A26" s="381" t="s">
        <v>322</v>
      </c>
      <c r="B26" s="248"/>
      <c r="C26" s="248"/>
      <c r="D26" s="248"/>
      <c r="E26" s="191"/>
      <c r="F26" s="191"/>
      <c r="G26" s="74">
        <f t="shared" si="0"/>
        <v>0</v>
      </c>
      <c r="H26" s="191"/>
      <c r="I26" s="191"/>
      <c r="J26" s="74">
        <f t="shared" si="1"/>
        <v>0</v>
      </c>
      <c r="K26" s="191"/>
      <c r="L26" s="191"/>
      <c r="M26" s="74">
        <f t="shared" si="2"/>
        <v>0</v>
      </c>
      <c r="N26" s="74">
        <f t="shared" si="3"/>
        <v>0</v>
      </c>
      <c r="O26" s="74">
        <f t="shared" si="3"/>
        <v>0</v>
      </c>
      <c r="P26" s="450">
        <f t="shared" si="3"/>
        <v>0</v>
      </c>
    </row>
    <row r="27" spans="1:16" ht="12.75">
      <c r="A27" s="423"/>
      <c r="B27" s="254"/>
      <c r="C27" s="254"/>
      <c r="D27" s="254"/>
      <c r="E27" s="194"/>
      <c r="F27" s="194"/>
      <c r="G27" s="74">
        <f t="shared" si="0"/>
        <v>0</v>
      </c>
      <c r="H27" s="194"/>
      <c r="I27" s="194"/>
      <c r="J27" s="74">
        <f t="shared" si="1"/>
        <v>0</v>
      </c>
      <c r="K27" s="194"/>
      <c r="L27" s="194"/>
      <c r="M27" s="74">
        <f t="shared" si="2"/>
        <v>0</v>
      </c>
      <c r="N27" s="74">
        <f t="shared" si="3"/>
        <v>0</v>
      </c>
      <c r="O27" s="74">
        <f t="shared" si="3"/>
        <v>0</v>
      </c>
      <c r="P27" s="450">
        <f t="shared" si="3"/>
        <v>0</v>
      </c>
    </row>
    <row r="28" spans="1:16" ht="12.75">
      <c r="A28" s="465" t="s">
        <v>26</v>
      </c>
      <c r="B28" s="251"/>
      <c r="C28" s="251"/>
      <c r="D28" s="251"/>
      <c r="E28" s="196">
        <f>SUM(E24:E27)</f>
        <v>0</v>
      </c>
      <c r="F28" s="196"/>
      <c r="G28" s="74">
        <f t="shared" si="0"/>
        <v>0</v>
      </c>
      <c r="H28" s="196">
        <f>SUM(H24:H27)</f>
        <v>0</v>
      </c>
      <c r="I28" s="196"/>
      <c r="J28" s="74">
        <f t="shared" si="1"/>
        <v>0</v>
      </c>
      <c r="K28" s="196">
        <f>SUM(K24:K27)</f>
        <v>0</v>
      </c>
      <c r="L28" s="196"/>
      <c r="M28" s="74">
        <f t="shared" si="2"/>
        <v>0</v>
      </c>
      <c r="N28" s="74">
        <f t="shared" si="3"/>
        <v>0</v>
      </c>
      <c r="O28" s="74">
        <f t="shared" si="3"/>
        <v>0</v>
      </c>
      <c r="P28" s="450">
        <f t="shared" si="3"/>
        <v>0</v>
      </c>
    </row>
    <row r="29" spans="1:16" ht="13.5" thickBot="1">
      <c r="A29" s="437"/>
      <c r="B29" s="252"/>
      <c r="C29" s="252"/>
      <c r="D29" s="252"/>
      <c r="E29" s="197"/>
      <c r="F29" s="197"/>
      <c r="G29" s="74">
        <f t="shared" si="0"/>
        <v>0</v>
      </c>
      <c r="H29" s="197"/>
      <c r="I29" s="197"/>
      <c r="J29" s="74">
        <f t="shared" si="1"/>
        <v>0</v>
      </c>
      <c r="K29" s="197"/>
      <c r="L29" s="197"/>
      <c r="M29" s="74">
        <f t="shared" si="2"/>
        <v>0</v>
      </c>
      <c r="N29" s="455">
        <f t="shared" si="3"/>
        <v>0</v>
      </c>
      <c r="O29" s="455">
        <f t="shared" si="3"/>
        <v>0</v>
      </c>
      <c r="P29" s="456">
        <f t="shared" si="3"/>
        <v>0</v>
      </c>
    </row>
    <row r="30" spans="1:16" ht="23.25" customHeight="1" thickBot="1">
      <c r="A30" s="390" t="s">
        <v>323</v>
      </c>
      <c r="B30" s="391"/>
      <c r="C30" s="391"/>
      <c r="D30" s="391"/>
      <c r="E30" s="457">
        <f>E14+E28</f>
        <v>26189532</v>
      </c>
      <c r="F30" s="457">
        <f aca="true" t="shared" si="6" ref="F30:M30">F14+F28</f>
        <v>1823827</v>
      </c>
      <c r="G30" s="457">
        <f t="shared" si="6"/>
        <v>28013359</v>
      </c>
      <c r="H30" s="457">
        <f t="shared" si="6"/>
        <v>0</v>
      </c>
      <c r="I30" s="457">
        <f t="shared" si="6"/>
        <v>0</v>
      </c>
      <c r="J30" s="457">
        <f t="shared" si="6"/>
        <v>0</v>
      </c>
      <c r="K30" s="457">
        <f t="shared" si="6"/>
        <v>0</v>
      </c>
      <c r="L30" s="457">
        <f t="shared" si="6"/>
        <v>0</v>
      </c>
      <c r="M30" s="457">
        <f t="shared" si="6"/>
        <v>0</v>
      </c>
      <c r="N30" s="458">
        <f t="shared" si="3"/>
        <v>26189532</v>
      </c>
      <c r="O30" s="458">
        <f t="shared" si="3"/>
        <v>1823827</v>
      </c>
      <c r="P30" s="459">
        <f t="shared" si="3"/>
        <v>28013359</v>
      </c>
    </row>
    <row r="31" spans="1:16" ht="12.75">
      <c r="A31" s="443"/>
      <c r="B31" s="258"/>
      <c r="C31" s="258"/>
      <c r="D31" s="258"/>
      <c r="E31" s="195"/>
      <c r="F31" s="195"/>
      <c r="G31" s="74">
        <f t="shared" si="0"/>
        <v>0</v>
      </c>
      <c r="H31" s="195"/>
      <c r="I31" s="195"/>
      <c r="J31" s="74">
        <f t="shared" si="1"/>
        <v>0</v>
      </c>
      <c r="K31" s="195"/>
      <c r="L31" s="195"/>
      <c r="M31" s="74">
        <f t="shared" si="2"/>
        <v>0</v>
      </c>
      <c r="N31" s="212">
        <f t="shared" si="3"/>
        <v>0</v>
      </c>
      <c r="O31" s="212">
        <f t="shared" si="3"/>
        <v>0</v>
      </c>
      <c r="P31" s="462">
        <f t="shared" si="3"/>
        <v>0</v>
      </c>
    </row>
    <row r="32" spans="1:16" ht="12.75" customHeight="1">
      <c r="A32" s="381" t="s">
        <v>80</v>
      </c>
      <c r="B32" s="248"/>
      <c r="C32" s="248"/>
      <c r="D32" s="248"/>
      <c r="E32" s="191"/>
      <c r="F32" s="191"/>
      <c r="G32" s="74">
        <f t="shared" si="0"/>
        <v>0</v>
      </c>
      <c r="H32" s="191"/>
      <c r="I32" s="191"/>
      <c r="J32" s="74">
        <f t="shared" si="1"/>
        <v>0</v>
      </c>
      <c r="K32" s="191"/>
      <c r="L32" s="191"/>
      <c r="M32" s="74">
        <f t="shared" si="2"/>
        <v>0</v>
      </c>
      <c r="N32" s="74">
        <f t="shared" si="3"/>
        <v>0</v>
      </c>
      <c r="O32" s="74">
        <f t="shared" si="3"/>
        <v>0</v>
      </c>
      <c r="P32" s="450">
        <f t="shared" si="3"/>
        <v>0</v>
      </c>
    </row>
    <row r="33" spans="1:16" ht="12.75" customHeight="1">
      <c r="A33" s="381" t="s">
        <v>81</v>
      </c>
      <c r="B33" s="248"/>
      <c r="C33" s="248"/>
      <c r="D33" s="248"/>
      <c r="E33" s="191"/>
      <c r="F33" s="191"/>
      <c r="G33" s="74">
        <f t="shared" si="0"/>
        <v>0</v>
      </c>
      <c r="H33" s="191"/>
      <c r="I33" s="191"/>
      <c r="J33" s="74">
        <f t="shared" si="1"/>
        <v>0</v>
      </c>
      <c r="K33" s="191"/>
      <c r="L33" s="191"/>
      <c r="M33" s="74">
        <f t="shared" si="2"/>
        <v>0</v>
      </c>
      <c r="N33" s="74">
        <f t="shared" si="3"/>
        <v>0</v>
      </c>
      <c r="O33" s="74">
        <f t="shared" si="3"/>
        <v>0</v>
      </c>
      <c r="P33" s="450">
        <f t="shared" si="3"/>
        <v>0</v>
      </c>
    </row>
    <row r="34" spans="1:16" ht="12.75" customHeight="1">
      <c r="A34" s="381" t="s">
        <v>82</v>
      </c>
      <c r="B34" s="248"/>
      <c r="C34" s="248"/>
      <c r="D34" s="248"/>
      <c r="E34" s="191">
        <f>695367514+488492-1448352+576548</f>
        <v>694984202</v>
      </c>
      <c r="F34" s="191">
        <v>-12178922</v>
      </c>
      <c r="G34" s="76">
        <f t="shared" si="0"/>
        <v>682805280</v>
      </c>
      <c r="H34" s="191"/>
      <c r="I34" s="191"/>
      <c r="J34" s="74">
        <f t="shared" si="1"/>
        <v>0</v>
      </c>
      <c r="K34" s="191"/>
      <c r="L34" s="191"/>
      <c r="M34" s="74">
        <f t="shared" si="2"/>
        <v>0</v>
      </c>
      <c r="N34" s="74">
        <f t="shared" si="3"/>
        <v>694984202</v>
      </c>
      <c r="O34" s="74">
        <f t="shared" si="3"/>
        <v>-12178922</v>
      </c>
      <c r="P34" s="450">
        <f t="shared" si="3"/>
        <v>682805280</v>
      </c>
    </row>
    <row r="35" spans="1:16" ht="12.75" customHeight="1">
      <c r="A35" s="381" t="s">
        <v>83</v>
      </c>
      <c r="B35" s="248"/>
      <c r="C35" s="248"/>
      <c r="D35" s="248"/>
      <c r="E35" s="191"/>
      <c r="F35" s="191"/>
      <c r="G35" s="74">
        <f t="shared" si="0"/>
        <v>0</v>
      </c>
      <c r="H35" s="191"/>
      <c r="I35" s="191"/>
      <c r="J35" s="74">
        <f t="shared" si="1"/>
        <v>0</v>
      </c>
      <c r="K35" s="191"/>
      <c r="L35" s="191"/>
      <c r="M35" s="74">
        <f t="shared" si="2"/>
        <v>0</v>
      </c>
      <c r="N35" s="74">
        <f t="shared" si="3"/>
        <v>0</v>
      </c>
      <c r="O35" s="74">
        <f t="shared" si="3"/>
        <v>0</v>
      </c>
      <c r="P35" s="450">
        <f t="shared" si="3"/>
        <v>0</v>
      </c>
    </row>
    <row r="36" spans="1:16" ht="12.75" customHeight="1">
      <c r="A36" s="381" t="s">
        <v>84</v>
      </c>
      <c r="B36" s="248"/>
      <c r="C36" s="248"/>
      <c r="D36" s="248"/>
      <c r="E36" s="191"/>
      <c r="F36" s="191"/>
      <c r="G36" s="74">
        <f t="shared" si="0"/>
        <v>0</v>
      </c>
      <c r="H36" s="191"/>
      <c r="I36" s="191"/>
      <c r="J36" s="74">
        <f t="shared" si="1"/>
        <v>0</v>
      </c>
      <c r="K36" s="191"/>
      <c r="L36" s="191"/>
      <c r="M36" s="74">
        <f t="shared" si="2"/>
        <v>0</v>
      </c>
      <c r="N36" s="74">
        <f t="shared" si="3"/>
        <v>0</v>
      </c>
      <c r="O36" s="74">
        <f t="shared" si="3"/>
        <v>0</v>
      </c>
      <c r="P36" s="450">
        <f t="shared" si="3"/>
        <v>0</v>
      </c>
    </row>
    <row r="37" spans="1:16" ht="12.75">
      <c r="A37" s="381" t="s">
        <v>85</v>
      </c>
      <c r="B37" s="248"/>
      <c r="C37" s="248"/>
      <c r="D37" s="248"/>
      <c r="E37" s="191"/>
      <c r="F37" s="191"/>
      <c r="G37" s="74">
        <f t="shared" si="0"/>
        <v>0</v>
      </c>
      <c r="H37" s="191"/>
      <c r="I37" s="191"/>
      <c r="J37" s="74">
        <f t="shared" si="1"/>
        <v>0</v>
      </c>
      <c r="K37" s="191"/>
      <c r="L37" s="191"/>
      <c r="M37" s="74">
        <f t="shared" si="2"/>
        <v>0</v>
      </c>
      <c r="N37" s="74">
        <f t="shared" si="3"/>
        <v>0</v>
      </c>
      <c r="O37" s="74">
        <f t="shared" si="3"/>
        <v>0</v>
      </c>
      <c r="P37" s="450">
        <f t="shared" si="3"/>
        <v>0</v>
      </c>
    </row>
    <row r="38" spans="1:16" ht="13.5" thickBot="1">
      <c r="A38" s="423" t="s">
        <v>86</v>
      </c>
      <c r="B38" s="254"/>
      <c r="C38" s="254"/>
      <c r="D38" s="254"/>
      <c r="E38" s="194"/>
      <c r="F38" s="194"/>
      <c r="G38" s="74">
        <f t="shared" si="0"/>
        <v>0</v>
      </c>
      <c r="H38" s="194"/>
      <c r="I38" s="194"/>
      <c r="J38" s="74">
        <f t="shared" si="1"/>
        <v>0</v>
      </c>
      <c r="K38" s="194"/>
      <c r="L38" s="194"/>
      <c r="M38" s="74">
        <f t="shared" si="2"/>
        <v>0</v>
      </c>
      <c r="N38" s="455">
        <f t="shared" si="3"/>
        <v>0</v>
      </c>
      <c r="O38" s="455">
        <f t="shared" si="3"/>
        <v>0</v>
      </c>
      <c r="P38" s="456">
        <f t="shared" si="3"/>
        <v>0</v>
      </c>
    </row>
    <row r="39" spans="1:16" ht="13.5" thickBot="1">
      <c r="A39" s="432" t="s">
        <v>87</v>
      </c>
      <c r="B39" s="433"/>
      <c r="C39" s="433"/>
      <c r="D39" s="433"/>
      <c r="E39" s="457">
        <f>SUM(E32:E38)</f>
        <v>694984202</v>
      </c>
      <c r="F39" s="457">
        <f aca="true" t="shared" si="7" ref="F39:M39">SUM(F32:F38)</f>
        <v>-12178922</v>
      </c>
      <c r="G39" s="457">
        <f t="shared" si="7"/>
        <v>682805280</v>
      </c>
      <c r="H39" s="457">
        <f t="shared" si="7"/>
        <v>0</v>
      </c>
      <c r="I39" s="457">
        <f t="shared" si="7"/>
        <v>0</v>
      </c>
      <c r="J39" s="457">
        <f t="shared" si="7"/>
        <v>0</v>
      </c>
      <c r="K39" s="457">
        <f t="shared" si="7"/>
        <v>0</v>
      </c>
      <c r="L39" s="457">
        <f t="shared" si="7"/>
        <v>0</v>
      </c>
      <c r="M39" s="457">
        <f t="shared" si="7"/>
        <v>0</v>
      </c>
      <c r="N39" s="458">
        <f t="shared" si="3"/>
        <v>694984202</v>
      </c>
      <c r="O39" s="458">
        <f t="shared" si="3"/>
        <v>-12178922</v>
      </c>
      <c r="P39" s="459">
        <f t="shared" si="3"/>
        <v>682805280</v>
      </c>
    </row>
    <row r="40" spans="1:16" ht="13.5" thickBot="1">
      <c r="A40" s="466"/>
      <c r="B40" s="282"/>
      <c r="C40" s="282"/>
      <c r="D40" s="282"/>
      <c r="E40" s="197"/>
      <c r="F40" s="197"/>
      <c r="G40" s="74">
        <f t="shared" si="0"/>
        <v>0</v>
      </c>
      <c r="H40" s="197"/>
      <c r="I40" s="197"/>
      <c r="J40" s="74">
        <f t="shared" si="1"/>
        <v>0</v>
      </c>
      <c r="K40" s="197"/>
      <c r="L40" s="197"/>
      <c r="M40" s="74">
        <f t="shared" si="2"/>
        <v>0</v>
      </c>
      <c r="N40" s="216">
        <f t="shared" si="3"/>
        <v>0</v>
      </c>
      <c r="O40" s="216">
        <f t="shared" si="3"/>
        <v>0</v>
      </c>
      <c r="P40" s="467">
        <f t="shared" si="3"/>
        <v>0</v>
      </c>
    </row>
    <row r="41" spans="1:16" ht="13.5" thickBot="1">
      <c r="A41" s="432" t="s">
        <v>324</v>
      </c>
      <c r="B41" s="433"/>
      <c r="C41" s="433"/>
      <c r="D41" s="433"/>
      <c r="E41" s="457">
        <f>E30+E39</f>
        <v>721173734</v>
      </c>
      <c r="F41" s="457">
        <f aca="true" t="shared" si="8" ref="F41:M41">F30+F39</f>
        <v>-10355095</v>
      </c>
      <c r="G41" s="457">
        <f t="shared" si="8"/>
        <v>710818639</v>
      </c>
      <c r="H41" s="457">
        <f t="shared" si="8"/>
        <v>0</v>
      </c>
      <c r="I41" s="457">
        <f t="shared" si="8"/>
        <v>0</v>
      </c>
      <c r="J41" s="457">
        <f t="shared" si="8"/>
        <v>0</v>
      </c>
      <c r="K41" s="457">
        <f t="shared" si="8"/>
        <v>0</v>
      </c>
      <c r="L41" s="457">
        <f t="shared" si="8"/>
        <v>0</v>
      </c>
      <c r="M41" s="457">
        <f t="shared" si="8"/>
        <v>0</v>
      </c>
      <c r="N41" s="458">
        <f t="shared" si="3"/>
        <v>721173734</v>
      </c>
      <c r="O41" s="458">
        <f t="shared" si="3"/>
        <v>-10355095</v>
      </c>
      <c r="P41" s="459">
        <f t="shared" si="3"/>
        <v>710818639</v>
      </c>
    </row>
    <row r="42" spans="1:16" ht="13.5" thickBot="1">
      <c r="A42" s="444" t="s">
        <v>85</v>
      </c>
      <c r="B42" s="445"/>
      <c r="C42" s="445"/>
      <c r="D42" s="445"/>
      <c r="E42" s="468"/>
      <c r="F42" s="468"/>
      <c r="G42" s="468"/>
      <c r="H42" s="468"/>
      <c r="I42" s="468"/>
      <c r="J42" s="468"/>
      <c r="K42" s="468"/>
      <c r="L42" s="468"/>
      <c r="M42" s="468"/>
      <c r="N42" s="468"/>
      <c r="O42" s="468"/>
      <c r="P42" s="469">
        <f>SUM(E42:K42)</f>
        <v>0</v>
      </c>
    </row>
    <row r="43" spans="1:16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</sheetData>
  <sheetProtection selectLockedCells="1" selectUnlockedCells="1"/>
  <mergeCells count="51">
    <mergeCell ref="A38:D38"/>
    <mergeCell ref="A39:D39"/>
    <mergeCell ref="A40:D40"/>
    <mergeCell ref="A41:D41"/>
    <mergeCell ref="A42:D42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D15"/>
    <mergeCell ref="A16:D16"/>
    <mergeCell ref="A17:D17"/>
    <mergeCell ref="A18:D18"/>
    <mergeCell ref="A19:D19"/>
    <mergeCell ref="P7:P8"/>
    <mergeCell ref="A9:D9"/>
    <mergeCell ref="A10:D10"/>
    <mergeCell ref="A11:D11"/>
    <mergeCell ref="A12:D12"/>
    <mergeCell ref="A13:D13"/>
    <mergeCell ref="J7:J8"/>
    <mergeCell ref="K7:K8"/>
    <mergeCell ref="L7:L8"/>
    <mergeCell ref="M7:M8"/>
    <mergeCell ref="N7:N8"/>
    <mergeCell ref="O7:O8"/>
    <mergeCell ref="A3:P3"/>
    <mergeCell ref="A4:P4"/>
    <mergeCell ref="A5:P5"/>
    <mergeCell ref="A6:P6"/>
    <mergeCell ref="A7:D8"/>
    <mergeCell ref="E7:E8"/>
    <mergeCell ref="F7:F8"/>
    <mergeCell ref="G7:G8"/>
    <mergeCell ref="H7:H8"/>
    <mergeCell ref="I7:I8"/>
  </mergeCells>
  <printOptions/>
  <pageMargins left="0.5402777777777777" right="0.3402777777777778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64"/>
  <sheetViews>
    <sheetView zoomScale="150" zoomScaleNormal="150" zoomScalePageLayoutView="0" workbookViewId="0" topLeftCell="A1">
      <pane ySplit="6" topLeftCell="A61" activePane="bottomLeft" state="frozen"/>
      <selection pane="topLeft" activeCell="A1" sqref="A1"/>
      <selection pane="bottomLeft" activeCell="A1" sqref="A1:IV1"/>
    </sheetView>
  </sheetViews>
  <sheetFormatPr defaultColWidth="9.00390625" defaultRowHeight="12.75"/>
  <cols>
    <col min="1" max="1" width="25.25390625" style="470" customWidth="1"/>
    <col min="2" max="4" width="14.75390625" style="0" bestFit="1" customWidth="1"/>
    <col min="5" max="7" width="12.875" style="0" bestFit="1" customWidth="1"/>
    <col min="8" max="10" width="11.75390625" style="0" bestFit="1" customWidth="1"/>
    <col min="11" max="13" width="15.625" style="0" bestFit="1" customWidth="1"/>
    <col min="14" max="15" width="11.25390625" style="0" bestFit="1" customWidth="1"/>
    <col min="16" max="16" width="13.625" style="7" customWidth="1"/>
    <col min="17" max="19" width="14.75390625" style="0" bestFit="1" customWidth="1"/>
    <col min="20" max="24" width="14.25390625" style="0" bestFit="1" customWidth="1"/>
    <col min="25" max="26" width="12.375" style="0" customWidth="1"/>
    <col min="27" max="27" width="14.75390625" style="0" bestFit="1" customWidth="1"/>
    <col min="28" max="28" width="12.375" style="0" customWidth="1"/>
    <col min="29" max="32" width="13.75390625" style="7" customWidth="1"/>
    <col min="33" max="35" width="11.125" style="0" bestFit="1" customWidth="1"/>
    <col min="36" max="36" width="11.875" style="7" customWidth="1"/>
  </cols>
  <sheetData>
    <row r="1" spans="1:36" ht="12.75" customHeight="1" hidden="1">
      <c r="A1" s="470" t="s">
        <v>633</v>
      </c>
      <c r="L1" s="551"/>
      <c r="M1" s="21"/>
      <c r="N1" s="21"/>
      <c r="O1" s="21"/>
      <c r="P1" s="105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105"/>
      <c r="AD1" s="105"/>
      <c r="AE1" s="105"/>
      <c r="AF1" s="105"/>
      <c r="AG1" s="21"/>
      <c r="AH1" s="21"/>
      <c r="AI1" s="550"/>
      <c r="AJ1" s="550"/>
    </row>
    <row r="2" spans="1:36" ht="12.75">
      <c r="A2" s="549" t="s">
        <v>561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21"/>
      <c r="M2" s="21"/>
      <c r="N2" s="21"/>
      <c r="O2" s="21"/>
      <c r="P2" s="105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105"/>
      <c r="AD2" s="105"/>
      <c r="AE2" s="105"/>
      <c r="AF2" s="105"/>
      <c r="AG2" s="21"/>
      <c r="AH2" s="21"/>
      <c r="AI2" s="21"/>
      <c r="AJ2" s="105"/>
    </row>
    <row r="3" spans="1:36" ht="12.75">
      <c r="A3" s="473"/>
      <c r="B3" s="21"/>
      <c r="C3" s="21"/>
      <c r="D3" s="21"/>
      <c r="E3" s="21"/>
      <c r="F3" s="21"/>
      <c r="G3" s="21"/>
      <c r="H3" s="548" t="s">
        <v>520</v>
      </c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/>
      <c r="AD3" s="548"/>
      <c r="AE3" s="548"/>
      <c r="AF3" s="548"/>
      <c r="AG3" s="548"/>
      <c r="AH3" s="548"/>
      <c r="AI3" s="548"/>
      <c r="AJ3" s="548"/>
    </row>
    <row r="4" spans="1:36" ht="12.75">
      <c r="A4" s="473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105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105"/>
      <c r="AD4" s="105"/>
      <c r="AE4" s="105"/>
      <c r="AF4" s="105"/>
      <c r="AG4" s="21"/>
      <c r="AH4" s="21"/>
      <c r="AI4" s="21"/>
      <c r="AJ4" s="105"/>
    </row>
    <row r="5" spans="1:36" ht="13.5" thickBot="1">
      <c r="A5" s="473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105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105"/>
      <c r="AD5" s="105"/>
      <c r="AE5" s="105"/>
      <c r="AF5" s="105"/>
      <c r="AG5" s="21"/>
      <c r="AH5" s="21"/>
      <c r="AI5" s="21"/>
      <c r="AJ5" s="201" t="s">
        <v>394</v>
      </c>
    </row>
    <row r="6" spans="1:36" s="8" customFormat="1" ht="49.5" customHeight="1" thickBot="1">
      <c r="A6" s="547" t="s">
        <v>89</v>
      </c>
      <c r="B6" s="542" t="s">
        <v>632</v>
      </c>
      <c r="C6" s="542" t="s">
        <v>631</v>
      </c>
      <c r="D6" s="544" t="s">
        <v>630</v>
      </c>
      <c r="E6" s="543" t="s">
        <v>629</v>
      </c>
      <c r="F6" s="542" t="s">
        <v>628</v>
      </c>
      <c r="G6" s="546" t="s">
        <v>627</v>
      </c>
      <c r="H6" s="545" t="s">
        <v>626</v>
      </c>
      <c r="I6" s="542" t="s">
        <v>625</v>
      </c>
      <c r="J6" s="544" t="s">
        <v>624</v>
      </c>
      <c r="K6" s="543" t="s">
        <v>623</v>
      </c>
      <c r="L6" s="542" t="s">
        <v>622</v>
      </c>
      <c r="M6" s="542" t="s">
        <v>621</v>
      </c>
      <c r="N6" s="542" t="s">
        <v>620</v>
      </c>
      <c r="O6" s="542" t="s">
        <v>619</v>
      </c>
      <c r="P6" s="542" t="s">
        <v>618</v>
      </c>
      <c r="Q6" s="542" t="s">
        <v>617</v>
      </c>
      <c r="R6" s="542" t="s">
        <v>616</v>
      </c>
      <c r="S6" s="542" t="s">
        <v>615</v>
      </c>
      <c r="T6" s="542" t="s">
        <v>614</v>
      </c>
      <c r="U6" s="542" t="s">
        <v>613</v>
      </c>
      <c r="V6" s="542" t="s">
        <v>612</v>
      </c>
      <c r="W6" s="542" t="s">
        <v>611</v>
      </c>
      <c r="X6" s="542" t="s">
        <v>610</v>
      </c>
      <c r="Y6" s="542" t="s">
        <v>609</v>
      </c>
      <c r="Z6" s="546" t="s">
        <v>372</v>
      </c>
      <c r="AA6" s="545" t="s">
        <v>608</v>
      </c>
      <c r="AB6" s="542" t="s">
        <v>607</v>
      </c>
      <c r="AC6" s="544" t="s">
        <v>606</v>
      </c>
      <c r="AD6" s="543" t="s">
        <v>605</v>
      </c>
      <c r="AE6" s="542" t="s">
        <v>604</v>
      </c>
      <c r="AF6" s="542" t="s">
        <v>603</v>
      </c>
      <c r="AG6" s="542" t="s">
        <v>602</v>
      </c>
      <c r="AH6" s="542" t="s">
        <v>601</v>
      </c>
      <c r="AI6" s="542" t="s">
        <v>600</v>
      </c>
      <c r="AJ6" s="541" t="s">
        <v>93</v>
      </c>
    </row>
    <row r="7" spans="1:52" s="38" customFormat="1" ht="42" customHeight="1">
      <c r="A7" s="540" t="s">
        <v>303</v>
      </c>
      <c r="B7" s="535">
        <f>1206950</f>
        <v>1206950</v>
      </c>
      <c r="C7" s="535">
        <v>-1206950</v>
      </c>
      <c r="D7" s="537">
        <f>B7+C7</f>
        <v>0</v>
      </c>
      <c r="E7" s="536"/>
      <c r="F7" s="535"/>
      <c r="G7" s="539">
        <f>E7+F7</f>
        <v>0</v>
      </c>
      <c r="H7" s="538"/>
      <c r="I7" s="535"/>
      <c r="J7" s="537">
        <f>H7+I7</f>
        <v>0</v>
      </c>
      <c r="K7" s="536"/>
      <c r="L7" s="535"/>
      <c r="M7" s="535">
        <f>K7+L7</f>
        <v>0</v>
      </c>
      <c r="N7" s="535">
        <f>B7+E7+H7+K7</f>
        <v>1206950</v>
      </c>
      <c r="O7" s="535">
        <f>C7+F7+I7+L7</f>
        <v>-1206950</v>
      </c>
      <c r="P7" s="535">
        <f>D7+G7+J7+M7</f>
        <v>0</v>
      </c>
      <c r="Q7" s="535"/>
      <c r="R7" s="535"/>
      <c r="S7" s="535">
        <f>Q7+R7</f>
        <v>0</v>
      </c>
      <c r="T7" s="535"/>
      <c r="U7" s="535"/>
      <c r="V7" s="535">
        <f>T7+U7</f>
        <v>0</v>
      </c>
      <c r="W7" s="535"/>
      <c r="X7" s="535"/>
      <c r="Y7" s="535">
        <f>W7+X7</f>
        <v>0</v>
      </c>
      <c r="Z7" s="539"/>
      <c r="AA7" s="538">
        <f>Q7+T7+W7</f>
        <v>0</v>
      </c>
      <c r="AB7" s="535">
        <f>R7+U7+X7</f>
        <v>0</v>
      </c>
      <c r="AC7" s="537">
        <f>S7+V7+Y7</f>
        <v>0</v>
      </c>
      <c r="AD7" s="536">
        <f>N7+AA7</f>
        <v>1206950</v>
      </c>
      <c r="AE7" s="535">
        <f>O7+AB7</f>
        <v>-1206950</v>
      </c>
      <c r="AF7" s="535">
        <f>P7+AC7</f>
        <v>0</v>
      </c>
      <c r="AG7" s="535"/>
      <c r="AH7" s="535">
        <f>AF7</f>
        <v>0</v>
      </c>
      <c r="AI7" s="535"/>
      <c r="AJ7" s="534">
        <f>SUM(AG7:AI7)</f>
        <v>0</v>
      </c>
      <c r="AK7" s="533"/>
      <c r="AL7" s="533"/>
      <c r="AM7" s="533"/>
      <c r="AN7" s="533"/>
      <c r="AO7" s="533"/>
      <c r="AP7" s="533"/>
      <c r="AQ7" s="533"/>
      <c r="AR7" s="533"/>
      <c r="AS7" s="533"/>
      <c r="AT7" s="533"/>
      <c r="AU7" s="533"/>
      <c r="AV7" s="533"/>
      <c r="AW7" s="533"/>
      <c r="AX7" s="533"/>
      <c r="AY7" s="533"/>
      <c r="AZ7" s="533"/>
    </row>
    <row r="8" spans="1:37" ht="58.5" customHeight="1">
      <c r="A8" s="530" t="s">
        <v>350</v>
      </c>
      <c r="B8" s="203"/>
      <c r="C8" s="203"/>
      <c r="D8" s="484">
        <f>B8+C8</f>
        <v>0</v>
      </c>
      <c r="E8" s="518"/>
      <c r="F8" s="203"/>
      <c r="G8" s="485">
        <f>E8+F8</f>
        <v>0</v>
      </c>
      <c r="H8" s="519"/>
      <c r="I8" s="203"/>
      <c r="J8" s="484">
        <f>H8+I8</f>
        <v>0</v>
      </c>
      <c r="K8" s="518"/>
      <c r="L8" s="203"/>
      <c r="M8" s="203">
        <f>K8+L8</f>
        <v>0</v>
      </c>
      <c r="N8" s="202">
        <f>B8+E8+H8+K8</f>
        <v>0</v>
      </c>
      <c r="O8" s="202">
        <f>C8+F8+I8+L8</f>
        <v>0</v>
      </c>
      <c r="P8" s="202">
        <f>D8+G8+J8+M8</f>
        <v>0</v>
      </c>
      <c r="Q8" s="203"/>
      <c r="R8" s="203"/>
      <c r="S8" s="203">
        <f>Q8+R8</f>
        <v>0</v>
      </c>
      <c r="T8" s="203"/>
      <c r="U8" s="203"/>
      <c r="V8" s="203">
        <f>T8+U8</f>
        <v>0</v>
      </c>
      <c r="W8" s="203"/>
      <c r="X8" s="203"/>
      <c r="Y8" s="203">
        <f>W8+X8</f>
        <v>0</v>
      </c>
      <c r="Z8" s="485"/>
      <c r="AA8" s="511">
        <f>Q8+T8+W8</f>
        <v>0</v>
      </c>
      <c r="AB8" s="202">
        <f>R8+U8+X8</f>
        <v>0</v>
      </c>
      <c r="AC8" s="510">
        <f>S8+V8+Y8</f>
        <v>0</v>
      </c>
      <c r="AD8" s="509">
        <f>N8+AA8</f>
        <v>0</v>
      </c>
      <c r="AE8" s="202">
        <f>O8+AB8</f>
        <v>0</v>
      </c>
      <c r="AF8" s="202">
        <f>P8+AC8</f>
        <v>0</v>
      </c>
      <c r="AG8" s="203"/>
      <c r="AH8" s="203"/>
      <c r="AI8" s="203"/>
      <c r="AJ8" s="508">
        <f>SUM(AG8:AI8)</f>
        <v>0</v>
      </c>
      <c r="AK8" s="9"/>
    </row>
    <row r="9" spans="1:37" ht="40.5" customHeight="1">
      <c r="A9" s="530" t="s">
        <v>351</v>
      </c>
      <c r="B9" s="203"/>
      <c r="C9" s="203"/>
      <c r="D9" s="484">
        <f>B9+C9</f>
        <v>0</v>
      </c>
      <c r="E9" s="518"/>
      <c r="F9" s="203"/>
      <c r="G9" s="485">
        <f>E9+F9</f>
        <v>0</v>
      </c>
      <c r="H9" s="519"/>
      <c r="I9" s="203"/>
      <c r="J9" s="484">
        <f>H9+I9</f>
        <v>0</v>
      </c>
      <c r="K9" s="518"/>
      <c r="L9" s="203"/>
      <c r="M9" s="203">
        <f>K9+L9</f>
        <v>0</v>
      </c>
      <c r="N9" s="202">
        <f>B9+E9+H9+K9</f>
        <v>0</v>
      </c>
      <c r="O9" s="202">
        <f>C9+F9+I9+L9</f>
        <v>0</v>
      </c>
      <c r="P9" s="202">
        <f>D9+G9+J9+M9</f>
        <v>0</v>
      </c>
      <c r="Q9" s="203"/>
      <c r="R9" s="203"/>
      <c r="S9" s="203">
        <f>Q9+R9</f>
        <v>0</v>
      </c>
      <c r="T9" s="203"/>
      <c r="U9" s="203"/>
      <c r="V9" s="203">
        <f>T9+U9</f>
        <v>0</v>
      </c>
      <c r="W9" s="203"/>
      <c r="X9" s="203"/>
      <c r="Y9" s="203">
        <f>W9+X9</f>
        <v>0</v>
      </c>
      <c r="Z9" s="485"/>
      <c r="AA9" s="511">
        <f>Q9+T9+W9</f>
        <v>0</v>
      </c>
      <c r="AB9" s="202">
        <f>R9+U9+X9</f>
        <v>0</v>
      </c>
      <c r="AC9" s="510">
        <f>S9+V9+Y9</f>
        <v>0</v>
      </c>
      <c r="AD9" s="509">
        <f>N9+AA9</f>
        <v>0</v>
      </c>
      <c r="AE9" s="202">
        <f>O9+AB9</f>
        <v>0</v>
      </c>
      <c r="AF9" s="202">
        <f>P9+AC9</f>
        <v>0</v>
      </c>
      <c r="AG9" s="203"/>
      <c r="AH9" s="203"/>
      <c r="AI9" s="203"/>
      <c r="AJ9" s="508">
        <f>SUM(AG9:AI9)</f>
        <v>0</v>
      </c>
      <c r="AK9" s="9"/>
    </row>
    <row r="10" spans="1:37" ht="40.5" customHeight="1">
      <c r="A10" s="530" t="s">
        <v>352</v>
      </c>
      <c r="B10" s="203"/>
      <c r="C10" s="203"/>
      <c r="D10" s="484">
        <f>B10+C10</f>
        <v>0</v>
      </c>
      <c r="E10" s="518"/>
      <c r="F10" s="203"/>
      <c r="G10" s="485">
        <f>E10+F10</f>
        <v>0</v>
      </c>
      <c r="H10" s="519"/>
      <c r="I10" s="203"/>
      <c r="J10" s="484">
        <f>H10+I10</f>
        <v>0</v>
      </c>
      <c r="K10" s="518"/>
      <c r="L10" s="203"/>
      <c r="M10" s="203">
        <f>K10+L10</f>
        <v>0</v>
      </c>
      <c r="N10" s="202">
        <f>B10+E10+H10+K10</f>
        <v>0</v>
      </c>
      <c r="O10" s="202">
        <f>C10+F10+I10+L10</f>
        <v>0</v>
      </c>
      <c r="P10" s="202">
        <f>D10+G10+J10+M10</f>
        <v>0</v>
      </c>
      <c r="Q10" s="203"/>
      <c r="R10" s="203"/>
      <c r="S10" s="203">
        <f>Q10+R10</f>
        <v>0</v>
      </c>
      <c r="T10" s="203"/>
      <c r="U10" s="203"/>
      <c r="V10" s="203">
        <f>T10+U10</f>
        <v>0</v>
      </c>
      <c r="W10" s="203"/>
      <c r="X10" s="203"/>
      <c r="Y10" s="203">
        <f>W10+X10</f>
        <v>0</v>
      </c>
      <c r="Z10" s="485"/>
      <c r="AA10" s="511">
        <f>Q10+T10+W10</f>
        <v>0</v>
      </c>
      <c r="AB10" s="202">
        <f>R10+U10+X10</f>
        <v>0</v>
      </c>
      <c r="AC10" s="510">
        <f>S10+V10+Y10</f>
        <v>0</v>
      </c>
      <c r="AD10" s="509">
        <f>N10+AA10</f>
        <v>0</v>
      </c>
      <c r="AE10" s="202">
        <f>O10+AB10</f>
        <v>0</v>
      </c>
      <c r="AF10" s="202">
        <f>P10+AC10</f>
        <v>0</v>
      </c>
      <c r="AG10" s="203"/>
      <c r="AH10" s="203"/>
      <c r="AI10" s="203"/>
      <c r="AJ10" s="508">
        <f>SUM(AG10:AI10)</f>
        <v>0</v>
      </c>
      <c r="AK10" s="9"/>
    </row>
    <row r="11" spans="1:37" ht="40.5" customHeight="1">
      <c r="A11" s="530" t="s">
        <v>353</v>
      </c>
      <c r="B11" s="203"/>
      <c r="C11" s="203"/>
      <c r="D11" s="484">
        <f>B11+C11</f>
        <v>0</v>
      </c>
      <c r="E11" s="518"/>
      <c r="F11" s="203"/>
      <c r="G11" s="485">
        <f>E11+F11</f>
        <v>0</v>
      </c>
      <c r="H11" s="519">
        <v>30000</v>
      </c>
      <c r="I11" s="203"/>
      <c r="J11" s="484">
        <f>H11+I11</f>
        <v>30000</v>
      </c>
      <c r="K11" s="518"/>
      <c r="L11" s="203"/>
      <c r="M11" s="203">
        <f>K11+L11</f>
        <v>0</v>
      </c>
      <c r="N11" s="202">
        <f>B11+E11+H11+K11</f>
        <v>30000</v>
      </c>
      <c r="O11" s="202">
        <f>C11+F11+I11+L11</f>
        <v>0</v>
      </c>
      <c r="P11" s="202">
        <f>D11+G11+J11+M11</f>
        <v>30000</v>
      </c>
      <c r="Q11" s="203"/>
      <c r="R11" s="203"/>
      <c r="S11" s="203">
        <f>Q11+R11</f>
        <v>0</v>
      </c>
      <c r="T11" s="203"/>
      <c r="U11" s="203"/>
      <c r="V11" s="203">
        <f>T11+U11</f>
        <v>0</v>
      </c>
      <c r="W11" s="203"/>
      <c r="X11" s="203"/>
      <c r="Y11" s="203">
        <f>W11+X11</f>
        <v>0</v>
      </c>
      <c r="Z11" s="485"/>
      <c r="AA11" s="511">
        <f>Q11+T11+W11</f>
        <v>0</v>
      </c>
      <c r="AB11" s="202">
        <f>R11+U11+X11</f>
        <v>0</v>
      </c>
      <c r="AC11" s="510">
        <f>S11+V11+Y11</f>
        <v>0</v>
      </c>
      <c r="AD11" s="509">
        <f>N11+AA11</f>
        <v>30000</v>
      </c>
      <c r="AE11" s="202">
        <f>O11+AB11</f>
        <v>0</v>
      </c>
      <c r="AF11" s="202">
        <f>P11+AC11</f>
        <v>30000</v>
      </c>
      <c r="AG11" s="203"/>
      <c r="AH11" s="203">
        <f>AF11</f>
        <v>30000</v>
      </c>
      <c r="AI11" s="203"/>
      <c r="AJ11" s="508">
        <f>SUM(AG11:AI11)</f>
        <v>30000</v>
      </c>
      <c r="AK11" s="9"/>
    </row>
    <row r="12" spans="1:37" ht="40.5" customHeight="1">
      <c r="A12" s="530" t="s">
        <v>432</v>
      </c>
      <c r="B12" s="203"/>
      <c r="C12" s="203"/>
      <c r="D12" s="484">
        <f>B12+C12</f>
        <v>0</v>
      </c>
      <c r="E12" s="518"/>
      <c r="F12" s="203"/>
      <c r="G12" s="485">
        <f>E12+F12</f>
        <v>0</v>
      </c>
      <c r="H12" s="519"/>
      <c r="I12" s="203">
        <v>612000</v>
      </c>
      <c r="J12" s="484">
        <f>H12+I12</f>
        <v>612000</v>
      </c>
      <c r="K12" s="518"/>
      <c r="L12" s="203"/>
      <c r="M12" s="203">
        <f>K12+L12</f>
        <v>0</v>
      </c>
      <c r="N12" s="202">
        <f>B12+E12+H12+K12</f>
        <v>0</v>
      </c>
      <c r="O12" s="202">
        <f>C12+F12+I12+L12</f>
        <v>612000</v>
      </c>
      <c r="P12" s="202">
        <f>D12+G12+J12+M12</f>
        <v>612000</v>
      </c>
      <c r="Q12" s="203"/>
      <c r="R12" s="203"/>
      <c r="S12" s="203">
        <f>Q12+R12</f>
        <v>0</v>
      </c>
      <c r="T12" s="203"/>
      <c r="U12" s="203"/>
      <c r="V12" s="203">
        <f>T12+U12</f>
        <v>0</v>
      </c>
      <c r="W12" s="203"/>
      <c r="X12" s="203"/>
      <c r="Y12" s="203">
        <f>W12+X12</f>
        <v>0</v>
      </c>
      <c r="Z12" s="485"/>
      <c r="AA12" s="511">
        <f>Q12+T12+W12</f>
        <v>0</v>
      </c>
      <c r="AB12" s="202">
        <f>R12+U12+X12</f>
        <v>0</v>
      </c>
      <c r="AC12" s="510">
        <f>S12+V12+Y12</f>
        <v>0</v>
      </c>
      <c r="AD12" s="509">
        <f>N12+AA12</f>
        <v>0</v>
      </c>
      <c r="AE12" s="202">
        <f>O12+AB12</f>
        <v>612000</v>
      </c>
      <c r="AF12" s="202">
        <f>P12+AC12</f>
        <v>612000</v>
      </c>
      <c r="AG12" s="203"/>
      <c r="AH12" s="203"/>
      <c r="AI12" s="203">
        <f>AF12</f>
        <v>612000</v>
      </c>
      <c r="AJ12" s="508">
        <f>SUM(AG12:AI12)</f>
        <v>612000</v>
      </c>
      <c r="AK12" s="9"/>
    </row>
    <row r="13" spans="1:37" ht="54.75" customHeight="1">
      <c r="A13" s="530" t="s">
        <v>354</v>
      </c>
      <c r="B13" s="203"/>
      <c r="C13" s="203"/>
      <c r="D13" s="484">
        <f>B13+C13</f>
        <v>0</v>
      </c>
      <c r="E13" s="518"/>
      <c r="F13" s="203"/>
      <c r="G13" s="485">
        <f>E13+F13</f>
        <v>0</v>
      </c>
      <c r="H13" s="519">
        <v>400000</v>
      </c>
      <c r="I13" s="203"/>
      <c r="J13" s="484">
        <f>H13+I13</f>
        <v>400000</v>
      </c>
      <c r="K13" s="518"/>
      <c r="L13" s="203"/>
      <c r="M13" s="203">
        <f>K13+L13</f>
        <v>0</v>
      </c>
      <c r="N13" s="202">
        <f>B13+E13+H13+K13</f>
        <v>400000</v>
      </c>
      <c r="O13" s="202">
        <f>C13+F13+I13+L13</f>
        <v>0</v>
      </c>
      <c r="P13" s="202">
        <f>D13+G13+J13+M13</f>
        <v>400000</v>
      </c>
      <c r="Q13" s="203"/>
      <c r="R13" s="203"/>
      <c r="S13" s="203">
        <f>Q13+R13</f>
        <v>0</v>
      </c>
      <c r="T13" s="203"/>
      <c r="U13" s="203"/>
      <c r="V13" s="203">
        <f>T13+U13</f>
        <v>0</v>
      </c>
      <c r="W13" s="203"/>
      <c r="X13" s="203"/>
      <c r="Y13" s="203">
        <f>W13+X13</f>
        <v>0</v>
      </c>
      <c r="Z13" s="485"/>
      <c r="AA13" s="511">
        <f>Q13+T13+W13</f>
        <v>0</v>
      </c>
      <c r="AB13" s="202">
        <f>R13+U13+X13</f>
        <v>0</v>
      </c>
      <c r="AC13" s="510">
        <f>S13+V13+Y13</f>
        <v>0</v>
      </c>
      <c r="AD13" s="509">
        <f>N13+AA13</f>
        <v>400000</v>
      </c>
      <c r="AE13" s="202">
        <f>O13+AB13</f>
        <v>0</v>
      </c>
      <c r="AF13" s="202">
        <f>P13+AC13</f>
        <v>400000</v>
      </c>
      <c r="AG13" s="203"/>
      <c r="AH13" s="203"/>
      <c r="AI13" s="203">
        <f>AF13</f>
        <v>400000</v>
      </c>
      <c r="AJ13" s="508">
        <f>SUM(AG13:AI13)</f>
        <v>400000</v>
      </c>
      <c r="AK13" s="9"/>
    </row>
    <row r="14" spans="1:37" ht="40.5" customHeight="1">
      <c r="A14" s="530" t="s">
        <v>355</v>
      </c>
      <c r="B14" s="203"/>
      <c r="C14" s="203"/>
      <c r="D14" s="484">
        <f>B14+C14</f>
        <v>0</v>
      </c>
      <c r="E14" s="518"/>
      <c r="F14" s="203"/>
      <c r="G14" s="485">
        <f>E14+F14</f>
        <v>0</v>
      </c>
      <c r="H14" s="519">
        <v>200000</v>
      </c>
      <c r="I14" s="203"/>
      <c r="J14" s="484">
        <f>H14+I14</f>
        <v>200000</v>
      </c>
      <c r="K14" s="518"/>
      <c r="L14" s="203"/>
      <c r="M14" s="203">
        <f>K14+L14</f>
        <v>0</v>
      </c>
      <c r="N14" s="202">
        <f>B14+E14+H14+K14</f>
        <v>200000</v>
      </c>
      <c r="O14" s="202">
        <f>C14+F14+I14+L14</f>
        <v>0</v>
      </c>
      <c r="P14" s="202">
        <f>D14+G14+J14+M14</f>
        <v>200000</v>
      </c>
      <c r="Q14" s="203"/>
      <c r="R14" s="203"/>
      <c r="S14" s="203">
        <f>Q14+R14</f>
        <v>0</v>
      </c>
      <c r="T14" s="203"/>
      <c r="U14" s="203"/>
      <c r="V14" s="203">
        <f>T14+U14</f>
        <v>0</v>
      </c>
      <c r="W14" s="203"/>
      <c r="X14" s="203"/>
      <c r="Y14" s="203">
        <f>W14+X14</f>
        <v>0</v>
      </c>
      <c r="Z14" s="485"/>
      <c r="AA14" s="511">
        <f>Q14+T14+W14</f>
        <v>0</v>
      </c>
      <c r="AB14" s="202">
        <f>R14+U14+X14</f>
        <v>0</v>
      </c>
      <c r="AC14" s="510">
        <f>S14+V14+Y14</f>
        <v>0</v>
      </c>
      <c r="AD14" s="509">
        <f>N14+AA14</f>
        <v>200000</v>
      </c>
      <c r="AE14" s="202">
        <f>O14+AB14</f>
        <v>0</v>
      </c>
      <c r="AF14" s="202">
        <f>P14+AC14</f>
        <v>200000</v>
      </c>
      <c r="AG14" s="203"/>
      <c r="AH14" s="203"/>
      <c r="AI14" s="203">
        <f>AF14</f>
        <v>200000</v>
      </c>
      <c r="AJ14" s="508">
        <f>SUM(AG14:AI14)</f>
        <v>200000</v>
      </c>
      <c r="AK14" s="9"/>
    </row>
    <row r="15" spans="1:37" ht="40.5" customHeight="1">
      <c r="A15" s="530" t="s">
        <v>486</v>
      </c>
      <c r="B15" s="203"/>
      <c r="C15" s="203"/>
      <c r="D15" s="484">
        <f>B15+C15</f>
        <v>0</v>
      </c>
      <c r="E15" s="518"/>
      <c r="F15" s="203"/>
      <c r="G15" s="485">
        <f>E15+F15</f>
        <v>0</v>
      </c>
      <c r="H15" s="519"/>
      <c r="I15" s="203"/>
      <c r="J15" s="484">
        <f>H15+I15</f>
        <v>0</v>
      </c>
      <c r="K15" s="518"/>
      <c r="L15" s="203"/>
      <c r="M15" s="203">
        <f>K15+L15</f>
        <v>0</v>
      </c>
      <c r="N15" s="202">
        <f>B15+E15+H15+K15</f>
        <v>0</v>
      </c>
      <c r="O15" s="202">
        <f>C15+F15+I15+L15</f>
        <v>0</v>
      </c>
      <c r="P15" s="202">
        <f>D15+G15+J15+M15</f>
        <v>0</v>
      </c>
      <c r="Q15" s="203"/>
      <c r="R15" s="203"/>
      <c r="S15" s="203">
        <f>Q15+R15</f>
        <v>0</v>
      </c>
      <c r="T15" s="203"/>
      <c r="U15" s="203"/>
      <c r="V15" s="203">
        <f>T15+U15</f>
        <v>0</v>
      </c>
      <c r="W15" s="203"/>
      <c r="X15" s="203"/>
      <c r="Y15" s="203">
        <f>W15+X15</f>
        <v>0</v>
      </c>
      <c r="Z15" s="485"/>
      <c r="AA15" s="511">
        <f>Q15+T15+W15</f>
        <v>0</v>
      </c>
      <c r="AB15" s="202">
        <f>R15+U15+X15</f>
        <v>0</v>
      </c>
      <c r="AC15" s="510">
        <f>S15+V15+Y15</f>
        <v>0</v>
      </c>
      <c r="AD15" s="509">
        <f>N15+AA15</f>
        <v>0</v>
      </c>
      <c r="AE15" s="202">
        <f>O15+AB15</f>
        <v>0</v>
      </c>
      <c r="AF15" s="202">
        <f>P15+AC15</f>
        <v>0</v>
      </c>
      <c r="AG15" s="203"/>
      <c r="AH15" s="203"/>
      <c r="AI15" s="203"/>
      <c r="AJ15" s="508"/>
      <c r="AK15" s="9"/>
    </row>
    <row r="16" spans="1:37" ht="36" customHeight="1">
      <c r="A16" s="530" t="s">
        <v>428</v>
      </c>
      <c r="B16" s="203"/>
      <c r="C16" s="203">
        <f>6640000+636100</f>
        <v>7276100</v>
      </c>
      <c r="D16" s="484">
        <f>B16+C16</f>
        <v>7276100</v>
      </c>
      <c r="E16" s="518"/>
      <c r="F16" s="203"/>
      <c r="G16" s="485">
        <f>E16+F16</f>
        <v>0</v>
      </c>
      <c r="H16" s="519">
        <f>4853630-45000</f>
        <v>4808630</v>
      </c>
      <c r="I16" s="203">
        <v>881000</v>
      </c>
      <c r="J16" s="484">
        <f>H16+I16</f>
        <v>5689630</v>
      </c>
      <c r="K16" s="518"/>
      <c r="L16" s="203"/>
      <c r="M16" s="203">
        <f>K16+L16</f>
        <v>0</v>
      </c>
      <c r="N16" s="202">
        <f>B16+E16+H16+K16</f>
        <v>4808630</v>
      </c>
      <c r="O16" s="202">
        <f>C16+F16+I16+L16</f>
        <v>8157100</v>
      </c>
      <c r="P16" s="202">
        <f>D16+G16+J16+M16</f>
        <v>12965730</v>
      </c>
      <c r="Q16" s="203"/>
      <c r="R16" s="203"/>
      <c r="S16" s="203">
        <f>Q16+R16</f>
        <v>0</v>
      </c>
      <c r="T16" s="203"/>
      <c r="U16" s="203"/>
      <c r="V16" s="203">
        <f>T16+U16</f>
        <v>0</v>
      </c>
      <c r="W16" s="203"/>
      <c r="X16" s="203"/>
      <c r="Y16" s="203">
        <f>W16+X16</f>
        <v>0</v>
      </c>
      <c r="Z16" s="485"/>
      <c r="AA16" s="511">
        <f>Q16+T16+W16</f>
        <v>0</v>
      </c>
      <c r="AB16" s="202">
        <f>R16+U16+X16</f>
        <v>0</v>
      </c>
      <c r="AC16" s="510">
        <f>S16+V16+Y16</f>
        <v>0</v>
      </c>
      <c r="AD16" s="509">
        <f>N16+AA16</f>
        <v>4808630</v>
      </c>
      <c r="AE16" s="202">
        <f>O16+AB16</f>
        <v>8157100</v>
      </c>
      <c r="AF16" s="202">
        <f>P16+AC16</f>
        <v>12965730</v>
      </c>
      <c r="AG16" s="203"/>
      <c r="AH16" s="203">
        <f>AF16</f>
        <v>12965730</v>
      </c>
      <c r="AI16" s="203"/>
      <c r="AJ16" s="508">
        <f>SUM(AG16:AI16)</f>
        <v>12965730</v>
      </c>
      <c r="AK16" s="9"/>
    </row>
    <row r="17" spans="1:37" s="37" customFormat="1" ht="36" customHeight="1">
      <c r="A17" s="529" t="s">
        <v>356</v>
      </c>
      <c r="B17" s="516">
        <f>SUM(B8:B16)</f>
        <v>0</v>
      </c>
      <c r="C17" s="516">
        <f>SUM(C8:C16)</f>
        <v>7276100</v>
      </c>
      <c r="D17" s="516">
        <f>SUM(D8:D16)</f>
        <v>7276100</v>
      </c>
      <c r="E17" s="516">
        <f>SUM(E8:E16)</f>
        <v>0</v>
      </c>
      <c r="F17" s="516">
        <f>SUM(F8:F16)</f>
        <v>0</v>
      </c>
      <c r="G17" s="516">
        <f>SUM(G8:G16)</f>
        <v>0</v>
      </c>
      <c r="H17" s="516">
        <f>SUM(H8:H16)</f>
        <v>5438630</v>
      </c>
      <c r="I17" s="516">
        <f>SUM(I8:I16)</f>
        <v>1493000</v>
      </c>
      <c r="J17" s="516">
        <f>SUM(J8:J16)</f>
        <v>6931630</v>
      </c>
      <c r="K17" s="516">
        <f>SUM(K8:K16)</f>
        <v>0</v>
      </c>
      <c r="L17" s="516">
        <f>SUM(L8:L16)</f>
        <v>0</v>
      </c>
      <c r="M17" s="516">
        <f>SUM(M8:M16)</f>
        <v>0</v>
      </c>
      <c r="N17" s="516">
        <f>SUM(N8:N16)</f>
        <v>5438630</v>
      </c>
      <c r="O17" s="516">
        <f>SUM(O8:O16)</f>
        <v>8769100</v>
      </c>
      <c r="P17" s="516">
        <f>SUM(P8:P16)</f>
        <v>14207730</v>
      </c>
      <c r="Q17" s="516">
        <f>SUM(Q8:Q16)</f>
        <v>0</v>
      </c>
      <c r="R17" s="516">
        <f>SUM(R8:R16)</f>
        <v>0</v>
      </c>
      <c r="S17" s="516">
        <f>SUM(S8:S16)</f>
        <v>0</v>
      </c>
      <c r="T17" s="516">
        <f>SUM(T8:T16)</f>
        <v>0</v>
      </c>
      <c r="U17" s="516">
        <f>SUM(U8:U16)</f>
        <v>0</v>
      </c>
      <c r="V17" s="516">
        <f>SUM(V8:V16)</f>
        <v>0</v>
      </c>
      <c r="W17" s="516">
        <f>SUM(W8:W16)</f>
        <v>0</v>
      </c>
      <c r="X17" s="516">
        <f>SUM(X8:X16)</f>
        <v>0</v>
      </c>
      <c r="Y17" s="516">
        <f>SUM(Y8:Y16)</f>
        <v>0</v>
      </c>
      <c r="Z17" s="516">
        <f>SUM(Z8:Z16)</f>
        <v>0</v>
      </c>
      <c r="AA17" s="532">
        <f>Q17+T17+W17</f>
        <v>0</v>
      </c>
      <c r="AB17" s="524">
        <f>R17+U17+X17</f>
        <v>0</v>
      </c>
      <c r="AC17" s="526">
        <f>S17+V17+Y17</f>
        <v>0</v>
      </c>
      <c r="AD17" s="525">
        <f>N17+AA17</f>
        <v>5438630</v>
      </c>
      <c r="AE17" s="524">
        <f>O17+AB17</f>
        <v>8769100</v>
      </c>
      <c r="AF17" s="524">
        <f>P17+AC17</f>
        <v>14207730</v>
      </c>
      <c r="AG17" s="516">
        <f>SUM(AG8:AG16)</f>
        <v>0</v>
      </c>
      <c r="AH17" s="516">
        <f>SUM(AH8:AH16)</f>
        <v>12995730</v>
      </c>
      <c r="AI17" s="516">
        <f>SUM(AI8:AI16)</f>
        <v>1212000</v>
      </c>
      <c r="AJ17" s="531">
        <f>SUM(AJ8:AJ16)</f>
        <v>14207730</v>
      </c>
      <c r="AK17" s="36"/>
    </row>
    <row r="18" spans="1:37" ht="41.25" customHeight="1">
      <c r="A18" s="530" t="s">
        <v>357</v>
      </c>
      <c r="B18" s="203">
        <v>6151200</v>
      </c>
      <c r="C18" s="203">
        <v>1236500</v>
      </c>
      <c r="D18" s="484">
        <f>B18+C18</f>
        <v>7387700</v>
      </c>
      <c r="E18" s="518"/>
      <c r="F18" s="203"/>
      <c r="G18" s="485">
        <f>E18+F18</f>
        <v>0</v>
      </c>
      <c r="H18" s="519"/>
      <c r="I18" s="203"/>
      <c r="J18" s="484">
        <f>H18+I18</f>
        <v>0</v>
      </c>
      <c r="K18" s="518"/>
      <c r="L18" s="203"/>
      <c r="M18" s="203">
        <f>K18+L18</f>
        <v>0</v>
      </c>
      <c r="N18" s="202">
        <f>B18+E18+H18+K18</f>
        <v>6151200</v>
      </c>
      <c r="O18" s="202">
        <f>C18+F18+I18+L18</f>
        <v>1236500</v>
      </c>
      <c r="P18" s="202">
        <f>D18+G18+J18+M18</f>
        <v>7387700</v>
      </c>
      <c r="Q18" s="203"/>
      <c r="R18" s="203"/>
      <c r="S18" s="203">
        <f>Q18+R18</f>
        <v>0</v>
      </c>
      <c r="T18" s="203"/>
      <c r="U18" s="203"/>
      <c r="V18" s="203">
        <f>T18+U18</f>
        <v>0</v>
      </c>
      <c r="W18" s="203"/>
      <c r="X18" s="203"/>
      <c r="Y18" s="203">
        <f>W18+X18</f>
        <v>0</v>
      </c>
      <c r="Z18" s="485"/>
      <c r="AA18" s="511">
        <f>Q18+T18+W18</f>
        <v>0</v>
      </c>
      <c r="AB18" s="202">
        <f>R18+U18+X18</f>
        <v>0</v>
      </c>
      <c r="AC18" s="510">
        <f>S18+V18+Y18</f>
        <v>0</v>
      </c>
      <c r="AD18" s="509">
        <f>N18+AA18</f>
        <v>6151200</v>
      </c>
      <c r="AE18" s="202">
        <f>O18+AB18</f>
        <v>1236500</v>
      </c>
      <c r="AF18" s="202">
        <f>P18+AC18</f>
        <v>7387700</v>
      </c>
      <c r="AG18" s="203"/>
      <c r="AH18" s="203">
        <f>AF18</f>
        <v>7387700</v>
      </c>
      <c r="AI18" s="203"/>
      <c r="AJ18" s="508">
        <f>SUM(AG18:AI18)</f>
        <v>7387700</v>
      </c>
      <c r="AK18" s="9"/>
    </row>
    <row r="19" spans="1:37" ht="36" customHeight="1">
      <c r="A19" s="530" t="s">
        <v>359</v>
      </c>
      <c r="B19" s="203">
        <v>145200</v>
      </c>
      <c r="C19" s="203"/>
      <c r="D19" s="484">
        <f>B19+C19</f>
        <v>145200</v>
      </c>
      <c r="E19" s="518"/>
      <c r="F19" s="203"/>
      <c r="G19" s="485">
        <f>E19+F19</f>
        <v>0</v>
      </c>
      <c r="H19" s="519"/>
      <c r="I19" s="203"/>
      <c r="J19" s="484">
        <f>H19+I19</f>
        <v>0</v>
      </c>
      <c r="K19" s="518"/>
      <c r="L19" s="203"/>
      <c r="M19" s="203">
        <f>K19+L19</f>
        <v>0</v>
      </c>
      <c r="N19" s="202">
        <f>B19+E19+H19+K19</f>
        <v>145200</v>
      </c>
      <c r="O19" s="202">
        <f>C19+F19+I19+L19</f>
        <v>0</v>
      </c>
      <c r="P19" s="202">
        <f>D19+G19+J19+M19</f>
        <v>145200</v>
      </c>
      <c r="Q19" s="203"/>
      <c r="R19" s="203"/>
      <c r="S19" s="203">
        <f>Q19+R19</f>
        <v>0</v>
      </c>
      <c r="T19" s="203"/>
      <c r="U19" s="203"/>
      <c r="V19" s="203">
        <f>T19+U19</f>
        <v>0</v>
      </c>
      <c r="W19" s="203"/>
      <c r="X19" s="203"/>
      <c r="Y19" s="203">
        <f>W19+X19</f>
        <v>0</v>
      </c>
      <c r="Z19" s="485"/>
      <c r="AA19" s="511">
        <f>Q19+T19+W19</f>
        <v>0</v>
      </c>
      <c r="AB19" s="202">
        <f>R19+U19+X19</f>
        <v>0</v>
      </c>
      <c r="AC19" s="510">
        <f>S19+V19+Y19</f>
        <v>0</v>
      </c>
      <c r="AD19" s="509">
        <f>N19+AA19</f>
        <v>145200</v>
      </c>
      <c r="AE19" s="202">
        <f>O19+AB19</f>
        <v>0</v>
      </c>
      <c r="AF19" s="202">
        <f>P19+AC19</f>
        <v>145200</v>
      </c>
      <c r="AG19" s="203"/>
      <c r="AH19" s="203">
        <f>AF19</f>
        <v>145200</v>
      </c>
      <c r="AI19" s="203"/>
      <c r="AJ19" s="508">
        <f>SUM(AG19:AI19)</f>
        <v>145200</v>
      </c>
      <c r="AK19" s="9"/>
    </row>
    <row r="20" spans="1:37" ht="30.75" customHeight="1">
      <c r="A20" s="530" t="s">
        <v>358</v>
      </c>
      <c r="B20" s="203"/>
      <c r="C20" s="203"/>
      <c r="D20" s="484">
        <f>B20+C20</f>
        <v>0</v>
      </c>
      <c r="E20" s="518"/>
      <c r="F20" s="203"/>
      <c r="G20" s="485">
        <f>E20+F20</f>
        <v>0</v>
      </c>
      <c r="H20" s="519"/>
      <c r="I20" s="203"/>
      <c r="J20" s="484">
        <f>H20+I20</f>
        <v>0</v>
      </c>
      <c r="K20" s="518"/>
      <c r="L20" s="203"/>
      <c r="M20" s="203">
        <f>K20+L20</f>
        <v>0</v>
      </c>
      <c r="N20" s="202">
        <f>B20+E20+H20+K20</f>
        <v>0</v>
      </c>
      <c r="O20" s="202">
        <f>C20+F20+I20+L20</f>
        <v>0</v>
      </c>
      <c r="P20" s="202">
        <f>D20+G20+J20+M20</f>
        <v>0</v>
      </c>
      <c r="Q20" s="203"/>
      <c r="R20" s="203"/>
      <c r="S20" s="203">
        <f>Q20+R20</f>
        <v>0</v>
      </c>
      <c r="T20" s="203"/>
      <c r="U20" s="203"/>
      <c r="V20" s="203">
        <f>T20+U20</f>
        <v>0</v>
      </c>
      <c r="W20" s="203"/>
      <c r="X20" s="203"/>
      <c r="Y20" s="203">
        <f>W20+X20</f>
        <v>0</v>
      </c>
      <c r="Z20" s="485"/>
      <c r="AA20" s="511">
        <f>Q20+T20+W20</f>
        <v>0</v>
      </c>
      <c r="AB20" s="202">
        <f>R20+U20+X20</f>
        <v>0</v>
      </c>
      <c r="AC20" s="510">
        <f>S20+V20+Y20</f>
        <v>0</v>
      </c>
      <c r="AD20" s="509">
        <f>N20+AA20</f>
        <v>0</v>
      </c>
      <c r="AE20" s="202">
        <f>O20+AB20</f>
        <v>0</v>
      </c>
      <c r="AF20" s="202">
        <f>P20+AC20</f>
        <v>0</v>
      </c>
      <c r="AG20" s="203"/>
      <c r="AH20" s="203"/>
      <c r="AI20" s="203"/>
      <c r="AJ20" s="508">
        <f>SUM(AG20:AI20)</f>
        <v>0</v>
      </c>
      <c r="AK20" s="9"/>
    </row>
    <row r="21" spans="1:37" ht="30.75" customHeight="1">
      <c r="A21" s="530" t="s">
        <v>360</v>
      </c>
      <c r="B21" s="203"/>
      <c r="C21" s="203"/>
      <c r="D21" s="484">
        <f>B21+C21</f>
        <v>0</v>
      </c>
      <c r="E21" s="518"/>
      <c r="F21" s="203"/>
      <c r="G21" s="485">
        <f>E21+F21</f>
        <v>0</v>
      </c>
      <c r="H21" s="519"/>
      <c r="I21" s="203"/>
      <c r="J21" s="484">
        <f>H21+I21</f>
        <v>0</v>
      </c>
      <c r="K21" s="518"/>
      <c r="L21" s="203"/>
      <c r="M21" s="203">
        <f>K21+L21</f>
        <v>0</v>
      </c>
      <c r="N21" s="202">
        <f>B21+E21+H21+K21</f>
        <v>0</v>
      </c>
      <c r="O21" s="202">
        <f>C21+F21+I21+L21</f>
        <v>0</v>
      </c>
      <c r="P21" s="202">
        <f>D21+G21+J21+M21</f>
        <v>0</v>
      </c>
      <c r="Q21" s="203"/>
      <c r="R21" s="203"/>
      <c r="S21" s="203">
        <f>Q21+R21</f>
        <v>0</v>
      </c>
      <c r="T21" s="203"/>
      <c r="U21" s="203"/>
      <c r="V21" s="203">
        <f>T21+U21</f>
        <v>0</v>
      </c>
      <c r="W21" s="203"/>
      <c r="X21" s="203"/>
      <c r="Y21" s="203">
        <f>W21+X21</f>
        <v>0</v>
      </c>
      <c r="Z21" s="485"/>
      <c r="AA21" s="511">
        <f>Q21+T21+W21</f>
        <v>0</v>
      </c>
      <c r="AB21" s="202">
        <f>R21+U21+X21</f>
        <v>0</v>
      </c>
      <c r="AC21" s="510">
        <f>S21+V21+Y21</f>
        <v>0</v>
      </c>
      <c r="AD21" s="509">
        <f>N21+AA21</f>
        <v>0</v>
      </c>
      <c r="AE21" s="202">
        <f>O21+AB21</f>
        <v>0</v>
      </c>
      <c r="AF21" s="202">
        <f>P21+AC21</f>
        <v>0</v>
      </c>
      <c r="AG21" s="203"/>
      <c r="AH21" s="203"/>
      <c r="AI21" s="203"/>
      <c r="AJ21" s="508">
        <f>SUM(AG21:AI21)</f>
        <v>0</v>
      </c>
      <c r="AK21" s="9"/>
    </row>
    <row r="22" spans="1:37" s="37" customFormat="1" ht="35.25" customHeight="1">
      <c r="A22" s="529" t="s">
        <v>361</v>
      </c>
      <c r="B22" s="516">
        <f>SUM(B18:B21)</f>
        <v>6296400</v>
      </c>
      <c r="C22" s="516">
        <f>SUM(C18:C21)</f>
        <v>1236500</v>
      </c>
      <c r="D22" s="516">
        <f>SUM(D18:D21)</f>
        <v>7532900</v>
      </c>
      <c r="E22" s="516">
        <f>SUM(E18:E21)</f>
        <v>0</v>
      </c>
      <c r="F22" s="516">
        <f>SUM(F18:F21)</f>
        <v>0</v>
      </c>
      <c r="G22" s="516">
        <f>SUM(G18:G21)</f>
        <v>0</v>
      </c>
      <c r="H22" s="516">
        <f>SUM(H18:H21)</f>
        <v>0</v>
      </c>
      <c r="I22" s="516">
        <f>SUM(I18:I21)</f>
        <v>0</v>
      </c>
      <c r="J22" s="516">
        <f>SUM(J18:J21)</f>
        <v>0</v>
      </c>
      <c r="K22" s="516">
        <f>SUM(K18:K21)</f>
        <v>0</v>
      </c>
      <c r="L22" s="516">
        <f>SUM(L18:L21)</f>
        <v>0</v>
      </c>
      <c r="M22" s="516">
        <f>SUM(M18:M21)</f>
        <v>0</v>
      </c>
      <c r="N22" s="516">
        <f>SUM(N18:N21)</f>
        <v>6296400</v>
      </c>
      <c r="O22" s="516">
        <f>SUM(O18:O21)</f>
        <v>1236500</v>
      </c>
      <c r="P22" s="516">
        <f>SUM(P18:P21)</f>
        <v>7532900</v>
      </c>
      <c r="Q22" s="516">
        <f>SUM(Q18:Q21)</f>
        <v>0</v>
      </c>
      <c r="R22" s="516">
        <f>SUM(R18:R21)</f>
        <v>0</v>
      </c>
      <c r="S22" s="516">
        <f>SUM(S18:S21)</f>
        <v>0</v>
      </c>
      <c r="T22" s="516">
        <f>SUM(T18:T21)</f>
        <v>0</v>
      </c>
      <c r="U22" s="516">
        <f>SUM(U18:U21)</f>
        <v>0</v>
      </c>
      <c r="V22" s="516">
        <f>SUM(V18:V21)</f>
        <v>0</v>
      </c>
      <c r="W22" s="516">
        <f>SUM(W18:W21)</f>
        <v>0</v>
      </c>
      <c r="X22" s="516">
        <f>SUM(X18:X21)</f>
        <v>0</v>
      </c>
      <c r="Y22" s="516">
        <f>SUM(Y18:Y21)</f>
        <v>0</v>
      </c>
      <c r="Z22" s="516">
        <f>SUM(Z18:Z21)</f>
        <v>0</v>
      </c>
      <c r="AA22" s="516">
        <f>SUM(AA18:AA21)</f>
        <v>0</v>
      </c>
      <c r="AB22" s="516">
        <f>SUM(AB18:AB21)</f>
        <v>0</v>
      </c>
      <c r="AC22" s="516">
        <f>SUM(AC18:AC21)</f>
        <v>0</v>
      </c>
      <c r="AD22" s="516">
        <f>SUM(AD18:AD21)</f>
        <v>6296400</v>
      </c>
      <c r="AE22" s="516">
        <f>SUM(AE18:AE21)</f>
        <v>1236500</v>
      </c>
      <c r="AF22" s="516">
        <f>SUM(AF18:AF21)</f>
        <v>7532900</v>
      </c>
      <c r="AG22" s="516">
        <f>SUM(AG18:AG21)</f>
        <v>0</v>
      </c>
      <c r="AH22" s="516">
        <f>SUM(AH18:AH21)</f>
        <v>7532900</v>
      </c>
      <c r="AI22" s="516">
        <f>SUM(AI18:AI21)</f>
        <v>0</v>
      </c>
      <c r="AJ22" s="516">
        <f>SUM(AJ18:AJ21)</f>
        <v>7532900</v>
      </c>
      <c r="AK22" s="36"/>
    </row>
    <row r="23" spans="1:37" ht="33" customHeight="1">
      <c r="A23" s="530" t="s">
        <v>429</v>
      </c>
      <c r="B23" s="203"/>
      <c r="C23" s="203"/>
      <c r="D23" s="484">
        <f>B23+C23</f>
        <v>0</v>
      </c>
      <c r="E23" s="518"/>
      <c r="F23" s="203"/>
      <c r="G23" s="485">
        <f>E23+F23</f>
        <v>0</v>
      </c>
      <c r="H23" s="519"/>
      <c r="I23" s="203"/>
      <c r="J23" s="484">
        <f>H23+I23</f>
        <v>0</v>
      </c>
      <c r="K23" s="518"/>
      <c r="L23" s="203"/>
      <c r="M23" s="203">
        <f>K23+L23</f>
        <v>0</v>
      </c>
      <c r="N23" s="202">
        <f>B23+E23+H23+K23</f>
        <v>0</v>
      </c>
      <c r="O23" s="202">
        <f>C23+F23+I23+L23</f>
        <v>0</v>
      </c>
      <c r="P23" s="202">
        <f>D23+G23+J23+M23</f>
        <v>0</v>
      </c>
      <c r="Q23" s="203"/>
      <c r="R23" s="203"/>
      <c r="S23" s="203">
        <f>Q23+R23</f>
        <v>0</v>
      </c>
      <c r="T23" s="203"/>
      <c r="U23" s="203"/>
      <c r="V23" s="203">
        <f>T23+U23</f>
        <v>0</v>
      </c>
      <c r="W23" s="203"/>
      <c r="X23" s="203"/>
      <c r="Y23" s="203">
        <f>W23+X23</f>
        <v>0</v>
      </c>
      <c r="Z23" s="485"/>
      <c r="AA23" s="511">
        <f>Q23+T23+W23</f>
        <v>0</v>
      </c>
      <c r="AB23" s="202">
        <f>R23+U23+X23</f>
        <v>0</v>
      </c>
      <c r="AC23" s="510">
        <f>S23+V23+Y23</f>
        <v>0</v>
      </c>
      <c r="AD23" s="509">
        <f>N23+AA23</f>
        <v>0</v>
      </c>
      <c r="AE23" s="202">
        <f>O23+AB23</f>
        <v>0</v>
      </c>
      <c r="AF23" s="202">
        <f>P23+AC23</f>
        <v>0</v>
      </c>
      <c r="AG23" s="203"/>
      <c r="AH23" s="203"/>
      <c r="AI23" s="203"/>
      <c r="AJ23" s="508">
        <f>SUM(AG23:AI23)</f>
        <v>0</v>
      </c>
      <c r="AK23" s="9"/>
    </row>
    <row r="24" spans="1:37" ht="38.25" customHeight="1">
      <c r="A24" s="530" t="s">
        <v>363</v>
      </c>
      <c r="B24" s="203"/>
      <c r="C24" s="203"/>
      <c r="D24" s="484">
        <f>B24+C24</f>
        <v>0</v>
      </c>
      <c r="E24" s="518"/>
      <c r="F24" s="203"/>
      <c r="G24" s="485">
        <f>E24+F24</f>
        <v>0</v>
      </c>
      <c r="H24" s="519"/>
      <c r="I24" s="203"/>
      <c r="J24" s="484">
        <f>H24+I24</f>
        <v>0</v>
      </c>
      <c r="K24" s="518"/>
      <c r="L24" s="203"/>
      <c r="M24" s="203">
        <f>K24+L24</f>
        <v>0</v>
      </c>
      <c r="N24" s="202">
        <f>B24+E24+H24+K24</f>
        <v>0</v>
      </c>
      <c r="O24" s="202">
        <f>C24+F24+I24+L24</f>
        <v>0</v>
      </c>
      <c r="P24" s="202">
        <f>D24+G24+J24+M24</f>
        <v>0</v>
      </c>
      <c r="Q24" s="203"/>
      <c r="R24" s="203"/>
      <c r="S24" s="203">
        <f>Q24+R24</f>
        <v>0</v>
      </c>
      <c r="T24" s="203"/>
      <c r="U24" s="203"/>
      <c r="V24" s="203">
        <f>T24+U24</f>
        <v>0</v>
      </c>
      <c r="W24" s="203"/>
      <c r="X24" s="203"/>
      <c r="Y24" s="203">
        <f>W24+X24</f>
        <v>0</v>
      </c>
      <c r="Z24" s="485"/>
      <c r="AA24" s="511">
        <f>Q24+T24+W24</f>
        <v>0</v>
      </c>
      <c r="AB24" s="202">
        <f>R24+U24+X24</f>
        <v>0</v>
      </c>
      <c r="AC24" s="510">
        <f>S24+V24+Y24</f>
        <v>0</v>
      </c>
      <c r="AD24" s="509">
        <f>N24+AA24</f>
        <v>0</v>
      </c>
      <c r="AE24" s="202">
        <f>O24+AB24</f>
        <v>0</v>
      </c>
      <c r="AF24" s="202">
        <f>P24+AC24</f>
        <v>0</v>
      </c>
      <c r="AG24" s="203"/>
      <c r="AH24" s="203"/>
      <c r="AI24" s="203"/>
      <c r="AJ24" s="508">
        <f>SUM(AG24:AI24)</f>
        <v>0</v>
      </c>
      <c r="AK24" s="9"/>
    </row>
    <row r="25" spans="1:37" ht="38.25" customHeight="1">
      <c r="A25" s="530" t="s">
        <v>364</v>
      </c>
      <c r="B25" s="203"/>
      <c r="C25" s="203"/>
      <c r="D25" s="484">
        <f>B25+C25</f>
        <v>0</v>
      </c>
      <c r="E25" s="518"/>
      <c r="F25" s="203"/>
      <c r="G25" s="485">
        <f>E25+F25</f>
        <v>0</v>
      </c>
      <c r="H25" s="519"/>
      <c r="I25" s="203"/>
      <c r="J25" s="484">
        <f>H25+I25</f>
        <v>0</v>
      </c>
      <c r="K25" s="518"/>
      <c r="L25" s="203"/>
      <c r="M25" s="203">
        <f>K25+L25</f>
        <v>0</v>
      </c>
      <c r="N25" s="202">
        <f>B25+E25+H25+K25</f>
        <v>0</v>
      </c>
      <c r="O25" s="202">
        <f>C25+F25+I25+L25</f>
        <v>0</v>
      </c>
      <c r="P25" s="202">
        <f>D25+G25+J25+M25</f>
        <v>0</v>
      </c>
      <c r="Q25" s="203"/>
      <c r="R25" s="203"/>
      <c r="S25" s="203">
        <f>Q25+R25</f>
        <v>0</v>
      </c>
      <c r="T25" s="203"/>
      <c r="U25" s="203"/>
      <c r="V25" s="203">
        <f>T25+U25</f>
        <v>0</v>
      </c>
      <c r="W25" s="203"/>
      <c r="X25" s="203"/>
      <c r="Y25" s="203">
        <f>W25+X25</f>
        <v>0</v>
      </c>
      <c r="Z25" s="485"/>
      <c r="AA25" s="511">
        <f>Q25+T25+W25</f>
        <v>0</v>
      </c>
      <c r="AB25" s="202">
        <f>R25+U25+X25</f>
        <v>0</v>
      </c>
      <c r="AC25" s="510">
        <f>S25+V25+Y25</f>
        <v>0</v>
      </c>
      <c r="AD25" s="509">
        <f>N25+AA25</f>
        <v>0</v>
      </c>
      <c r="AE25" s="202">
        <f>O25+AB25</f>
        <v>0</v>
      </c>
      <c r="AF25" s="202">
        <f>P25+AC25</f>
        <v>0</v>
      </c>
      <c r="AG25" s="203"/>
      <c r="AH25" s="203"/>
      <c r="AI25" s="203"/>
      <c r="AJ25" s="508">
        <f>SUM(AG25:AI25)</f>
        <v>0</v>
      </c>
      <c r="AK25" s="9"/>
    </row>
    <row r="26" spans="1:37" ht="38.25" customHeight="1">
      <c r="A26" s="530" t="s">
        <v>365</v>
      </c>
      <c r="B26" s="203"/>
      <c r="C26" s="203"/>
      <c r="D26" s="484">
        <f>B26+C26</f>
        <v>0</v>
      </c>
      <c r="E26" s="518"/>
      <c r="F26" s="203"/>
      <c r="G26" s="485">
        <f>E26+F26</f>
        <v>0</v>
      </c>
      <c r="H26" s="519"/>
      <c r="I26" s="203"/>
      <c r="J26" s="484">
        <f>H26+I26</f>
        <v>0</v>
      </c>
      <c r="K26" s="518"/>
      <c r="L26" s="203"/>
      <c r="M26" s="203">
        <f>K26+L26</f>
        <v>0</v>
      </c>
      <c r="N26" s="202">
        <f>B26+E26+H26+K26</f>
        <v>0</v>
      </c>
      <c r="O26" s="202">
        <f>C26+F26+I26+L26</f>
        <v>0</v>
      </c>
      <c r="P26" s="202">
        <f>D26+G26+J26+M26</f>
        <v>0</v>
      </c>
      <c r="Q26" s="203"/>
      <c r="R26" s="203"/>
      <c r="S26" s="203">
        <f>Q26+R26</f>
        <v>0</v>
      </c>
      <c r="T26" s="203"/>
      <c r="U26" s="203"/>
      <c r="V26" s="203">
        <f>T26+U26</f>
        <v>0</v>
      </c>
      <c r="W26" s="203"/>
      <c r="X26" s="203"/>
      <c r="Y26" s="203">
        <f>W26+X26</f>
        <v>0</v>
      </c>
      <c r="Z26" s="485"/>
      <c r="AA26" s="511">
        <f>Q26+T26+W26</f>
        <v>0</v>
      </c>
      <c r="AB26" s="202">
        <f>R26+U26+X26</f>
        <v>0</v>
      </c>
      <c r="AC26" s="510">
        <f>S26+V26+Y26</f>
        <v>0</v>
      </c>
      <c r="AD26" s="509">
        <f>N26+AA26</f>
        <v>0</v>
      </c>
      <c r="AE26" s="202">
        <f>O26+AB26</f>
        <v>0</v>
      </c>
      <c r="AF26" s="202">
        <f>P26+AC26</f>
        <v>0</v>
      </c>
      <c r="AG26" s="203"/>
      <c r="AH26" s="203"/>
      <c r="AI26" s="203"/>
      <c r="AJ26" s="508">
        <f>SUM(AG26:AI26)</f>
        <v>0</v>
      </c>
      <c r="AK26" s="9"/>
    </row>
    <row r="27" spans="1:37" ht="29.25" customHeight="1">
      <c r="A27" s="530" t="s">
        <v>378</v>
      </c>
      <c r="B27" s="203"/>
      <c r="C27" s="203"/>
      <c r="D27" s="484">
        <f>B27+C27</f>
        <v>0</v>
      </c>
      <c r="E27" s="518"/>
      <c r="F27" s="203"/>
      <c r="G27" s="485">
        <f>E27+F27</f>
        <v>0</v>
      </c>
      <c r="H27" s="519"/>
      <c r="I27" s="203"/>
      <c r="J27" s="484">
        <f>H27+I27</f>
        <v>0</v>
      </c>
      <c r="K27" s="518"/>
      <c r="L27" s="203"/>
      <c r="M27" s="203">
        <f>K27+L27</f>
        <v>0</v>
      </c>
      <c r="N27" s="202">
        <f>B27+E27+H27+K27</f>
        <v>0</v>
      </c>
      <c r="O27" s="202">
        <f>C27+F27+I27+L27</f>
        <v>0</v>
      </c>
      <c r="P27" s="202">
        <f>D27+G27+J27+M27</f>
        <v>0</v>
      </c>
      <c r="Q27" s="203"/>
      <c r="R27" s="203"/>
      <c r="S27" s="203">
        <f>Q27+R27</f>
        <v>0</v>
      </c>
      <c r="T27" s="203"/>
      <c r="U27" s="203"/>
      <c r="V27" s="203">
        <f>T27+U27</f>
        <v>0</v>
      </c>
      <c r="W27" s="203"/>
      <c r="X27" s="203"/>
      <c r="Y27" s="203">
        <f>W27+X27</f>
        <v>0</v>
      </c>
      <c r="Z27" s="485"/>
      <c r="AA27" s="511">
        <f>Q27+T27+W27</f>
        <v>0</v>
      </c>
      <c r="AB27" s="202">
        <f>R27+U27+X27</f>
        <v>0</v>
      </c>
      <c r="AC27" s="510">
        <f>S27+V27+Y27</f>
        <v>0</v>
      </c>
      <c r="AD27" s="509">
        <f>N27+AA27</f>
        <v>0</v>
      </c>
      <c r="AE27" s="202">
        <f>O27+AB27</f>
        <v>0</v>
      </c>
      <c r="AF27" s="202">
        <f>P27+AC27</f>
        <v>0</v>
      </c>
      <c r="AG27" s="203"/>
      <c r="AH27" s="203"/>
      <c r="AI27" s="203"/>
      <c r="AJ27" s="508"/>
      <c r="AK27" s="9"/>
    </row>
    <row r="28" spans="1:37" s="37" customFormat="1" ht="24" customHeight="1">
      <c r="A28" s="529" t="s">
        <v>366</v>
      </c>
      <c r="B28" s="524">
        <f>SUM(B23:B26)</f>
        <v>0</v>
      </c>
      <c r="C28" s="524">
        <f>SUM(C23:C26)</f>
        <v>0</v>
      </c>
      <c r="D28" s="524">
        <f>SUM(D23:D26)</f>
        <v>0</v>
      </c>
      <c r="E28" s="524">
        <f>SUM(E23:E26)</f>
        <v>0</v>
      </c>
      <c r="F28" s="524">
        <f>SUM(F23:F26)</f>
        <v>0</v>
      </c>
      <c r="G28" s="524">
        <f>SUM(G23:G26)</f>
        <v>0</v>
      </c>
      <c r="H28" s="524">
        <f>SUM(H23:H26)</f>
        <v>0</v>
      </c>
      <c r="I28" s="524">
        <f>SUM(I23:I26)</f>
        <v>0</v>
      </c>
      <c r="J28" s="524">
        <f>SUM(J23:J26)</f>
        <v>0</v>
      </c>
      <c r="K28" s="524">
        <f>SUM(K23:K26)</f>
        <v>0</v>
      </c>
      <c r="L28" s="524">
        <f>SUM(L23:L26)</f>
        <v>0</v>
      </c>
      <c r="M28" s="524">
        <f>SUM(M23:M26)</f>
        <v>0</v>
      </c>
      <c r="N28" s="524">
        <f>SUM(N23:N26)</f>
        <v>0</v>
      </c>
      <c r="O28" s="524">
        <f>SUM(O23:O26)</f>
        <v>0</v>
      </c>
      <c r="P28" s="524">
        <f>SUM(P23:P26)</f>
        <v>0</v>
      </c>
      <c r="Q28" s="524">
        <f>SUM(Q23:Q26)</f>
        <v>0</v>
      </c>
      <c r="R28" s="524">
        <f>SUM(R23:R26)</f>
        <v>0</v>
      </c>
      <c r="S28" s="524">
        <f>SUM(S23:S26)</f>
        <v>0</v>
      </c>
      <c r="T28" s="524">
        <f>SUM(T23:T26)</f>
        <v>0</v>
      </c>
      <c r="U28" s="524">
        <f>SUM(U23:U26)</f>
        <v>0</v>
      </c>
      <c r="V28" s="524">
        <f>SUM(V23:V26)</f>
        <v>0</v>
      </c>
      <c r="W28" s="524">
        <f>SUM(W23:W26)</f>
        <v>0</v>
      </c>
      <c r="X28" s="524">
        <f>SUM(X23:X26)</f>
        <v>0</v>
      </c>
      <c r="Y28" s="524">
        <f>SUM(Y23:Y26)</f>
        <v>0</v>
      </c>
      <c r="Z28" s="524">
        <f>SUM(Z23:Z26)</f>
        <v>0</v>
      </c>
      <c r="AA28" s="524">
        <f>SUM(AA23:AA26)</f>
        <v>0</v>
      </c>
      <c r="AB28" s="524">
        <f>SUM(AB23:AB26)</f>
        <v>0</v>
      </c>
      <c r="AC28" s="524">
        <f>SUM(AC23:AC26)</f>
        <v>0</v>
      </c>
      <c r="AD28" s="524">
        <f>SUM(AD23:AD26)</f>
        <v>0</v>
      </c>
      <c r="AE28" s="524">
        <f>SUM(AE23:AE26)</f>
        <v>0</v>
      </c>
      <c r="AF28" s="524">
        <f>SUM(AF23:AF26)</f>
        <v>0</v>
      </c>
      <c r="AG28" s="524">
        <f>SUM(AG23:AG26)</f>
        <v>0</v>
      </c>
      <c r="AH28" s="524">
        <f>SUM(AH23:AH26)</f>
        <v>0</v>
      </c>
      <c r="AI28" s="524">
        <f>SUM(AI23:AI26)</f>
        <v>0</v>
      </c>
      <c r="AJ28" s="524">
        <f>SUM(AJ23:AJ26)</f>
        <v>0</v>
      </c>
      <c r="AK28" s="36"/>
    </row>
    <row r="29" spans="1:37" ht="37.5" customHeight="1">
      <c r="A29" s="530" t="s">
        <v>431</v>
      </c>
      <c r="B29" s="203">
        <v>2579562</v>
      </c>
      <c r="C29" s="203"/>
      <c r="D29" s="484">
        <f>B29+C29</f>
        <v>2579562</v>
      </c>
      <c r="E29" s="518"/>
      <c r="F29" s="203"/>
      <c r="G29" s="485">
        <f>E29+F29</f>
        <v>0</v>
      </c>
      <c r="H29" s="519"/>
      <c r="I29" s="203"/>
      <c r="J29" s="484">
        <f>H29+I29</f>
        <v>0</v>
      </c>
      <c r="K29" s="518"/>
      <c r="L29" s="203"/>
      <c r="M29" s="203">
        <f>K29+L29</f>
        <v>0</v>
      </c>
      <c r="N29" s="202">
        <f>B29+E29+H29+K29</f>
        <v>2579562</v>
      </c>
      <c r="O29" s="202">
        <f>C29+F29+I29+L29</f>
        <v>0</v>
      </c>
      <c r="P29" s="202">
        <f>D29+G29+J29+M29</f>
        <v>2579562</v>
      </c>
      <c r="Q29" s="203"/>
      <c r="R29" s="203"/>
      <c r="S29" s="203">
        <f>Q29+R29</f>
        <v>0</v>
      </c>
      <c r="T29" s="203"/>
      <c r="U29" s="203"/>
      <c r="V29" s="203">
        <f>T29+U29</f>
        <v>0</v>
      </c>
      <c r="W29" s="203"/>
      <c r="X29" s="203"/>
      <c r="Y29" s="203">
        <f>W29+X29</f>
        <v>0</v>
      </c>
      <c r="Z29" s="485"/>
      <c r="AA29" s="511">
        <f>Q29+T29+W29</f>
        <v>0</v>
      </c>
      <c r="AB29" s="202">
        <f>R29+U29+X29</f>
        <v>0</v>
      </c>
      <c r="AC29" s="510">
        <f>S29+V29+Y29</f>
        <v>0</v>
      </c>
      <c r="AD29" s="509">
        <f>N29+AA29</f>
        <v>2579562</v>
      </c>
      <c r="AE29" s="202">
        <f>O29+AB29</f>
        <v>0</v>
      </c>
      <c r="AF29" s="202">
        <f>P29+AC29</f>
        <v>2579562</v>
      </c>
      <c r="AG29" s="203"/>
      <c r="AH29" s="203">
        <f>AF29</f>
        <v>2579562</v>
      </c>
      <c r="AI29" s="203"/>
      <c r="AJ29" s="508">
        <f>SUM(AG29:AI29)</f>
        <v>2579562</v>
      </c>
      <c r="AK29" s="9"/>
    </row>
    <row r="30" spans="1:37" ht="24" customHeight="1">
      <c r="A30" s="530" t="s">
        <v>367</v>
      </c>
      <c r="B30" s="203"/>
      <c r="C30" s="203"/>
      <c r="D30" s="484">
        <f>B30+C30</f>
        <v>0</v>
      </c>
      <c r="E30" s="518"/>
      <c r="F30" s="203"/>
      <c r="G30" s="485">
        <f>E30+F30</f>
        <v>0</v>
      </c>
      <c r="H30" s="519"/>
      <c r="I30" s="203"/>
      <c r="J30" s="484">
        <f>H30+I30</f>
        <v>0</v>
      </c>
      <c r="K30" s="518"/>
      <c r="L30" s="203"/>
      <c r="M30" s="203">
        <f>K30+L30</f>
        <v>0</v>
      </c>
      <c r="N30" s="202">
        <f>B30+E30+H30+K30</f>
        <v>0</v>
      </c>
      <c r="O30" s="202">
        <f>C30+F30+I30+L30</f>
        <v>0</v>
      </c>
      <c r="P30" s="202">
        <f>D30+G30+J30+M30</f>
        <v>0</v>
      </c>
      <c r="Q30" s="203"/>
      <c r="R30" s="203"/>
      <c r="S30" s="203">
        <f>Q30+R30</f>
        <v>0</v>
      </c>
      <c r="T30" s="203"/>
      <c r="U30" s="203"/>
      <c r="V30" s="203">
        <f>T30+U30</f>
        <v>0</v>
      </c>
      <c r="W30" s="203"/>
      <c r="X30" s="203"/>
      <c r="Y30" s="203">
        <f>W30+X30</f>
        <v>0</v>
      </c>
      <c r="Z30" s="485"/>
      <c r="AA30" s="511">
        <f>Q30+T30+W30</f>
        <v>0</v>
      </c>
      <c r="AB30" s="202">
        <f>R30+U30+X30</f>
        <v>0</v>
      </c>
      <c r="AC30" s="510">
        <f>S30+V30+Y30</f>
        <v>0</v>
      </c>
      <c r="AD30" s="509">
        <f>N30+AA30</f>
        <v>0</v>
      </c>
      <c r="AE30" s="202">
        <f>O30+AB30</f>
        <v>0</v>
      </c>
      <c r="AF30" s="202">
        <f>P30+AC30</f>
        <v>0</v>
      </c>
      <c r="AG30" s="203"/>
      <c r="AH30" s="203"/>
      <c r="AI30" s="203"/>
      <c r="AJ30" s="508">
        <f>SUM(AG30:AI30)</f>
        <v>0</v>
      </c>
      <c r="AK30" s="9"/>
    </row>
    <row r="31" spans="1:37" ht="24" customHeight="1">
      <c r="A31" s="530" t="s">
        <v>368</v>
      </c>
      <c r="B31" s="203"/>
      <c r="C31" s="203"/>
      <c r="D31" s="484">
        <f>B31+C31</f>
        <v>0</v>
      </c>
      <c r="E31" s="518"/>
      <c r="F31" s="203"/>
      <c r="G31" s="485">
        <f>E31+F31</f>
        <v>0</v>
      </c>
      <c r="H31" s="519"/>
      <c r="I31" s="203"/>
      <c r="J31" s="484">
        <f>H31+I31</f>
        <v>0</v>
      </c>
      <c r="K31" s="518"/>
      <c r="L31" s="203"/>
      <c r="M31" s="203">
        <f>K31+L31</f>
        <v>0</v>
      </c>
      <c r="N31" s="202">
        <f>B31+E31+H31+K31</f>
        <v>0</v>
      </c>
      <c r="O31" s="202">
        <f>C31+F31+I31+L31</f>
        <v>0</v>
      </c>
      <c r="P31" s="202">
        <f>D31+G31+J31+M31</f>
        <v>0</v>
      </c>
      <c r="Q31" s="203"/>
      <c r="R31" s="203"/>
      <c r="S31" s="203">
        <f>Q31+R31</f>
        <v>0</v>
      </c>
      <c r="T31" s="203"/>
      <c r="U31" s="203"/>
      <c r="V31" s="203">
        <f>T31+U31</f>
        <v>0</v>
      </c>
      <c r="W31" s="203"/>
      <c r="X31" s="203"/>
      <c r="Y31" s="203">
        <f>W31+X31</f>
        <v>0</v>
      </c>
      <c r="Z31" s="485"/>
      <c r="AA31" s="511">
        <f>Q31+T31+W31</f>
        <v>0</v>
      </c>
      <c r="AB31" s="202">
        <f>R31+U31+X31</f>
        <v>0</v>
      </c>
      <c r="AC31" s="510">
        <f>S31+V31+Y31</f>
        <v>0</v>
      </c>
      <c r="AD31" s="509">
        <f>N31+AA31</f>
        <v>0</v>
      </c>
      <c r="AE31" s="202">
        <f>O31+AB31</f>
        <v>0</v>
      </c>
      <c r="AF31" s="202">
        <f>P31+AC31</f>
        <v>0</v>
      </c>
      <c r="AG31" s="203"/>
      <c r="AH31" s="203"/>
      <c r="AI31" s="203"/>
      <c r="AJ31" s="508">
        <f>SUM(AG31:AI31)</f>
        <v>0</v>
      </c>
      <c r="AK31" s="9"/>
    </row>
    <row r="32" spans="1:37" s="37" customFormat="1" ht="27" customHeight="1">
      <c r="A32" s="529" t="s">
        <v>369</v>
      </c>
      <c r="B32" s="516">
        <f>SUM(B29:B31)</f>
        <v>2579562</v>
      </c>
      <c r="C32" s="516">
        <f>SUM(C29:C31)</f>
        <v>0</v>
      </c>
      <c r="D32" s="516">
        <f>SUM(D29:D31)</f>
        <v>2579562</v>
      </c>
      <c r="E32" s="516">
        <f>SUM(E29:E31)</f>
        <v>0</v>
      </c>
      <c r="F32" s="516">
        <f>SUM(F29:F31)</f>
        <v>0</v>
      </c>
      <c r="G32" s="516">
        <f>SUM(G29:G31)</f>
        <v>0</v>
      </c>
      <c r="H32" s="516">
        <f>SUM(H29:H31)</f>
        <v>0</v>
      </c>
      <c r="I32" s="516">
        <f>SUM(I29:I31)</f>
        <v>0</v>
      </c>
      <c r="J32" s="516">
        <f>SUM(J29:J31)</f>
        <v>0</v>
      </c>
      <c r="K32" s="516">
        <f>SUM(K29:K31)</f>
        <v>0</v>
      </c>
      <c r="L32" s="516">
        <f>SUM(L29:L31)</f>
        <v>0</v>
      </c>
      <c r="M32" s="516">
        <f>SUM(M29:M31)</f>
        <v>0</v>
      </c>
      <c r="N32" s="516">
        <f>SUM(N29:N31)</f>
        <v>2579562</v>
      </c>
      <c r="O32" s="516">
        <f>SUM(O29:O31)</f>
        <v>0</v>
      </c>
      <c r="P32" s="516">
        <f>SUM(P29:P31)</f>
        <v>2579562</v>
      </c>
      <c r="Q32" s="516">
        <f>SUM(Q29:Q31)</f>
        <v>0</v>
      </c>
      <c r="R32" s="516">
        <f>SUM(R29:R31)</f>
        <v>0</v>
      </c>
      <c r="S32" s="516">
        <f>SUM(S29:S31)</f>
        <v>0</v>
      </c>
      <c r="T32" s="516">
        <f>SUM(T29:T31)</f>
        <v>0</v>
      </c>
      <c r="U32" s="516">
        <f>SUM(U29:U31)</f>
        <v>0</v>
      </c>
      <c r="V32" s="516">
        <f>SUM(V29:V31)</f>
        <v>0</v>
      </c>
      <c r="W32" s="516">
        <f>SUM(W29:W31)</f>
        <v>0</v>
      </c>
      <c r="X32" s="516">
        <f>SUM(X29:X31)</f>
        <v>0</v>
      </c>
      <c r="Y32" s="516">
        <f>SUM(Y29:Y31)</f>
        <v>0</v>
      </c>
      <c r="Z32" s="516">
        <f>SUM(Z29:Z31)</f>
        <v>0</v>
      </c>
      <c r="AA32" s="516">
        <f>SUM(AA29:AA31)</f>
        <v>0</v>
      </c>
      <c r="AB32" s="516">
        <f>SUM(AB29:AB31)</f>
        <v>0</v>
      </c>
      <c r="AC32" s="516">
        <f>SUM(AC29:AC31)</f>
        <v>0</v>
      </c>
      <c r="AD32" s="516">
        <f>SUM(AD29:AD31)</f>
        <v>2579562</v>
      </c>
      <c r="AE32" s="516">
        <f>SUM(AE29:AE31)</f>
        <v>0</v>
      </c>
      <c r="AF32" s="516">
        <f>SUM(AF29:AF31)</f>
        <v>2579562</v>
      </c>
      <c r="AG32" s="516">
        <f>SUM(AG29:AG31)</f>
        <v>0</v>
      </c>
      <c r="AH32" s="516">
        <f>SUM(AH29:AH31)</f>
        <v>2579562</v>
      </c>
      <c r="AI32" s="516">
        <f>SUM(AI29:AI31)</f>
        <v>0</v>
      </c>
      <c r="AJ32" s="516">
        <f>SUM(AJ29:AJ31)</f>
        <v>2579562</v>
      </c>
      <c r="AK32" s="36"/>
    </row>
    <row r="33" spans="1:37" s="37" customFormat="1" ht="25.5">
      <c r="A33" s="529" t="s">
        <v>370</v>
      </c>
      <c r="B33" s="516"/>
      <c r="C33" s="516"/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N33" s="516"/>
      <c r="O33" s="516"/>
      <c r="P33" s="516"/>
      <c r="Q33" s="516"/>
      <c r="R33" s="516"/>
      <c r="S33" s="516"/>
      <c r="T33" s="516"/>
      <c r="U33" s="516"/>
      <c r="V33" s="516"/>
      <c r="W33" s="516"/>
      <c r="X33" s="516"/>
      <c r="Y33" s="516"/>
      <c r="Z33" s="516"/>
      <c r="AA33" s="516"/>
      <c r="AB33" s="516"/>
      <c r="AC33" s="516"/>
      <c r="AD33" s="516"/>
      <c r="AE33" s="516"/>
      <c r="AF33" s="516"/>
      <c r="AG33" s="516"/>
      <c r="AH33" s="516"/>
      <c r="AI33" s="516"/>
      <c r="AJ33" s="516"/>
      <c r="AK33" s="36"/>
    </row>
    <row r="34" spans="1:37" s="37" customFormat="1" ht="12.75">
      <c r="A34" s="529" t="s">
        <v>371</v>
      </c>
      <c r="B34" s="516">
        <v>37203203</v>
      </c>
      <c r="C34" s="516">
        <v>-2579522</v>
      </c>
      <c r="D34" s="516">
        <f>B34+C34</f>
        <v>34623681</v>
      </c>
      <c r="E34" s="516"/>
      <c r="F34" s="516"/>
      <c r="G34" s="516">
        <f>E34+F34</f>
        <v>0</v>
      </c>
      <c r="H34" s="516"/>
      <c r="I34" s="516"/>
      <c r="J34" s="516">
        <f>H34+I34</f>
        <v>0</v>
      </c>
      <c r="K34" s="516"/>
      <c r="L34" s="516"/>
      <c r="M34" s="516">
        <f>K34+L34</f>
        <v>0</v>
      </c>
      <c r="N34" s="524">
        <f>B34+E34+H34+K34</f>
        <v>37203203</v>
      </c>
      <c r="O34" s="524">
        <f>C34+F34+I34+L34</f>
        <v>-2579522</v>
      </c>
      <c r="P34" s="524">
        <f>D34+G34+J34+M34</f>
        <v>34623681</v>
      </c>
      <c r="Q34" s="516"/>
      <c r="R34" s="516"/>
      <c r="S34" s="516">
        <f>Q34+R34</f>
        <v>0</v>
      </c>
      <c r="T34" s="516"/>
      <c r="U34" s="516"/>
      <c r="V34" s="516">
        <f>T34+U34</f>
        <v>0</v>
      </c>
      <c r="W34" s="516"/>
      <c r="X34" s="516"/>
      <c r="Y34" s="516">
        <f>W34+X34</f>
        <v>0</v>
      </c>
      <c r="Z34" s="516"/>
      <c r="AA34" s="528">
        <f>Q34+T34+W34</f>
        <v>0</v>
      </c>
      <c r="AB34" s="527">
        <f>R34+U34+X34</f>
        <v>0</v>
      </c>
      <c r="AC34" s="526">
        <f>S34+V34+Y34</f>
        <v>0</v>
      </c>
      <c r="AD34" s="525">
        <f>N34+AA34</f>
        <v>37203203</v>
      </c>
      <c r="AE34" s="524">
        <f>O34+AB34</f>
        <v>-2579522</v>
      </c>
      <c r="AF34" s="524">
        <f>P34+AC34</f>
        <v>34623681</v>
      </c>
      <c r="AG34" s="516"/>
      <c r="AH34" s="516">
        <f>AF34</f>
        <v>34623681</v>
      </c>
      <c r="AI34" s="516"/>
      <c r="AJ34" s="523">
        <f>SUM(AG34:AI34)</f>
        <v>34623681</v>
      </c>
      <c r="AK34" s="36"/>
    </row>
    <row r="35" spans="1:37" s="37" customFormat="1" ht="21">
      <c r="A35" s="517" t="s">
        <v>379</v>
      </c>
      <c r="B35" s="516">
        <f>176360338-5834400</f>
        <v>170525938</v>
      </c>
      <c r="C35" s="516">
        <f>12466370+3786472+23087</f>
        <v>16275929</v>
      </c>
      <c r="D35" s="516">
        <f>B35+C35</f>
        <v>186801867</v>
      </c>
      <c r="E35" s="516"/>
      <c r="F35" s="516">
        <f>37300000-4000000</f>
        <v>33300000</v>
      </c>
      <c r="G35" s="516">
        <f>E35+F35</f>
        <v>33300000</v>
      </c>
      <c r="H35" s="516"/>
      <c r="I35" s="516"/>
      <c r="J35" s="516">
        <f>H35+I35</f>
        <v>0</v>
      </c>
      <c r="K35" s="516"/>
      <c r="L35" s="516"/>
      <c r="M35" s="516">
        <f>K35+L35</f>
        <v>0</v>
      </c>
      <c r="N35" s="524">
        <f>B35+E35+H35+K35</f>
        <v>170525938</v>
      </c>
      <c r="O35" s="524">
        <f>C35+F35+I35+L35</f>
        <v>49575929</v>
      </c>
      <c r="P35" s="524">
        <f>D35+G35+J35+M35</f>
        <v>220101867</v>
      </c>
      <c r="Q35" s="516"/>
      <c r="R35" s="516"/>
      <c r="S35" s="516">
        <f>Q35+R35</f>
        <v>0</v>
      </c>
      <c r="T35" s="516"/>
      <c r="U35" s="516"/>
      <c r="V35" s="516">
        <f>T35+U35</f>
        <v>0</v>
      </c>
      <c r="W35" s="516"/>
      <c r="X35" s="516"/>
      <c r="Y35" s="516">
        <f>W35+X35</f>
        <v>0</v>
      </c>
      <c r="Z35" s="516"/>
      <c r="AA35" s="528">
        <f>Q35+T35+W35</f>
        <v>0</v>
      </c>
      <c r="AB35" s="527">
        <f>R35+U35+X35</f>
        <v>0</v>
      </c>
      <c r="AC35" s="526">
        <f>S35+V35+Y35</f>
        <v>0</v>
      </c>
      <c r="AD35" s="525">
        <f>N35+AA35</f>
        <v>170525938</v>
      </c>
      <c r="AE35" s="524">
        <f>O35+AB35</f>
        <v>49575929</v>
      </c>
      <c r="AF35" s="524">
        <f>P35+AC35</f>
        <v>220101867</v>
      </c>
      <c r="AG35" s="516"/>
      <c r="AH35" s="516">
        <f>AF35</f>
        <v>220101867</v>
      </c>
      <c r="AI35" s="516"/>
      <c r="AJ35" s="523">
        <f>SUM(AG35:AI35)</f>
        <v>220101867</v>
      </c>
      <c r="AK35" s="36"/>
    </row>
    <row r="36" spans="1:37" s="37" customFormat="1" ht="12.75">
      <c r="A36" s="515" t="s">
        <v>503</v>
      </c>
      <c r="B36" s="203"/>
      <c r="C36" s="203"/>
      <c r="D36" s="484">
        <f>B36+C36</f>
        <v>0</v>
      </c>
      <c r="E36" s="518"/>
      <c r="F36" s="203"/>
      <c r="G36" s="485">
        <f>E36+F36</f>
        <v>0</v>
      </c>
      <c r="H36" s="519"/>
      <c r="I36" s="203"/>
      <c r="J36" s="484">
        <f>H36+I36</f>
        <v>0</v>
      </c>
      <c r="K36" s="518"/>
      <c r="L36" s="203"/>
      <c r="M36" s="203">
        <f>K36+L36</f>
        <v>0</v>
      </c>
      <c r="N36" s="202">
        <f>B36+E36+H36+K36</f>
        <v>0</v>
      </c>
      <c r="O36" s="202">
        <f>C36+F36+I36+L36</f>
        <v>0</v>
      </c>
      <c r="P36" s="202">
        <f>D36+G36+J36+M36</f>
        <v>0</v>
      </c>
      <c r="Q36" s="204"/>
      <c r="R36" s="204"/>
      <c r="S36" s="203">
        <f>Q36+R36</f>
        <v>0</v>
      </c>
      <c r="T36" s="204"/>
      <c r="U36" s="204"/>
      <c r="V36" s="203">
        <f>T36+U36</f>
        <v>0</v>
      </c>
      <c r="W36" s="204"/>
      <c r="X36" s="204"/>
      <c r="Y36" s="203">
        <f>W36+X36</f>
        <v>0</v>
      </c>
      <c r="Z36" s="512"/>
      <c r="AA36" s="522">
        <f>Q36+T36+W36</f>
        <v>0</v>
      </c>
      <c r="AB36" s="521">
        <f>R36+U36+X36</f>
        <v>0</v>
      </c>
      <c r="AC36" s="510">
        <f>S36+V36+Y36</f>
        <v>0</v>
      </c>
      <c r="AD36" s="509">
        <f>N36+AA36</f>
        <v>0</v>
      </c>
      <c r="AE36" s="202">
        <f>O36+AB36</f>
        <v>0</v>
      </c>
      <c r="AF36" s="202">
        <f>P36+AC36</f>
        <v>0</v>
      </c>
      <c r="AG36" s="204"/>
      <c r="AH36" s="204"/>
      <c r="AI36" s="204"/>
      <c r="AJ36" s="508">
        <f>SUM(AG36:AI36)</f>
        <v>0</v>
      </c>
      <c r="AK36" s="36"/>
    </row>
    <row r="37" spans="1:37" s="37" customFormat="1" ht="12.75">
      <c r="A37" s="515" t="s">
        <v>504</v>
      </c>
      <c r="B37" s="203"/>
      <c r="C37" s="203"/>
      <c r="D37" s="484">
        <f>B37+C37</f>
        <v>0</v>
      </c>
      <c r="E37" s="518"/>
      <c r="F37" s="203"/>
      <c r="G37" s="485">
        <f>E37+F37</f>
        <v>0</v>
      </c>
      <c r="H37" s="519"/>
      <c r="I37" s="203"/>
      <c r="J37" s="484">
        <f>H37+I37</f>
        <v>0</v>
      </c>
      <c r="K37" s="518"/>
      <c r="L37" s="203"/>
      <c r="M37" s="203">
        <f>K37+L37</f>
        <v>0</v>
      </c>
      <c r="N37" s="202">
        <f>B37+E37+H37+K37</f>
        <v>0</v>
      </c>
      <c r="O37" s="202">
        <f>C37+F37+I37+L37</f>
        <v>0</v>
      </c>
      <c r="P37" s="202">
        <f>D37+G37+J37+M37</f>
        <v>0</v>
      </c>
      <c r="Q37" s="203">
        <v>26189532</v>
      </c>
      <c r="R37" s="203"/>
      <c r="S37" s="203">
        <f>Q37+R37</f>
        <v>26189532</v>
      </c>
      <c r="T37" s="203"/>
      <c r="U37" s="203"/>
      <c r="V37" s="203">
        <f>T37+U37</f>
        <v>0</v>
      </c>
      <c r="W37" s="204"/>
      <c r="X37" s="204"/>
      <c r="Y37" s="203">
        <f>W37+X37</f>
        <v>0</v>
      </c>
      <c r="Z37" s="512"/>
      <c r="AA37" s="522">
        <f>Q37+T37+W37</f>
        <v>26189532</v>
      </c>
      <c r="AB37" s="521">
        <f>R37+U37+X37</f>
        <v>0</v>
      </c>
      <c r="AC37" s="510">
        <f>S37+V37+Y37</f>
        <v>26189532</v>
      </c>
      <c r="AD37" s="509">
        <f>N37+AA37</f>
        <v>26189532</v>
      </c>
      <c r="AE37" s="202">
        <f>O37+AB37</f>
        <v>0</v>
      </c>
      <c r="AF37" s="202">
        <f>P37+AC37</f>
        <v>26189532</v>
      </c>
      <c r="AG37" s="204"/>
      <c r="AH37" s="204">
        <f>AF37</f>
        <v>26189532</v>
      </c>
      <c r="AI37" s="204"/>
      <c r="AJ37" s="508">
        <f>SUM(AG37:AI37)</f>
        <v>26189532</v>
      </c>
      <c r="AK37" s="36"/>
    </row>
    <row r="38" spans="1:37" s="37" customFormat="1" ht="12.75">
      <c r="A38" s="515" t="s">
        <v>505</v>
      </c>
      <c r="B38" s="203">
        <v>518224</v>
      </c>
      <c r="C38" s="203"/>
      <c r="D38" s="484">
        <f>B38+C38</f>
        <v>518224</v>
      </c>
      <c r="E38" s="518"/>
      <c r="F38" s="203"/>
      <c r="G38" s="485">
        <f>E38+F38</f>
        <v>0</v>
      </c>
      <c r="H38" s="519"/>
      <c r="I38" s="203"/>
      <c r="J38" s="484">
        <f>H38+I38</f>
        <v>0</v>
      </c>
      <c r="K38" s="518"/>
      <c r="L38" s="203"/>
      <c r="M38" s="203">
        <f>K38+L38</f>
        <v>0</v>
      </c>
      <c r="N38" s="202">
        <f>B38+E38+H38+K38</f>
        <v>518224</v>
      </c>
      <c r="O38" s="202">
        <f>C38+F38+I38+L38</f>
        <v>0</v>
      </c>
      <c r="P38" s="202">
        <f>D38+G38+J38+M38</f>
        <v>518224</v>
      </c>
      <c r="Q38" s="203"/>
      <c r="R38" s="203"/>
      <c r="S38" s="203">
        <f>Q38+R38</f>
        <v>0</v>
      </c>
      <c r="T38" s="203"/>
      <c r="U38" s="203"/>
      <c r="V38" s="203">
        <f>T38+U38</f>
        <v>0</v>
      </c>
      <c r="W38" s="204"/>
      <c r="X38" s="204"/>
      <c r="Y38" s="203">
        <f>W38+X38</f>
        <v>0</v>
      </c>
      <c r="Z38" s="512"/>
      <c r="AA38" s="511">
        <f>Q38+T38+W38</f>
        <v>0</v>
      </c>
      <c r="AB38" s="202">
        <f>R38+U38+X38</f>
        <v>0</v>
      </c>
      <c r="AC38" s="510">
        <f>S38+V38+Y38</f>
        <v>0</v>
      </c>
      <c r="AD38" s="509">
        <f>N38+AA38</f>
        <v>518224</v>
      </c>
      <c r="AE38" s="202">
        <f>O38+AB38</f>
        <v>0</v>
      </c>
      <c r="AF38" s="202">
        <f>P38+AC38</f>
        <v>518224</v>
      </c>
      <c r="AG38" s="204"/>
      <c r="AH38" s="204"/>
      <c r="AI38" s="204">
        <f>AF38</f>
        <v>518224</v>
      </c>
      <c r="AJ38" s="508">
        <f>SUM(AG38:AI38)</f>
        <v>518224</v>
      </c>
      <c r="AK38" s="36"/>
    </row>
    <row r="39" spans="1:37" s="37" customFormat="1" ht="12.75">
      <c r="A39" s="515" t="s">
        <v>506</v>
      </c>
      <c r="B39" s="203"/>
      <c r="C39" s="203"/>
      <c r="D39" s="484">
        <f>B39+C39</f>
        <v>0</v>
      </c>
      <c r="E39" s="518"/>
      <c r="F39" s="203"/>
      <c r="G39" s="485">
        <f>E39+F39</f>
        <v>0</v>
      </c>
      <c r="H39" s="519"/>
      <c r="I39" s="203"/>
      <c r="J39" s="484">
        <f>H39+I39</f>
        <v>0</v>
      </c>
      <c r="K39" s="518"/>
      <c r="L39" s="203"/>
      <c r="M39" s="203">
        <f>K39+L39</f>
        <v>0</v>
      </c>
      <c r="N39" s="202">
        <f>B39+E39+H39+K39</f>
        <v>0</v>
      </c>
      <c r="O39" s="202">
        <f>C39+F39+I39+L39</f>
        <v>0</v>
      </c>
      <c r="P39" s="202">
        <f>D39+G39+J39+M39</f>
        <v>0</v>
      </c>
      <c r="Q39" s="203"/>
      <c r="R39" s="203"/>
      <c r="S39" s="203">
        <f>Q39+R39</f>
        <v>0</v>
      </c>
      <c r="T39" s="203"/>
      <c r="U39" s="203"/>
      <c r="V39" s="203">
        <f>T39+U39</f>
        <v>0</v>
      </c>
      <c r="W39" s="204"/>
      <c r="X39" s="204"/>
      <c r="Y39" s="203">
        <f>W39+X39</f>
        <v>0</v>
      </c>
      <c r="Z39" s="512"/>
      <c r="AA39" s="511">
        <f>Q39+T39+W39</f>
        <v>0</v>
      </c>
      <c r="AB39" s="202">
        <f>R39+U39+X39</f>
        <v>0</v>
      </c>
      <c r="AC39" s="510">
        <f>S39+V39+Y39</f>
        <v>0</v>
      </c>
      <c r="AD39" s="509">
        <f>N39+AA39</f>
        <v>0</v>
      </c>
      <c r="AE39" s="202">
        <f>O39+AB39</f>
        <v>0</v>
      </c>
      <c r="AF39" s="202">
        <f>P39+AC39</f>
        <v>0</v>
      </c>
      <c r="AG39" s="204"/>
      <c r="AH39" s="204"/>
      <c r="AI39" s="204">
        <f>AF39</f>
        <v>0</v>
      </c>
      <c r="AJ39" s="508">
        <f>SUM(AG39:AI39)</f>
        <v>0</v>
      </c>
      <c r="AK39" s="36"/>
    </row>
    <row r="40" spans="1:37" s="37" customFormat="1" ht="14.25" customHeight="1">
      <c r="A40" s="515" t="s">
        <v>507</v>
      </c>
      <c r="B40" s="203"/>
      <c r="C40" s="203"/>
      <c r="D40" s="484">
        <f>B40+C40</f>
        <v>0</v>
      </c>
      <c r="E40" s="518"/>
      <c r="F40" s="203"/>
      <c r="G40" s="485">
        <f>E40+F40</f>
        <v>0</v>
      </c>
      <c r="H40" s="519"/>
      <c r="I40" s="203"/>
      <c r="J40" s="484">
        <f>H40+I40</f>
        <v>0</v>
      </c>
      <c r="K40" s="518"/>
      <c r="L40" s="203"/>
      <c r="M40" s="203">
        <f>K40+L40</f>
        <v>0</v>
      </c>
      <c r="N40" s="202">
        <f>B40+E40+H40+K40</f>
        <v>0</v>
      </c>
      <c r="O40" s="202">
        <f>C40+F40+I40+L40</f>
        <v>0</v>
      </c>
      <c r="P40" s="202">
        <f>D40+G40+J40+M40</f>
        <v>0</v>
      </c>
      <c r="Q40" s="203"/>
      <c r="R40" s="203"/>
      <c r="S40" s="203">
        <f>Q40+R40</f>
        <v>0</v>
      </c>
      <c r="T40" s="203"/>
      <c r="U40" s="203"/>
      <c r="V40" s="203">
        <f>T40+U40</f>
        <v>0</v>
      </c>
      <c r="W40" s="204"/>
      <c r="X40" s="204"/>
      <c r="Y40" s="203">
        <f>W40+X40</f>
        <v>0</v>
      </c>
      <c r="Z40" s="512"/>
      <c r="AA40" s="511">
        <f>Q40+T40+W40</f>
        <v>0</v>
      </c>
      <c r="AB40" s="202">
        <f>R40+U40+X40</f>
        <v>0</v>
      </c>
      <c r="AC40" s="510">
        <f>S40+V40+Y40</f>
        <v>0</v>
      </c>
      <c r="AD40" s="509">
        <f>N40+AA40</f>
        <v>0</v>
      </c>
      <c r="AE40" s="202">
        <f>O40+AB40</f>
        <v>0</v>
      </c>
      <c r="AF40" s="202">
        <f>P40+AC40</f>
        <v>0</v>
      </c>
      <c r="AG40" s="204"/>
      <c r="AH40" s="204"/>
      <c r="AI40" s="204">
        <f>AF40</f>
        <v>0</v>
      </c>
      <c r="AJ40" s="508">
        <f>SUM(AG40:AI40)</f>
        <v>0</v>
      </c>
      <c r="AK40" s="36"/>
    </row>
    <row r="41" spans="1:37" s="37" customFormat="1" ht="14.25" customHeight="1">
      <c r="A41" s="515" t="s">
        <v>508</v>
      </c>
      <c r="B41" s="203"/>
      <c r="C41" s="203"/>
      <c r="D41" s="484">
        <f>B41+C41</f>
        <v>0</v>
      </c>
      <c r="E41" s="518"/>
      <c r="F41" s="203"/>
      <c r="G41" s="485">
        <f>E41+F41</f>
        <v>0</v>
      </c>
      <c r="H41" s="519"/>
      <c r="I41" s="203"/>
      <c r="J41" s="484">
        <f>H41+I41</f>
        <v>0</v>
      </c>
      <c r="K41" s="518"/>
      <c r="L41" s="203"/>
      <c r="M41" s="203">
        <f>K41+L41</f>
        <v>0</v>
      </c>
      <c r="N41" s="202">
        <f>B41+E41+H41+K41</f>
        <v>0</v>
      </c>
      <c r="O41" s="202">
        <f>C41+F41+I41+L41</f>
        <v>0</v>
      </c>
      <c r="P41" s="202">
        <f>D41+G41+J41+M41</f>
        <v>0</v>
      </c>
      <c r="Q41" s="203"/>
      <c r="R41" s="203"/>
      <c r="S41" s="203">
        <f>Q41+R41</f>
        <v>0</v>
      </c>
      <c r="T41" s="203"/>
      <c r="U41" s="203"/>
      <c r="V41" s="203">
        <f>T41+U41</f>
        <v>0</v>
      </c>
      <c r="W41" s="204"/>
      <c r="X41" s="204"/>
      <c r="Y41" s="203">
        <f>W41+X41</f>
        <v>0</v>
      </c>
      <c r="Z41" s="512"/>
      <c r="AA41" s="511">
        <f>Q41+T41+W41</f>
        <v>0</v>
      </c>
      <c r="AB41" s="202">
        <f>R41+U41+X41</f>
        <v>0</v>
      </c>
      <c r="AC41" s="510">
        <f>S41+V41+Y41</f>
        <v>0</v>
      </c>
      <c r="AD41" s="509">
        <f>N41+AA41</f>
        <v>0</v>
      </c>
      <c r="AE41" s="202">
        <f>O41+AB41</f>
        <v>0</v>
      </c>
      <c r="AF41" s="202">
        <f>P41+AC41</f>
        <v>0</v>
      </c>
      <c r="AG41" s="204"/>
      <c r="AH41" s="204"/>
      <c r="AI41" s="204">
        <f>AF41</f>
        <v>0</v>
      </c>
      <c r="AJ41" s="508">
        <f>SUM(AG41:AI41)</f>
        <v>0</v>
      </c>
      <c r="AK41" s="36"/>
    </row>
    <row r="42" spans="1:37" s="37" customFormat="1" ht="12.75">
      <c r="A42" s="515" t="s">
        <v>509</v>
      </c>
      <c r="B42" s="203">
        <v>18101169</v>
      </c>
      <c r="C42" s="203"/>
      <c r="D42" s="484">
        <f>B42+C42</f>
        <v>18101169</v>
      </c>
      <c r="E42" s="518"/>
      <c r="F42" s="203"/>
      <c r="G42" s="485">
        <f>E42+F42</f>
        <v>0</v>
      </c>
      <c r="H42" s="519"/>
      <c r="I42" s="203"/>
      <c r="J42" s="484">
        <f>H42+I42</f>
        <v>0</v>
      </c>
      <c r="K42" s="518"/>
      <c r="L42" s="203"/>
      <c r="M42" s="203">
        <f>K42+L42</f>
        <v>0</v>
      </c>
      <c r="N42" s="202">
        <f>B42+E42+H42+K42</f>
        <v>18101169</v>
      </c>
      <c r="O42" s="202">
        <f>C42+F42+I42+L42</f>
        <v>0</v>
      </c>
      <c r="P42" s="202">
        <f>D42+G42+J42+M42</f>
        <v>18101169</v>
      </c>
      <c r="Q42" s="203"/>
      <c r="R42" s="203"/>
      <c r="S42" s="203">
        <f>Q42+R42</f>
        <v>0</v>
      </c>
      <c r="T42" s="203"/>
      <c r="U42" s="203"/>
      <c r="V42" s="203">
        <f>T42+U42</f>
        <v>0</v>
      </c>
      <c r="W42" s="204"/>
      <c r="X42" s="204"/>
      <c r="Y42" s="203">
        <f>W42+X42</f>
        <v>0</v>
      </c>
      <c r="Z42" s="512"/>
      <c r="AA42" s="511">
        <f>Q42+T42+W42</f>
        <v>0</v>
      </c>
      <c r="AB42" s="202">
        <f>R42+U42+X42</f>
        <v>0</v>
      </c>
      <c r="AC42" s="510">
        <f>S42+V42+Y42</f>
        <v>0</v>
      </c>
      <c r="AD42" s="509">
        <f>N42+AA42</f>
        <v>18101169</v>
      </c>
      <c r="AE42" s="202">
        <f>O42+AB42</f>
        <v>0</v>
      </c>
      <c r="AF42" s="202">
        <f>P42+AC42</f>
        <v>18101169</v>
      </c>
      <c r="AG42" s="204"/>
      <c r="AH42" s="204"/>
      <c r="AI42" s="204">
        <f>AF42</f>
        <v>18101169</v>
      </c>
      <c r="AJ42" s="508">
        <f>SUM(AG42:AI42)</f>
        <v>18101169</v>
      </c>
      <c r="AK42" s="36"/>
    </row>
    <row r="43" spans="1:37" s="37" customFormat="1" ht="17.25" customHeight="1">
      <c r="A43" s="515" t="s">
        <v>510</v>
      </c>
      <c r="B43" s="203">
        <v>12866396</v>
      </c>
      <c r="C43" s="203"/>
      <c r="D43" s="484">
        <f>B43+C43</f>
        <v>12866396</v>
      </c>
      <c r="E43" s="518"/>
      <c r="F43" s="203"/>
      <c r="G43" s="485">
        <f>E43+F43</f>
        <v>0</v>
      </c>
      <c r="H43" s="519"/>
      <c r="I43" s="203"/>
      <c r="J43" s="484">
        <f>H43+I43</f>
        <v>0</v>
      </c>
      <c r="K43" s="518"/>
      <c r="L43" s="203"/>
      <c r="M43" s="203">
        <f>K43+L43</f>
        <v>0</v>
      </c>
      <c r="N43" s="202">
        <f>B43+E43+H43+K43</f>
        <v>12866396</v>
      </c>
      <c r="O43" s="202">
        <f>C43+F43+I43+L43</f>
        <v>0</v>
      </c>
      <c r="P43" s="202">
        <f>D43+G43+J43+M43</f>
        <v>12866396</v>
      </c>
      <c r="Q43" s="203"/>
      <c r="R43" s="203"/>
      <c r="S43" s="203">
        <f>Q43+R43</f>
        <v>0</v>
      </c>
      <c r="T43" s="203"/>
      <c r="U43" s="203"/>
      <c r="V43" s="203">
        <f>T43+U43</f>
        <v>0</v>
      </c>
      <c r="W43" s="204"/>
      <c r="X43" s="204"/>
      <c r="Y43" s="203">
        <f>W43+X43</f>
        <v>0</v>
      </c>
      <c r="Z43" s="512"/>
      <c r="AA43" s="511">
        <f>Q43+T43+W43</f>
        <v>0</v>
      </c>
      <c r="AB43" s="202">
        <f>R43+U43+X43</f>
        <v>0</v>
      </c>
      <c r="AC43" s="510">
        <f>S43+V43+Y43</f>
        <v>0</v>
      </c>
      <c r="AD43" s="509">
        <f>N43+AA43</f>
        <v>12866396</v>
      </c>
      <c r="AE43" s="202">
        <f>O43+AB43</f>
        <v>0</v>
      </c>
      <c r="AF43" s="202">
        <f>P43+AC43</f>
        <v>12866396</v>
      </c>
      <c r="AG43" s="204"/>
      <c r="AH43" s="204"/>
      <c r="AI43" s="204">
        <f>AF43</f>
        <v>12866396</v>
      </c>
      <c r="AJ43" s="508">
        <f>SUM(AG43:AI43)</f>
        <v>12866396</v>
      </c>
      <c r="AK43" s="36"/>
    </row>
    <row r="44" spans="1:37" s="37" customFormat="1" ht="22.5" customHeight="1">
      <c r="A44" s="515" t="s">
        <v>511</v>
      </c>
      <c r="B44" s="203"/>
      <c r="C44" s="203"/>
      <c r="D44" s="484">
        <f>B44+C44</f>
        <v>0</v>
      </c>
      <c r="E44" s="518"/>
      <c r="F44" s="203"/>
      <c r="G44" s="485">
        <f>E44+F44</f>
        <v>0</v>
      </c>
      <c r="H44" s="519"/>
      <c r="I44" s="203"/>
      <c r="J44" s="484">
        <f>H44+I44</f>
        <v>0</v>
      </c>
      <c r="K44" s="518"/>
      <c r="L44" s="203"/>
      <c r="M44" s="203">
        <f>K44+L44</f>
        <v>0</v>
      </c>
      <c r="N44" s="202">
        <f>B44+E44+H44+K44</f>
        <v>0</v>
      </c>
      <c r="O44" s="202">
        <f>C44+F44+I44+L44</f>
        <v>0</v>
      </c>
      <c r="P44" s="202">
        <f>D44+G44+J44+M44</f>
        <v>0</v>
      </c>
      <c r="Q44" s="203"/>
      <c r="R44" s="203"/>
      <c r="S44" s="203">
        <f>Q44+R44</f>
        <v>0</v>
      </c>
      <c r="T44" s="203"/>
      <c r="U44" s="203"/>
      <c r="V44" s="203">
        <f>T44+U44</f>
        <v>0</v>
      </c>
      <c r="W44" s="204"/>
      <c r="X44" s="204"/>
      <c r="Y44" s="203">
        <f>W44+X44</f>
        <v>0</v>
      </c>
      <c r="Z44" s="512"/>
      <c r="AA44" s="511">
        <f>Q44+T44+W44</f>
        <v>0</v>
      </c>
      <c r="AB44" s="202">
        <f>R44+U44+X44</f>
        <v>0</v>
      </c>
      <c r="AC44" s="510">
        <f>S44+V44+Y44</f>
        <v>0</v>
      </c>
      <c r="AD44" s="509">
        <f>N44+AA44</f>
        <v>0</v>
      </c>
      <c r="AE44" s="202">
        <f>O44+AB44</f>
        <v>0</v>
      </c>
      <c r="AF44" s="202">
        <f>P44+AC44</f>
        <v>0</v>
      </c>
      <c r="AG44" s="204"/>
      <c r="AH44" s="204"/>
      <c r="AI44" s="204">
        <f>AF44</f>
        <v>0</v>
      </c>
      <c r="AJ44" s="508">
        <f>SUM(AG44:AI44)</f>
        <v>0</v>
      </c>
      <c r="AK44" s="36"/>
    </row>
    <row r="45" spans="1:37" s="37" customFormat="1" ht="17.25" customHeight="1">
      <c r="A45" s="520" t="s">
        <v>512</v>
      </c>
      <c r="B45" s="203">
        <v>27421502</v>
      </c>
      <c r="C45" s="203"/>
      <c r="D45" s="484">
        <f>B45+C45</f>
        <v>27421502</v>
      </c>
      <c r="E45" s="518"/>
      <c r="F45" s="203"/>
      <c r="G45" s="485">
        <f>E45+F45</f>
        <v>0</v>
      </c>
      <c r="H45" s="519"/>
      <c r="I45" s="203"/>
      <c r="J45" s="484">
        <f>H45+I45</f>
        <v>0</v>
      </c>
      <c r="K45" s="518"/>
      <c r="L45" s="203"/>
      <c r="M45" s="203">
        <f>K45+L45</f>
        <v>0</v>
      </c>
      <c r="N45" s="202">
        <f>B45+E45+H45+K45</f>
        <v>27421502</v>
      </c>
      <c r="O45" s="202">
        <f>C45+F45+I45+L45</f>
        <v>0</v>
      </c>
      <c r="P45" s="202">
        <f>D45+G45+J45+M45</f>
        <v>27421502</v>
      </c>
      <c r="Q45" s="203"/>
      <c r="R45" s="203"/>
      <c r="S45" s="203">
        <f>Q45+R45</f>
        <v>0</v>
      </c>
      <c r="T45" s="203"/>
      <c r="U45" s="203"/>
      <c r="V45" s="203">
        <f>T45+U45</f>
        <v>0</v>
      </c>
      <c r="W45" s="204"/>
      <c r="X45" s="204"/>
      <c r="Y45" s="203">
        <f>W45+X45</f>
        <v>0</v>
      </c>
      <c r="Z45" s="512"/>
      <c r="AA45" s="511">
        <f>Q45+T45+W45</f>
        <v>0</v>
      </c>
      <c r="AB45" s="202">
        <f>R45+U45+X45</f>
        <v>0</v>
      </c>
      <c r="AC45" s="510">
        <f>S45+V45+Y45</f>
        <v>0</v>
      </c>
      <c r="AD45" s="509">
        <f>N45+AA45</f>
        <v>27421502</v>
      </c>
      <c r="AE45" s="202">
        <f>O45+AB45</f>
        <v>0</v>
      </c>
      <c r="AF45" s="202">
        <f>P45+AC45</f>
        <v>27421502</v>
      </c>
      <c r="AG45" s="204"/>
      <c r="AH45" s="204"/>
      <c r="AI45" s="204">
        <f>AF45</f>
        <v>27421502</v>
      </c>
      <c r="AJ45" s="508">
        <f>SUM(AG45:AI45)</f>
        <v>27421502</v>
      </c>
      <c r="AK45" s="36"/>
    </row>
    <row r="46" spans="1:37" s="37" customFormat="1" ht="24.75" customHeight="1">
      <c r="A46" s="520" t="s">
        <v>513</v>
      </c>
      <c r="B46" s="203"/>
      <c r="C46" s="203"/>
      <c r="D46" s="484">
        <f>B46+C46</f>
        <v>0</v>
      </c>
      <c r="E46" s="518"/>
      <c r="F46" s="203"/>
      <c r="G46" s="485">
        <f>E46+F46</f>
        <v>0</v>
      </c>
      <c r="H46" s="519"/>
      <c r="I46" s="203"/>
      <c r="J46" s="484">
        <f>H46+I46</f>
        <v>0</v>
      </c>
      <c r="K46" s="518"/>
      <c r="L46" s="203"/>
      <c r="M46" s="203">
        <f>K46+L46</f>
        <v>0</v>
      </c>
      <c r="N46" s="202">
        <f>B46+E46+H46+K46</f>
        <v>0</v>
      </c>
      <c r="O46" s="202">
        <f>C46+F46+I46+L46</f>
        <v>0</v>
      </c>
      <c r="P46" s="202">
        <f>D46+G46+J46+M46</f>
        <v>0</v>
      </c>
      <c r="Q46" s="203"/>
      <c r="R46" s="203"/>
      <c r="S46" s="203">
        <f>Q46+R46</f>
        <v>0</v>
      </c>
      <c r="T46" s="203"/>
      <c r="U46" s="203"/>
      <c r="V46" s="203">
        <f>T46+U46</f>
        <v>0</v>
      </c>
      <c r="W46" s="204"/>
      <c r="X46" s="204"/>
      <c r="Y46" s="203">
        <f>W46+X46</f>
        <v>0</v>
      </c>
      <c r="Z46" s="512"/>
      <c r="AA46" s="511">
        <f>Q46+T46+W46</f>
        <v>0</v>
      </c>
      <c r="AB46" s="202">
        <f>R46+U46+X46</f>
        <v>0</v>
      </c>
      <c r="AC46" s="510">
        <f>S46+V46+Y46</f>
        <v>0</v>
      </c>
      <c r="AD46" s="509">
        <f>N46+AA46</f>
        <v>0</v>
      </c>
      <c r="AE46" s="202">
        <f>O46+AB46</f>
        <v>0</v>
      </c>
      <c r="AF46" s="202">
        <f>P46+AC46</f>
        <v>0</v>
      </c>
      <c r="AG46" s="204"/>
      <c r="AH46" s="204"/>
      <c r="AI46" s="204">
        <f>AF46</f>
        <v>0</v>
      </c>
      <c r="AJ46" s="508">
        <f>SUM(AG46:AI46)</f>
        <v>0</v>
      </c>
      <c r="AK46" s="36"/>
    </row>
    <row r="47" spans="1:37" s="37" customFormat="1" ht="24.75" customHeight="1">
      <c r="A47" s="520" t="s">
        <v>599</v>
      </c>
      <c r="B47" s="203"/>
      <c r="C47" s="203">
        <v>4270952</v>
      </c>
      <c r="D47" s="484">
        <f>B47+C47</f>
        <v>4270952</v>
      </c>
      <c r="E47" s="518"/>
      <c r="F47" s="203"/>
      <c r="G47" s="485">
        <f>E47+F47</f>
        <v>0</v>
      </c>
      <c r="H47" s="519"/>
      <c r="I47" s="203"/>
      <c r="J47" s="484">
        <f>H47+I47</f>
        <v>0</v>
      </c>
      <c r="K47" s="518"/>
      <c r="L47" s="203"/>
      <c r="M47" s="203">
        <f>K47+L47</f>
        <v>0</v>
      </c>
      <c r="N47" s="202">
        <f>B47+E47+H47+K47</f>
        <v>0</v>
      </c>
      <c r="O47" s="202">
        <f>C47+F47+I47+L47</f>
        <v>4270952</v>
      </c>
      <c r="P47" s="202">
        <f>D47+G47+J47+M47</f>
        <v>4270952</v>
      </c>
      <c r="Q47" s="203"/>
      <c r="R47" s="203"/>
      <c r="S47" s="203">
        <f>Q47+R47</f>
        <v>0</v>
      </c>
      <c r="T47" s="203"/>
      <c r="U47" s="203"/>
      <c r="V47" s="203">
        <f>T47+U47</f>
        <v>0</v>
      </c>
      <c r="W47" s="204"/>
      <c r="X47" s="204"/>
      <c r="Y47" s="203">
        <f>W47+X47</f>
        <v>0</v>
      </c>
      <c r="Z47" s="512"/>
      <c r="AA47" s="511">
        <f>Q47+T47+W47</f>
        <v>0</v>
      </c>
      <c r="AB47" s="202">
        <f>R47+U47+X47</f>
        <v>0</v>
      </c>
      <c r="AC47" s="510">
        <f>S47+V47+Y47</f>
        <v>0</v>
      </c>
      <c r="AD47" s="509">
        <f>N47+AA47</f>
        <v>0</v>
      </c>
      <c r="AE47" s="202">
        <f>O47+AB47</f>
        <v>4270952</v>
      </c>
      <c r="AF47" s="202">
        <f>P47+AC47</f>
        <v>4270952</v>
      </c>
      <c r="AG47" s="204"/>
      <c r="AH47" s="204"/>
      <c r="AI47" s="204">
        <f>AF47</f>
        <v>4270952</v>
      </c>
      <c r="AJ47" s="508">
        <f>SUM(AG47:AI47)</f>
        <v>4270952</v>
      </c>
      <c r="AK47" s="36"/>
    </row>
    <row r="48" spans="1:37" s="37" customFormat="1" ht="25.5" customHeight="1">
      <c r="A48" s="517" t="s">
        <v>380</v>
      </c>
      <c r="B48" s="516">
        <f>SUM(B36:B47)</f>
        <v>58907291</v>
      </c>
      <c r="C48" s="506">
        <f>SUM(C45:C47)</f>
        <v>4270952</v>
      </c>
      <c r="D48" s="506">
        <f>SUM(D36:D47)</f>
        <v>63178243</v>
      </c>
      <c r="E48" s="506">
        <f>SUM(E36:E47)</f>
        <v>0</v>
      </c>
      <c r="F48" s="506">
        <f>SUM(F36:F47)</f>
        <v>0</v>
      </c>
      <c r="G48" s="506">
        <f>SUM(G36:G47)</f>
        <v>0</v>
      </c>
      <c r="H48" s="506">
        <f>SUM(H36:H47)</f>
        <v>0</v>
      </c>
      <c r="I48" s="506">
        <f>SUM(I36:I47)</f>
        <v>0</v>
      </c>
      <c r="J48" s="506">
        <f>SUM(J36:J47)</f>
        <v>0</v>
      </c>
      <c r="K48" s="506">
        <f>SUM(K36:K47)</f>
        <v>0</v>
      </c>
      <c r="L48" s="506">
        <f>SUM(L36:L47)</f>
        <v>0</v>
      </c>
      <c r="M48" s="506">
        <f>SUM(M36:M47)</f>
        <v>0</v>
      </c>
      <c r="N48" s="506">
        <f>SUM(N36:N47)</f>
        <v>58907291</v>
      </c>
      <c r="O48" s="506">
        <f>SUM(O36:O47)</f>
        <v>4270952</v>
      </c>
      <c r="P48" s="506">
        <f>SUM(P36:P47)</f>
        <v>63178243</v>
      </c>
      <c r="Q48" s="506">
        <f>SUM(Q36:Q47)</f>
        <v>26189532</v>
      </c>
      <c r="R48" s="506">
        <f>SUM(R36:R47)</f>
        <v>0</v>
      </c>
      <c r="S48" s="506">
        <f>SUM(S36:S47)</f>
        <v>26189532</v>
      </c>
      <c r="T48" s="506">
        <f>SUM(T36:T47)</f>
        <v>0</v>
      </c>
      <c r="U48" s="506">
        <f>SUM(U36:U47)</f>
        <v>0</v>
      </c>
      <c r="V48" s="506">
        <f>SUM(V36:V47)</f>
        <v>0</v>
      </c>
      <c r="W48" s="506">
        <f>SUM(W36:W47)</f>
        <v>0</v>
      </c>
      <c r="X48" s="506">
        <f>SUM(X36:X47)</f>
        <v>0</v>
      </c>
      <c r="Y48" s="506">
        <f>SUM(Y36:Y47)</f>
        <v>0</v>
      </c>
      <c r="Z48" s="506">
        <f>SUM(Z36:Z47)</f>
        <v>0</v>
      </c>
      <c r="AA48" s="506">
        <f>SUM(AA36:AA47)</f>
        <v>26189532</v>
      </c>
      <c r="AB48" s="506">
        <f>SUM(AB36:AB47)</f>
        <v>0</v>
      </c>
      <c r="AC48" s="506">
        <f>SUM(AC36:AC47)</f>
        <v>26189532</v>
      </c>
      <c r="AD48" s="506">
        <f>SUM(AD36:AD47)</f>
        <v>85096823</v>
      </c>
      <c r="AE48" s="506">
        <f>SUM(AE36:AE47)</f>
        <v>4270952</v>
      </c>
      <c r="AF48" s="506">
        <f>SUM(AF36:AF47)</f>
        <v>89367775</v>
      </c>
      <c r="AG48" s="506">
        <f>SUM(AG36:AG47)</f>
        <v>0</v>
      </c>
      <c r="AH48" s="506">
        <f>SUM(AH36:AH47)</f>
        <v>26189532</v>
      </c>
      <c r="AI48" s="506">
        <f>SUM(AI36:AI47)</f>
        <v>63178243</v>
      </c>
      <c r="AJ48" s="506">
        <f>SUM(AJ36:AJ47)</f>
        <v>89367775</v>
      </c>
      <c r="AK48" s="36"/>
    </row>
    <row r="49" spans="1:37" s="37" customFormat="1" ht="32.25" customHeight="1">
      <c r="A49" s="515" t="s">
        <v>514</v>
      </c>
      <c r="B49" s="204"/>
      <c r="C49" s="204">
        <v>63336</v>
      </c>
      <c r="D49" s="484">
        <f>B49+C49</f>
        <v>63336</v>
      </c>
      <c r="E49" s="513"/>
      <c r="F49" s="204"/>
      <c r="G49" s="485">
        <f>E49+F49</f>
        <v>0</v>
      </c>
      <c r="H49" s="514"/>
      <c r="I49" s="204"/>
      <c r="J49" s="484">
        <f>H49+I49</f>
        <v>0</v>
      </c>
      <c r="K49" s="513"/>
      <c r="L49" s="204"/>
      <c r="M49" s="203">
        <f>K49+L49</f>
        <v>0</v>
      </c>
      <c r="N49" s="202">
        <f>B49+E49+H49+K49</f>
        <v>0</v>
      </c>
      <c r="O49" s="202">
        <f>C49+F49+I49+L49</f>
        <v>63336</v>
      </c>
      <c r="P49" s="202">
        <f>D49+G49+J49+M49</f>
        <v>63336</v>
      </c>
      <c r="Q49" s="204"/>
      <c r="R49" s="204">
        <v>1823827</v>
      </c>
      <c r="S49" s="203">
        <f>Q49+R49</f>
        <v>1823827</v>
      </c>
      <c r="T49" s="204"/>
      <c r="U49" s="204"/>
      <c r="V49" s="203">
        <f>T49+U49</f>
        <v>0</v>
      </c>
      <c r="W49" s="204"/>
      <c r="X49" s="204"/>
      <c r="Y49" s="203">
        <f>W49+X49</f>
        <v>0</v>
      </c>
      <c r="Z49" s="512"/>
      <c r="AA49" s="511">
        <f>Q49+T49+W49</f>
        <v>0</v>
      </c>
      <c r="AB49" s="202">
        <f>R49+U49+X49</f>
        <v>1823827</v>
      </c>
      <c r="AC49" s="510">
        <f>S49+V49+Y49</f>
        <v>1823827</v>
      </c>
      <c r="AD49" s="509">
        <f>N49+AA49</f>
        <v>0</v>
      </c>
      <c r="AE49" s="202">
        <f>O49+AB49</f>
        <v>1887163</v>
      </c>
      <c r="AF49" s="202">
        <f>P49+AC49</f>
        <v>1887163</v>
      </c>
      <c r="AG49" s="204"/>
      <c r="AH49" s="204">
        <f>AF49</f>
        <v>1887163</v>
      </c>
      <c r="AI49" s="204"/>
      <c r="AJ49" s="508">
        <f>SUM(AG49:AI49)</f>
        <v>1887163</v>
      </c>
      <c r="AK49" s="36"/>
    </row>
    <row r="50" spans="1:37" s="37" customFormat="1" ht="32.25" customHeight="1">
      <c r="A50" s="515" t="s">
        <v>515</v>
      </c>
      <c r="B50" s="204"/>
      <c r="C50" s="204"/>
      <c r="D50" s="484">
        <f>B50+C50</f>
        <v>0</v>
      </c>
      <c r="E50" s="513"/>
      <c r="F50" s="204"/>
      <c r="G50" s="485">
        <f>E50+F50</f>
        <v>0</v>
      </c>
      <c r="H50" s="514"/>
      <c r="I50" s="204"/>
      <c r="J50" s="484">
        <f>H50+I50</f>
        <v>0</v>
      </c>
      <c r="K50" s="513"/>
      <c r="L50" s="204"/>
      <c r="M50" s="203">
        <f>K50+L50</f>
        <v>0</v>
      </c>
      <c r="N50" s="202">
        <f>B50+E50+H50+K50</f>
        <v>0</v>
      </c>
      <c r="O50" s="202">
        <f>C50+F50+I50+L50</f>
        <v>0</v>
      </c>
      <c r="P50" s="202">
        <f>D50+G50+J50+M50</f>
        <v>0</v>
      </c>
      <c r="Q50" s="204"/>
      <c r="R50" s="204"/>
      <c r="S50" s="203">
        <f>Q50+R50</f>
        <v>0</v>
      </c>
      <c r="T50" s="204"/>
      <c r="U50" s="204"/>
      <c r="V50" s="203">
        <f>T50+U50</f>
        <v>0</v>
      </c>
      <c r="W50" s="204"/>
      <c r="X50" s="204"/>
      <c r="Y50" s="203">
        <f>W50+X50</f>
        <v>0</v>
      </c>
      <c r="Z50" s="512"/>
      <c r="AA50" s="511">
        <f>Q50+T50+W50</f>
        <v>0</v>
      </c>
      <c r="AB50" s="202">
        <f>R50+U50+X50</f>
        <v>0</v>
      </c>
      <c r="AC50" s="510">
        <f>S50+V50+Y50</f>
        <v>0</v>
      </c>
      <c r="AD50" s="509">
        <f>N50+AA50</f>
        <v>0</v>
      </c>
      <c r="AE50" s="202">
        <f>O50+AB50</f>
        <v>0</v>
      </c>
      <c r="AF50" s="202">
        <f>P50+AC50</f>
        <v>0</v>
      </c>
      <c r="AG50" s="204"/>
      <c r="AH50" s="204">
        <f>AF50</f>
        <v>0</v>
      </c>
      <c r="AI50" s="204"/>
      <c r="AJ50" s="508">
        <f>SUM(AG50:AI50)</f>
        <v>0</v>
      </c>
      <c r="AK50" s="36"/>
    </row>
    <row r="51" spans="1:37" s="37" customFormat="1" ht="32.25" customHeight="1">
      <c r="A51" s="515" t="s">
        <v>516</v>
      </c>
      <c r="B51" s="204"/>
      <c r="C51" s="204"/>
      <c r="D51" s="484">
        <f>B51+C51</f>
        <v>0</v>
      </c>
      <c r="E51" s="513"/>
      <c r="F51" s="204"/>
      <c r="G51" s="485">
        <f>E51+F51</f>
        <v>0</v>
      </c>
      <c r="H51" s="514"/>
      <c r="I51" s="204"/>
      <c r="J51" s="484">
        <f>H51+I51</f>
        <v>0</v>
      </c>
      <c r="K51" s="513"/>
      <c r="L51" s="204"/>
      <c r="M51" s="203">
        <f>K51+L51</f>
        <v>0</v>
      </c>
      <c r="N51" s="202">
        <f>B51+E51+H51+K51</f>
        <v>0</v>
      </c>
      <c r="O51" s="202">
        <f>C51+F51+I51+L51</f>
        <v>0</v>
      </c>
      <c r="P51" s="202">
        <f>D51+G51+J51+M51</f>
        <v>0</v>
      </c>
      <c r="Q51" s="204"/>
      <c r="R51" s="204"/>
      <c r="S51" s="203">
        <f>Q51+R51</f>
        <v>0</v>
      </c>
      <c r="T51" s="204"/>
      <c r="U51" s="204"/>
      <c r="V51" s="203">
        <f>T51+U51</f>
        <v>0</v>
      </c>
      <c r="W51" s="204"/>
      <c r="X51" s="204"/>
      <c r="Y51" s="203">
        <f>W51+X51</f>
        <v>0</v>
      </c>
      <c r="Z51" s="512"/>
      <c r="AA51" s="511">
        <f>Q51+T51+W51</f>
        <v>0</v>
      </c>
      <c r="AB51" s="202">
        <f>R51+U51+X51</f>
        <v>0</v>
      </c>
      <c r="AC51" s="510">
        <f>S51+V51+Y51</f>
        <v>0</v>
      </c>
      <c r="AD51" s="509">
        <f>N51+AA51</f>
        <v>0</v>
      </c>
      <c r="AE51" s="202">
        <f>O51+AB51</f>
        <v>0</v>
      </c>
      <c r="AF51" s="202">
        <f>P51+AC51</f>
        <v>0</v>
      </c>
      <c r="AG51" s="204"/>
      <c r="AH51" s="204">
        <f>AF51</f>
        <v>0</v>
      </c>
      <c r="AI51" s="204"/>
      <c r="AJ51" s="508">
        <f>SUM(AG51:AI51)</f>
        <v>0</v>
      </c>
      <c r="AK51" s="36"/>
    </row>
    <row r="52" spans="1:37" s="37" customFormat="1" ht="32.25" customHeight="1" thickBot="1">
      <c r="A52" s="507" t="s">
        <v>517</v>
      </c>
      <c r="B52" s="506">
        <f>SUM(B49:B51)</f>
        <v>0</v>
      </c>
      <c r="C52" s="506">
        <f>SUM(C49:C51)</f>
        <v>63336</v>
      </c>
      <c r="D52" s="506">
        <f>SUM(D49:D51)</f>
        <v>63336</v>
      </c>
      <c r="E52" s="506">
        <f>SUM(E49:E51)</f>
        <v>0</v>
      </c>
      <c r="F52" s="506">
        <f>SUM(F49:F51)</f>
        <v>0</v>
      </c>
      <c r="G52" s="506">
        <f>SUM(G49:G51)</f>
        <v>0</v>
      </c>
      <c r="H52" s="506">
        <f>SUM(H49:H51)</f>
        <v>0</v>
      </c>
      <c r="I52" s="506">
        <f>SUM(I49:I51)</f>
        <v>0</v>
      </c>
      <c r="J52" s="506">
        <f>SUM(J49:J51)</f>
        <v>0</v>
      </c>
      <c r="K52" s="506">
        <f>SUM(K49:K51)</f>
        <v>0</v>
      </c>
      <c r="L52" s="506">
        <f>SUM(L49:L51)</f>
        <v>0</v>
      </c>
      <c r="M52" s="506">
        <f>SUM(M49:M51)</f>
        <v>0</v>
      </c>
      <c r="N52" s="506">
        <f>SUM(N49:N51)</f>
        <v>0</v>
      </c>
      <c r="O52" s="506">
        <f>SUM(O49:O51)</f>
        <v>63336</v>
      </c>
      <c r="P52" s="506">
        <f>SUM(P49:P51)</f>
        <v>63336</v>
      </c>
      <c r="Q52" s="506">
        <f>SUM(Q49:Q51)</f>
        <v>0</v>
      </c>
      <c r="R52" s="506">
        <f>SUM(R49:R51)</f>
        <v>1823827</v>
      </c>
      <c r="S52" s="506">
        <f>SUM(S49:S51)</f>
        <v>1823827</v>
      </c>
      <c r="T52" s="506">
        <f>SUM(T49:T51)</f>
        <v>0</v>
      </c>
      <c r="U52" s="506">
        <f>SUM(U49:U51)</f>
        <v>0</v>
      </c>
      <c r="V52" s="506">
        <f>SUM(V49:V51)</f>
        <v>0</v>
      </c>
      <c r="W52" s="506">
        <f>SUM(W49:W51)</f>
        <v>0</v>
      </c>
      <c r="X52" s="506">
        <f>SUM(X49:X51)</f>
        <v>0</v>
      </c>
      <c r="Y52" s="506">
        <f>SUM(Y49:Y51)</f>
        <v>0</v>
      </c>
      <c r="Z52" s="506">
        <f>SUM(Z49:Z51)</f>
        <v>0</v>
      </c>
      <c r="AA52" s="506">
        <f>SUM(AA49:AA51)</f>
        <v>0</v>
      </c>
      <c r="AB52" s="506">
        <f>SUM(AB49:AB51)</f>
        <v>1823827</v>
      </c>
      <c r="AC52" s="506">
        <f>SUM(AC49:AC51)</f>
        <v>1823827</v>
      </c>
      <c r="AD52" s="506">
        <f>SUM(AD49:AD51)</f>
        <v>0</v>
      </c>
      <c r="AE52" s="506">
        <f>SUM(AE49:AE51)</f>
        <v>1887163</v>
      </c>
      <c r="AF52" s="506">
        <f>SUM(AF49:AF51)</f>
        <v>1887163</v>
      </c>
      <c r="AG52" s="506">
        <f>SUM(AG49:AG51)</f>
        <v>0</v>
      </c>
      <c r="AH52" s="506">
        <f>SUM(AH49:AH51)</f>
        <v>1887163</v>
      </c>
      <c r="AI52" s="506">
        <f>SUM(AI49:AI51)</f>
        <v>0</v>
      </c>
      <c r="AJ52" s="506">
        <f>SUM(AJ49:AJ51)</f>
        <v>1887163</v>
      </c>
      <c r="AK52" s="36"/>
    </row>
    <row r="53" spans="1:37" s="7" customFormat="1" ht="26.25" customHeight="1" thickBot="1">
      <c r="A53" s="475" t="s">
        <v>97</v>
      </c>
      <c r="B53" s="474">
        <f>B7+B17+B22+B32+B33+B34+B28+B35+B48+B52</f>
        <v>276719344</v>
      </c>
      <c r="C53" s="474">
        <f>C7+C17+C22+C32+C33+C34+C28+C35+C48+C52</f>
        <v>25336345</v>
      </c>
      <c r="D53" s="474">
        <f>D7+D17+D22+D32+D33+D34+D28+D35+D48+D52</f>
        <v>302055689</v>
      </c>
      <c r="E53" s="474">
        <f>E7+E17+E22+E32+E33+E34+E28+E35+E48+E52</f>
        <v>0</v>
      </c>
      <c r="F53" s="474">
        <f>F7+F17+F22+F32+F33+F34+F28+F35+F48+F52</f>
        <v>33300000</v>
      </c>
      <c r="G53" s="474">
        <f>G7+G17+G22+G32+G33+G34+G28+G35+G48+G52</f>
        <v>33300000</v>
      </c>
      <c r="H53" s="474">
        <f>H7+H17+H22+H32+H33+H34+H28+H35+H48+H52</f>
        <v>5438630</v>
      </c>
      <c r="I53" s="474">
        <f>I7+I17+I22+I32+I33+I34+I28+I35+I48+I52</f>
        <v>1493000</v>
      </c>
      <c r="J53" s="474">
        <f>J7+J17+J22+J32+J33+J34+J28+J35+J48+J52</f>
        <v>6931630</v>
      </c>
      <c r="K53" s="474">
        <f>K7+K17+K22+K32+K33+K34+K28+K35+K48+K52</f>
        <v>0</v>
      </c>
      <c r="L53" s="474">
        <f>L7+L17+L22+L32+L33+L34+L28+L35+L48+L52</f>
        <v>0</v>
      </c>
      <c r="M53" s="474">
        <f>M7+M17+M22+M32+M33+M34+M28+M35+M48+M52</f>
        <v>0</v>
      </c>
      <c r="N53" s="474">
        <f>N7+N17+N22+N32+N33+N34+N28+N35+N48+N52</f>
        <v>282157974</v>
      </c>
      <c r="O53" s="474">
        <f>O7+O17+O22+O32+O33+O34+O28+O35+O48+O52</f>
        <v>60129345</v>
      </c>
      <c r="P53" s="474">
        <f>P7+P17+P22+P32+P33+P34+P28+P35+P48+P52</f>
        <v>342287319</v>
      </c>
      <c r="Q53" s="474">
        <f>Q7+Q17+Q22+Q32+Q33+Q34+Q28+Q35+Q48+Q52</f>
        <v>26189532</v>
      </c>
      <c r="R53" s="474">
        <f>R7+R17+R22+R32+R33+R34+R28+R35+R48+R52</f>
        <v>1823827</v>
      </c>
      <c r="S53" s="474">
        <f>S7+S17+S22+S32+S33+S34+S28+S35+S48+S52</f>
        <v>28013359</v>
      </c>
      <c r="T53" s="474">
        <f>T7+T17+T22+T32+T33+T34+T28+T35+T48+T52</f>
        <v>0</v>
      </c>
      <c r="U53" s="474">
        <f>U7+U17+U22+U32+U33+U34+U28+U35+U48+U52</f>
        <v>0</v>
      </c>
      <c r="V53" s="474">
        <f>V7+V17+V22+V32+V33+V34+V28+V35+V48+V52</f>
        <v>0</v>
      </c>
      <c r="W53" s="474">
        <f>W7+W17+W22+W32+W33+W34+W28+W35+W48+W52</f>
        <v>0</v>
      </c>
      <c r="X53" s="474">
        <f>X7+X17+X22+X32+X33+X34+X28+X35+X48+X52</f>
        <v>0</v>
      </c>
      <c r="Y53" s="474">
        <f>Y7+Y17+Y22+Y32+Y33+Y34+Y28+Y35+Y48+Y52</f>
        <v>0</v>
      </c>
      <c r="Z53" s="474">
        <f>Z7+Z17+Z22+Z32+Z33+Z34+Z28+Z35+Z48+Z52</f>
        <v>0</v>
      </c>
      <c r="AA53" s="474">
        <f>AA7+AA17+AA22+AA32+AA33+AA34+AA28+AA35+AA48+AA52</f>
        <v>26189532</v>
      </c>
      <c r="AB53" s="474">
        <f>AB7+AB17+AB22+AB32+AB33+AB34+AB28+AB35+AB48+AB52</f>
        <v>1823827</v>
      </c>
      <c r="AC53" s="474">
        <f>AC7+AC17+AC22+AC32+AC33+AC34+AC28+AC35+AC48+AC52</f>
        <v>28013359</v>
      </c>
      <c r="AD53" s="474">
        <f>AD7+AD17+AD22+AD32+AD33+AD34+AD28+AD35+AD48+AD52</f>
        <v>308347506</v>
      </c>
      <c r="AE53" s="474">
        <f>AE7+AE17+AE22+AE32+AE33+AE34+AE28+AE35+AE48+AE52</f>
        <v>61953172</v>
      </c>
      <c r="AF53" s="474">
        <f>AF7+AF17+AF22+AF32+AF33+AF34+AF28+AF35+AF48+AF52</f>
        <v>370300678</v>
      </c>
      <c r="AG53" s="474">
        <f>AG7+AG17+AG22+AG32+AG33+AG34+AG28+AG35+AG48+AG52</f>
        <v>0</v>
      </c>
      <c r="AH53" s="474">
        <f>AH7+AH17+AH22+AH32+AH33+AH34+AH28+AH35+AH48+AH52</f>
        <v>305910435</v>
      </c>
      <c r="AI53" s="474">
        <f>AI7+AI17+AI22+AI32+AI33+AI34+AI28+AI35+AI48+AI52</f>
        <v>64390243</v>
      </c>
      <c r="AJ53" s="474">
        <f>AJ7+AJ17+AJ22+AJ32+AJ33+AJ34+AJ28+AJ35+AJ48+AJ52</f>
        <v>370300678</v>
      </c>
      <c r="AK53" s="10"/>
    </row>
    <row r="54" spans="1:37" ht="17.25" customHeight="1">
      <c r="A54" s="502" t="s">
        <v>304</v>
      </c>
      <c r="B54" s="498"/>
      <c r="C54" s="498"/>
      <c r="D54" s="484">
        <f>B54+C54</f>
        <v>0</v>
      </c>
      <c r="E54" s="500">
        <f>250000+37300000</f>
        <v>37550000</v>
      </c>
      <c r="F54" s="498">
        <v>-37300000</v>
      </c>
      <c r="G54" s="485">
        <f>E54+F54</f>
        <v>250000</v>
      </c>
      <c r="H54" s="501">
        <v>132000</v>
      </c>
      <c r="I54" s="498"/>
      <c r="J54" s="484">
        <f>H54+I54</f>
        <v>132000</v>
      </c>
      <c r="K54" s="500"/>
      <c r="L54" s="498"/>
      <c r="M54" s="203">
        <f>K54+L54</f>
        <v>0</v>
      </c>
      <c r="N54" s="491">
        <f>B54+E54+H54+K54</f>
        <v>37682000</v>
      </c>
      <c r="O54" s="491">
        <f>C54+F54+I54+L54</f>
        <v>-37300000</v>
      </c>
      <c r="P54" s="491">
        <f>D54+G54+J54+M54</f>
        <v>382000</v>
      </c>
      <c r="Q54" s="498"/>
      <c r="R54" s="498"/>
      <c r="S54" s="203">
        <f>Q54+R54</f>
        <v>0</v>
      </c>
      <c r="T54" s="498"/>
      <c r="U54" s="498"/>
      <c r="V54" s="203">
        <f>T54+U54</f>
        <v>0</v>
      </c>
      <c r="W54" s="498"/>
      <c r="X54" s="498"/>
      <c r="Y54" s="203">
        <f>W54+X54</f>
        <v>0</v>
      </c>
      <c r="Z54" s="499"/>
      <c r="AA54" s="492">
        <f>Q49+T49+W49</f>
        <v>0</v>
      </c>
      <c r="AB54" s="491"/>
      <c r="AC54" s="490"/>
      <c r="AD54" s="479">
        <f>N54+AA54</f>
        <v>37682000</v>
      </c>
      <c r="AE54" s="478">
        <f>O54+AB54</f>
        <v>-37300000</v>
      </c>
      <c r="AF54" s="478">
        <f>P54+AC54</f>
        <v>382000</v>
      </c>
      <c r="AG54" s="498"/>
      <c r="AH54" s="498">
        <f>AF54</f>
        <v>382000</v>
      </c>
      <c r="AI54" s="498"/>
      <c r="AJ54" s="497">
        <f>SUM(AG54:AI54)</f>
        <v>382000</v>
      </c>
      <c r="AK54" s="9"/>
    </row>
    <row r="55" spans="1:37" ht="30" customHeight="1" thickBot="1">
      <c r="A55" s="505" t="s">
        <v>430</v>
      </c>
      <c r="B55" s="489">
        <v>1131846</v>
      </c>
      <c r="C55" s="489">
        <v>24121</v>
      </c>
      <c r="D55" s="484">
        <f>B55+C55</f>
        <v>1155967</v>
      </c>
      <c r="E55" s="494"/>
      <c r="F55" s="489"/>
      <c r="G55" s="485">
        <f>E55+F55</f>
        <v>0</v>
      </c>
      <c r="H55" s="495"/>
      <c r="I55" s="489"/>
      <c r="J55" s="484">
        <f>H55+I55</f>
        <v>0</v>
      </c>
      <c r="K55" s="494"/>
      <c r="L55" s="489"/>
      <c r="M55" s="203">
        <f>K55+L55</f>
        <v>0</v>
      </c>
      <c r="N55" s="478">
        <f>B55+E55+H55+K55</f>
        <v>1131846</v>
      </c>
      <c r="O55" s="478">
        <f>C55+F55+I55+L55</f>
        <v>24121</v>
      </c>
      <c r="P55" s="478">
        <f>D55+G55+J55+M55</f>
        <v>1155967</v>
      </c>
      <c r="Q55" s="489"/>
      <c r="R55" s="489"/>
      <c r="S55" s="203">
        <f>Q55+R55</f>
        <v>0</v>
      </c>
      <c r="T55" s="489"/>
      <c r="U55" s="489"/>
      <c r="V55" s="203">
        <f>T55+U55</f>
        <v>0</v>
      </c>
      <c r="W55" s="489"/>
      <c r="X55" s="489"/>
      <c r="Y55" s="203">
        <f>W55+X55</f>
        <v>0</v>
      </c>
      <c r="Z55" s="493"/>
      <c r="AA55" s="504">
        <f>Q50+T50+W50</f>
        <v>0</v>
      </c>
      <c r="AB55" s="478">
        <f>R50+U50+X50</f>
        <v>0</v>
      </c>
      <c r="AC55" s="503">
        <f>S50+V50+Y50</f>
        <v>0</v>
      </c>
      <c r="AD55" s="479">
        <f>N55+AA55</f>
        <v>1131846</v>
      </c>
      <c r="AE55" s="478">
        <f>O55+AB55</f>
        <v>24121</v>
      </c>
      <c r="AF55" s="478">
        <f>P55+AC55</f>
        <v>1155967</v>
      </c>
      <c r="AG55" s="489"/>
      <c r="AH55" s="489">
        <f>AF55</f>
        <v>1155967</v>
      </c>
      <c r="AI55" s="489"/>
      <c r="AJ55" s="488">
        <f>SUM(AG55:AI55)</f>
        <v>1155967</v>
      </c>
      <c r="AK55" s="9"/>
    </row>
    <row r="56" spans="1:37" s="7" customFormat="1" ht="29.25" customHeight="1" thickBot="1">
      <c r="A56" s="475" t="s">
        <v>305</v>
      </c>
      <c r="B56" s="474">
        <f>SUM(B54:B55)</f>
        <v>1131846</v>
      </c>
      <c r="C56" s="474">
        <f>SUM(C54:C55)</f>
        <v>24121</v>
      </c>
      <c r="D56" s="474">
        <f>SUM(D54:D55)</f>
        <v>1155967</v>
      </c>
      <c r="E56" s="474">
        <f>SUM(E54:E55)</f>
        <v>37550000</v>
      </c>
      <c r="F56" s="474">
        <f>SUM(F54:F55)</f>
        <v>-37300000</v>
      </c>
      <c r="G56" s="474">
        <f>SUM(G54:G55)</f>
        <v>250000</v>
      </c>
      <c r="H56" s="474">
        <f>SUM(H54:H55)</f>
        <v>132000</v>
      </c>
      <c r="I56" s="474">
        <f>SUM(I54:I55)</f>
        <v>0</v>
      </c>
      <c r="J56" s="474">
        <f>SUM(J54:J55)</f>
        <v>132000</v>
      </c>
      <c r="K56" s="474">
        <f>SUM(K54:K55)</f>
        <v>0</v>
      </c>
      <c r="L56" s="474">
        <f>SUM(L54:L55)</f>
        <v>0</v>
      </c>
      <c r="M56" s="474">
        <f>SUM(M54:M55)</f>
        <v>0</v>
      </c>
      <c r="N56" s="474">
        <f>SUM(N54:N55)</f>
        <v>38813846</v>
      </c>
      <c r="O56" s="474">
        <f>SUM(O54:O55)</f>
        <v>-37275879</v>
      </c>
      <c r="P56" s="474">
        <f>SUM(P54:P55)</f>
        <v>1537967</v>
      </c>
      <c r="Q56" s="474">
        <f>SUM(Q54:Q55)</f>
        <v>0</v>
      </c>
      <c r="R56" s="474">
        <f>SUM(R54:R55)</f>
        <v>0</v>
      </c>
      <c r="S56" s="474">
        <f>SUM(S54:S55)</f>
        <v>0</v>
      </c>
      <c r="T56" s="474">
        <f>SUM(T54:T55)</f>
        <v>0</v>
      </c>
      <c r="U56" s="474">
        <f>SUM(U54:U55)</f>
        <v>0</v>
      </c>
      <c r="V56" s="474">
        <f>SUM(V54:V55)</f>
        <v>0</v>
      </c>
      <c r="W56" s="474">
        <f>SUM(W54:W55)</f>
        <v>0</v>
      </c>
      <c r="X56" s="474">
        <f>SUM(X54:X55)</f>
        <v>0</v>
      </c>
      <c r="Y56" s="474">
        <f>SUM(Y54:Y55)</f>
        <v>0</v>
      </c>
      <c r="Z56" s="474">
        <f>SUM(Z54:Z55)</f>
        <v>0</v>
      </c>
      <c r="AA56" s="474">
        <f>SUM(AA54:AA55)</f>
        <v>0</v>
      </c>
      <c r="AB56" s="474">
        <f>SUM(AB54:AB55)</f>
        <v>0</v>
      </c>
      <c r="AC56" s="474">
        <f>SUM(AC54:AC55)</f>
        <v>0</v>
      </c>
      <c r="AD56" s="474">
        <f>SUM(AD54:AD55)</f>
        <v>38813846</v>
      </c>
      <c r="AE56" s="474">
        <f>SUM(AE54:AE55)</f>
        <v>-37275879</v>
      </c>
      <c r="AF56" s="474">
        <f>SUM(AF54:AF55)</f>
        <v>1537967</v>
      </c>
      <c r="AG56" s="474">
        <f>SUM(AG54:AG55)</f>
        <v>0</v>
      </c>
      <c r="AH56" s="474">
        <f>SUM(AH54:AH55)</f>
        <v>1537967</v>
      </c>
      <c r="AI56" s="474">
        <f>SUM(AI54:AI55)</f>
        <v>0</v>
      </c>
      <c r="AJ56" s="474">
        <f>SUM(AJ54:AJ55)</f>
        <v>1537967</v>
      </c>
      <c r="AK56" s="10"/>
    </row>
    <row r="57" spans="1:37" ht="12.75">
      <c r="A57" s="502" t="s">
        <v>306</v>
      </c>
      <c r="B57" s="498"/>
      <c r="C57" s="498"/>
      <c r="D57" s="484">
        <f>B57+C57</f>
        <v>0</v>
      </c>
      <c r="E57" s="500"/>
      <c r="F57" s="498"/>
      <c r="G57" s="485">
        <f>E57+F57</f>
        <v>0</v>
      </c>
      <c r="H57" s="501"/>
      <c r="I57" s="498"/>
      <c r="J57" s="484">
        <f>H57+I57</f>
        <v>0</v>
      </c>
      <c r="K57" s="500"/>
      <c r="L57" s="498"/>
      <c r="M57" s="203">
        <f>K57+L57</f>
        <v>0</v>
      </c>
      <c r="N57" s="491">
        <f>B57+E57+H57+K57</f>
        <v>0</v>
      </c>
      <c r="O57" s="491">
        <f>C57+F57+I57+L57</f>
        <v>0</v>
      </c>
      <c r="P57" s="478">
        <f>D57+G57+J57+M57</f>
        <v>0</v>
      </c>
      <c r="Q57" s="498"/>
      <c r="R57" s="498"/>
      <c r="S57" s="203">
        <f>Q57+R57</f>
        <v>0</v>
      </c>
      <c r="T57" s="498"/>
      <c r="U57" s="498"/>
      <c r="V57" s="203">
        <f>T57+U57</f>
        <v>0</v>
      </c>
      <c r="W57" s="498"/>
      <c r="X57" s="498"/>
      <c r="Y57" s="203">
        <f>W57+X57</f>
        <v>0</v>
      </c>
      <c r="Z57" s="499"/>
      <c r="AA57" s="492">
        <f>Q57+T57+V57</f>
        <v>0</v>
      </c>
      <c r="AB57" s="491">
        <f>R57+U57+X57</f>
        <v>0</v>
      </c>
      <c r="AC57" s="490">
        <f>AA57+AB57</f>
        <v>0</v>
      </c>
      <c r="AD57" s="479">
        <f>N57+AA57</f>
        <v>0</v>
      </c>
      <c r="AE57" s="478">
        <f>O57+AB57</f>
        <v>0</v>
      </c>
      <c r="AF57" s="478">
        <f>P57+AC57</f>
        <v>0</v>
      </c>
      <c r="AG57" s="498"/>
      <c r="AH57" s="498">
        <f>AF57</f>
        <v>0</v>
      </c>
      <c r="AI57" s="498"/>
      <c r="AJ57" s="497">
        <f>SUM(AG57:AI57)</f>
        <v>0</v>
      </c>
      <c r="AK57" s="9"/>
    </row>
    <row r="58" spans="1:37" ht="13.5" thickBot="1">
      <c r="A58" s="496" t="s">
        <v>307</v>
      </c>
      <c r="B58" s="489"/>
      <c r="C58" s="489"/>
      <c r="D58" s="484">
        <f>B58+C58</f>
        <v>0</v>
      </c>
      <c r="E58" s="494"/>
      <c r="F58" s="489"/>
      <c r="G58" s="485">
        <f>E58+F58</f>
        <v>0</v>
      </c>
      <c r="H58" s="495">
        <v>18354000</v>
      </c>
      <c r="I58" s="489"/>
      <c r="J58" s="484">
        <f>H58+I58</f>
        <v>18354000</v>
      </c>
      <c r="K58" s="494"/>
      <c r="L58" s="489"/>
      <c r="M58" s="203">
        <f>K58+L58</f>
        <v>0</v>
      </c>
      <c r="N58" s="478">
        <f>B58+E58+H58+K58</f>
        <v>18354000</v>
      </c>
      <c r="O58" s="478">
        <f>C58+F58+I58+L58</f>
        <v>0</v>
      </c>
      <c r="P58" s="478">
        <f>D58+G58+J58+M58</f>
        <v>18354000</v>
      </c>
      <c r="Q58" s="489"/>
      <c r="R58" s="489"/>
      <c r="S58" s="203">
        <f>Q58+R58</f>
        <v>0</v>
      </c>
      <c r="T58" s="489"/>
      <c r="U58" s="489"/>
      <c r="V58" s="203">
        <f>T58+U58</f>
        <v>0</v>
      </c>
      <c r="W58" s="489"/>
      <c r="X58" s="489"/>
      <c r="Y58" s="203">
        <f>W58+X58</f>
        <v>0</v>
      </c>
      <c r="Z58" s="493"/>
      <c r="AA58" s="492">
        <f>Q58+T58+V58</f>
        <v>0</v>
      </c>
      <c r="AB58" s="491">
        <f>R58+U58+X58</f>
        <v>0</v>
      </c>
      <c r="AC58" s="490">
        <f>AA58+AB58</f>
        <v>0</v>
      </c>
      <c r="AD58" s="479">
        <f>N58+AA58</f>
        <v>18354000</v>
      </c>
      <c r="AE58" s="478">
        <f>O58+AB58</f>
        <v>0</v>
      </c>
      <c r="AF58" s="478">
        <f>P58+AC58</f>
        <v>18354000</v>
      </c>
      <c r="AG58" s="489"/>
      <c r="AH58" s="489">
        <f>AF58*0.9</f>
        <v>16518600</v>
      </c>
      <c r="AI58" s="489">
        <f>AF58*0.1</f>
        <v>1835400</v>
      </c>
      <c r="AJ58" s="488">
        <f>SUM(AG58:AI58)</f>
        <v>18354000</v>
      </c>
      <c r="AK58" s="9"/>
    </row>
    <row r="59" spans="1:37" s="7" customFormat="1" ht="26.25" thickBot="1">
      <c r="A59" s="475" t="s">
        <v>552</v>
      </c>
      <c r="B59" s="474">
        <f>SUM(B57:B58)</f>
        <v>0</v>
      </c>
      <c r="C59" s="474">
        <f>SUM(C57:C58)</f>
        <v>0</v>
      </c>
      <c r="D59" s="474">
        <f>SUM(D57:D58)</f>
        <v>0</v>
      </c>
      <c r="E59" s="474">
        <f>SUM(E57:E58)</f>
        <v>0</v>
      </c>
      <c r="F59" s="474">
        <f>SUM(F57:F58)</f>
        <v>0</v>
      </c>
      <c r="G59" s="474">
        <f>SUM(G57:G58)</f>
        <v>0</v>
      </c>
      <c r="H59" s="474">
        <f>SUM(H57:H58)</f>
        <v>18354000</v>
      </c>
      <c r="I59" s="474">
        <f>SUM(I57:I58)</f>
        <v>0</v>
      </c>
      <c r="J59" s="474">
        <f>SUM(J57:J58)</f>
        <v>18354000</v>
      </c>
      <c r="K59" s="474">
        <f>SUM(K57:K58)</f>
        <v>0</v>
      </c>
      <c r="L59" s="474">
        <f>SUM(L57:L58)</f>
        <v>0</v>
      </c>
      <c r="M59" s="474">
        <f>SUM(M57:M58)</f>
        <v>0</v>
      </c>
      <c r="N59" s="474">
        <f>SUM(N57:N58)</f>
        <v>18354000</v>
      </c>
      <c r="O59" s="474">
        <f>SUM(O57:O58)</f>
        <v>0</v>
      </c>
      <c r="P59" s="474">
        <f>SUM(P57:P58)</f>
        <v>18354000</v>
      </c>
      <c r="Q59" s="474">
        <f>SUM(Q57:Q58)</f>
        <v>0</v>
      </c>
      <c r="R59" s="474">
        <f>SUM(R57:R58)</f>
        <v>0</v>
      </c>
      <c r="S59" s="474">
        <f>SUM(S57:S58)</f>
        <v>0</v>
      </c>
      <c r="T59" s="474">
        <f>SUM(T57:T58)</f>
        <v>0</v>
      </c>
      <c r="U59" s="474">
        <f>SUM(U57:U58)</f>
        <v>0</v>
      </c>
      <c r="V59" s="474">
        <f>SUM(V57:V58)</f>
        <v>0</v>
      </c>
      <c r="W59" s="474">
        <f>SUM(W57:W58)</f>
        <v>0</v>
      </c>
      <c r="X59" s="474">
        <f>SUM(X57:X58)</f>
        <v>0</v>
      </c>
      <c r="Y59" s="474">
        <f>SUM(Y57:Y58)</f>
        <v>0</v>
      </c>
      <c r="Z59" s="474">
        <f>SUM(Z57:Z58)</f>
        <v>0</v>
      </c>
      <c r="AA59" s="474">
        <f>SUM(AA57:AA58)</f>
        <v>0</v>
      </c>
      <c r="AB59" s="474">
        <f>SUM(AB57:AB58)</f>
        <v>0</v>
      </c>
      <c r="AC59" s="474">
        <f>SUM(AC57:AC58)</f>
        <v>0</v>
      </c>
      <c r="AD59" s="474">
        <f>SUM(AD57:AD58)</f>
        <v>18354000</v>
      </c>
      <c r="AE59" s="474">
        <f>SUM(AE57:AE58)</f>
        <v>0</v>
      </c>
      <c r="AF59" s="487">
        <f>SUM(AF57:AF58)</f>
        <v>18354000</v>
      </c>
      <c r="AG59" s="474">
        <f>SUM(AG57:AG58)</f>
        <v>0</v>
      </c>
      <c r="AH59" s="474">
        <f>SUM(AH57:AH58)</f>
        <v>16518600</v>
      </c>
      <c r="AI59" s="474">
        <f>SUM(AI57:AI58)</f>
        <v>1835400</v>
      </c>
      <c r="AJ59" s="474">
        <f>SUM(AJ57:AJ58)</f>
        <v>18354000</v>
      </c>
      <c r="AK59" s="10"/>
    </row>
    <row r="60" spans="1:37" ht="13.5" thickBot="1">
      <c r="A60" s="486"/>
      <c r="B60" s="477"/>
      <c r="C60" s="477"/>
      <c r="D60" s="484">
        <f>B60+C60</f>
        <v>0</v>
      </c>
      <c r="E60" s="483"/>
      <c r="F60" s="477"/>
      <c r="G60" s="485">
        <f>E60+F60</f>
        <v>0</v>
      </c>
      <c r="H60" s="481"/>
      <c r="I60" s="477"/>
      <c r="J60" s="484">
        <f>H60+I60</f>
        <v>0</v>
      </c>
      <c r="K60" s="483"/>
      <c r="L60" s="477"/>
      <c r="M60" s="203">
        <f>K60+L60</f>
        <v>0</v>
      </c>
      <c r="N60" s="477"/>
      <c r="O60" s="477"/>
      <c r="P60" s="478">
        <f>D60+G60+J60+M60</f>
        <v>0</v>
      </c>
      <c r="Q60" s="477"/>
      <c r="R60" s="477"/>
      <c r="S60" s="203">
        <f>Q60+R60</f>
        <v>0</v>
      </c>
      <c r="T60" s="477"/>
      <c r="U60" s="477"/>
      <c r="V60" s="203">
        <f>T60+U60</f>
        <v>0</v>
      </c>
      <c r="W60" s="477"/>
      <c r="X60" s="477"/>
      <c r="Y60" s="203">
        <f>W60+X60</f>
        <v>0</v>
      </c>
      <c r="Z60" s="482"/>
      <c r="AA60" s="481"/>
      <c r="AB60" s="477"/>
      <c r="AC60" s="480"/>
      <c r="AD60" s="479">
        <f>N60+AA60</f>
        <v>0</v>
      </c>
      <c r="AE60" s="478">
        <f>O60+AB60</f>
        <v>0</v>
      </c>
      <c r="AF60" s="478">
        <f>P60+AC60</f>
        <v>0</v>
      </c>
      <c r="AG60" s="477"/>
      <c r="AH60" s="477"/>
      <c r="AI60" s="477"/>
      <c r="AJ60" s="476">
        <f>SUM(AG60:AI60)</f>
        <v>0</v>
      </c>
      <c r="AK60" s="9"/>
    </row>
    <row r="61" spans="1:37" s="7" customFormat="1" ht="19.5" customHeight="1" thickBot="1">
      <c r="A61" s="475" t="s">
        <v>99</v>
      </c>
      <c r="B61" s="474">
        <f>B53+B56+B59</f>
        <v>277851190</v>
      </c>
      <c r="C61" s="474">
        <f>C53+C56+C59</f>
        <v>25360466</v>
      </c>
      <c r="D61" s="474">
        <f>D53+D56+D59</f>
        <v>303211656</v>
      </c>
      <c r="E61" s="474">
        <f>E53+E56+E59</f>
        <v>37550000</v>
      </c>
      <c r="F61" s="474">
        <f>F53+F56+F59</f>
        <v>-4000000</v>
      </c>
      <c r="G61" s="474">
        <f>G53+G56+G59</f>
        <v>33550000</v>
      </c>
      <c r="H61" s="474">
        <f>H53+H56+H59</f>
        <v>23924630</v>
      </c>
      <c r="I61" s="474">
        <f>I53+I56+I59</f>
        <v>1493000</v>
      </c>
      <c r="J61" s="474">
        <f>J53+J56+J59</f>
        <v>25417630</v>
      </c>
      <c r="K61" s="474">
        <f>K53+K56+K59</f>
        <v>0</v>
      </c>
      <c r="L61" s="474">
        <f>L53+L56+L59</f>
        <v>0</v>
      </c>
      <c r="M61" s="474">
        <f>M53+M56+M59</f>
        <v>0</v>
      </c>
      <c r="N61" s="474">
        <f>N53+N56+N59</f>
        <v>339325820</v>
      </c>
      <c r="O61" s="474">
        <f>O53+O56+O59</f>
        <v>22853466</v>
      </c>
      <c r="P61" s="474">
        <f>P53+P56+P59</f>
        <v>362179286</v>
      </c>
      <c r="Q61" s="474">
        <f>Q53+Q56+Q59</f>
        <v>26189532</v>
      </c>
      <c r="R61" s="474">
        <f>R53+R56+R59</f>
        <v>1823827</v>
      </c>
      <c r="S61" s="474">
        <f>S53+S56+S59</f>
        <v>28013359</v>
      </c>
      <c r="T61" s="474">
        <f>T53+T56+T59</f>
        <v>0</v>
      </c>
      <c r="U61" s="474">
        <f>U53+U56+U59</f>
        <v>0</v>
      </c>
      <c r="V61" s="474">
        <f>V53+V56+V59</f>
        <v>0</v>
      </c>
      <c r="W61" s="474">
        <f>W53+W56+W59</f>
        <v>0</v>
      </c>
      <c r="X61" s="474">
        <f>X53+X56+X59</f>
        <v>0</v>
      </c>
      <c r="Y61" s="474">
        <f>Y53+Y56+Y59</f>
        <v>0</v>
      </c>
      <c r="Z61" s="474">
        <f>Z53+Z56+Z59</f>
        <v>0</v>
      </c>
      <c r="AA61" s="474">
        <f>AA53+AA56+AA59</f>
        <v>26189532</v>
      </c>
      <c r="AB61" s="474">
        <f>AB53+AB56+AB59</f>
        <v>1823827</v>
      </c>
      <c r="AC61" s="474">
        <f>AC53+AC56+AC59</f>
        <v>28013359</v>
      </c>
      <c r="AD61" s="474">
        <f>AD53+AD56+AD59</f>
        <v>365515352</v>
      </c>
      <c r="AE61" s="474">
        <f>AE53+AE56+AE59</f>
        <v>24677293</v>
      </c>
      <c r="AF61" s="474">
        <f>AF53+AF56+AF59</f>
        <v>390192645</v>
      </c>
      <c r="AG61" s="474">
        <f>AG53+AG56+AG59</f>
        <v>0</v>
      </c>
      <c r="AH61" s="474">
        <f>AH53+AH56+AH59</f>
        <v>323967002</v>
      </c>
      <c r="AI61" s="474">
        <f>AI53+AI56+AI59</f>
        <v>66225643</v>
      </c>
      <c r="AJ61" s="474">
        <f>AJ53+AJ56+AJ59</f>
        <v>390192645</v>
      </c>
      <c r="AK61" s="10"/>
    </row>
    <row r="62" spans="1:37" ht="12.75">
      <c r="A62" s="473"/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9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9"/>
      <c r="AD62" s="199"/>
      <c r="AE62" s="199"/>
      <c r="AF62" s="199"/>
      <c r="AG62" s="198"/>
      <c r="AH62" s="198"/>
      <c r="AI62" s="198"/>
      <c r="AJ62" s="199"/>
      <c r="AK62" s="9"/>
    </row>
    <row r="63" spans="1:37" ht="12.75">
      <c r="A63" s="473"/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9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9"/>
      <c r="AD63" s="199"/>
      <c r="AE63" s="199"/>
      <c r="AF63" s="199"/>
      <c r="AG63" s="198"/>
      <c r="AH63" s="198"/>
      <c r="AI63" s="198"/>
      <c r="AJ63" s="199"/>
      <c r="AK63" s="9"/>
    </row>
    <row r="64" spans="1:37" s="12" customFormat="1" ht="12" customHeight="1">
      <c r="A64" s="472"/>
      <c r="B64" s="472"/>
      <c r="C64" s="472"/>
      <c r="D64" s="472"/>
      <c r="E64" s="472"/>
      <c r="F64" s="472"/>
      <c r="G64" s="472"/>
      <c r="H64" s="472"/>
      <c r="I64" s="472"/>
      <c r="J64" s="472"/>
      <c r="K64" s="472"/>
      <c r="L64" s="471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11"/>
    </row>
  </sheetData>
  <sheetProtection selectLockedCells="1" selectUnlockedCells="1"/>
  <mergeCells count="4">
    <mergeCell ref="A2:K2"/>
    <mergeCell ref="AI1:AJ1"/>
    <mergeCell ref="H3:AJ3"/>
    <mergeCell ref="A64:K64"/>
  </mergeCells>
  <printOptions/>
  <pageMargins left="0.8298611111111112" right="0.5" top="0.53" bottom="0.73" header="0.32" footer="0.5118055555555555"/>
  <pageSetup horizontalDpi="300" verticalDpi="3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8"/>
  <sheetViews>
    <sheetView zoomScale="150" zoomScaleNormal="150" zoomScalePageLayoutView="0" workbookViewId="0" topLeftCell="A2">
      <selection activeCell="A1" sqref="A1:IV1"/>
    </sheetView>
  </sheetViews>
  <sheetFormatPr defaultColWidth="9.00390625" defaultRowHeight="12.75"/>
  <cols>
    <col min="1" max="1" width="45.75390625" style="0" customWidth="1"/>
    <col min="2" max="2" width="12.875" style="0" bestFit="1" customWidth="1"/>
    <col min="3" max="4" width="12.875" style="0" customWidth="1"/>
    <col min="5" max="5" width="12.375" style="0" customWidth="1"/>
    <col min="6" max="6" width="15.875" style="0" customWidth="1"/>
    <col min="7" max="7" width="15.00390625" style="0" customWidth="1"/>
    <col min="8" max="8" width="15.125" style="0" customWidth="1"/>
    <col min="9" max="9" width="16.75390625" style="0" customWidth="1"/>
    <col min="10" max="10" width="16.125" style="0" customWidth="1"/>
    <col min="11" max="12" width="11.875" style="0" customWidth="1"/>
    <col min="13" max="13" width="12.75390625" style="0" customWidth="1"/>
    <col min="14" max="14" width="10.125" style="0" customWidth="1"/>
    <col min="15" max="15" width="9.875" style="0" customWidth="1"/>
    <col min="16" max="16" width="11.375" style="0" customWidth="1"/>
    <col min="17" max="17" width="10.125" style="0" customWidth="1"/>
    <col min="18" max="19" width="10.00390625" style="0" customWidth="1"/>
    <col min="20" max="20" width="9.375" style="0" customWidth="1"/>
    <col min="21" max="21" width="10.125" style="0" customWidth="1"/>
    <col min="22" max="22" width="11.375" style="0" customWidth="1"/>
    <col min="23" max="23" width="12.75390625" style="0" customWidth="1"/>
  </cols>
  <sheetData>
    <row r="1" ht="12.75" hidden="1">
      <c r="A1" t="s">
        <v>634</v>
      </c>
    </row>
    <row r="2" spans="1:13" ht="12.75" customHeight="1">
      <c r="A2" s="549" t="s">
        <v>562</v>
      </c>
      <c r="B2" s="549"/>
      <c r="C2" s="549"/>
      <c r="D2" s="549"/>
      <c r="E2" s="549"/>
      <c r="F2" s="549"/>
      <c r="G2" s="549"/>
      <c r="H2" s="549"/>
      <c r="I2" s="551"/>
      <c r="J2" s="551"/>
      <c r="K2" s="551"/>
      <c r="L2" s="551"/>
      <c r="M2" s="21"/>
    </row>
    <row r="3" spans="1:13" ht="12.75" customHeight="1">
      <c r="A3" s="552"/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</row>
    <row r="4" spans="1:15" ht="18" customHeight="1">
      <c r="A4" s="359" t="s">
        <v>521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13"/>
      <c r="O4" s="14"/>
    </row>
    <row r="5" spans="1:15" ht="18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13"/>
      <c r="O5" s="14"/>
    </row>
    <row r="6" spans="1:15" ht="14.25" customHeight="1">
      <c r="A6" s="359" t="s">
        <v>46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13"/>
      <c r="O6" s="14"/>
    </row>
    <row r="7" spans="1:15" ht="15" customHeight="1" thickBot="1">
      <c r="A7" s="360" t="s">
        <v>394</v>
      </c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13"/>
      <c r="O7" s="15"/>
    </row>
    <row r="8" spans="1:13" ht="15" customHeight="1">
      <c r="A8" s="361" t="s">
        <v>100</v>
      </c>
      <c r="B8" s="363" t="s">
        <v>583</v>
      </c>
      <c r="C8" s="364" t="s">
        <v>584</v>
      </c>
      <c r="D8" s="365" t="s">
        <v>585</v>
      </c>
      <c r="E8" s="366" t="s">
        <v>586</v>
      </c>
      <c r="F8" s="364" t="s">
        <v>587</v>
      </c>
      <c r="G8" s="367" t="s">
        <v>588</v>
      </c>
      <c r="H8" s="368" t="s">
        <v>589</v>
      </c>
      <c r="I8" s="363" t="s">
        <v>590</v>
      </c>
      <c r="J8" s="363" t="s">
        <v>591</v>
      </c>
      <c r="K8" s="364" t="s">
        <v>592</v>
      </c>
      <c r="L8" s="364" t="s">
        <v>593</v>
      </c>
      <c r="M8" s="369" t="s">
        <v>594</v>
      </c>
    </row>
    <row r="9" spans="1:13" ht="10.5" customHeight="1" thickBot="1">
      <c r="A9" s="553"/>
      <c r="B9" s="276"/>
      <c r="C9" s="371"/>
      <c r="D9" s="372"/>
      <c r="E9" s="373"/>
      <c r="F9" s="371"/>
      <c r="G9" s="374"/>
      <c r="H9" s="375"/>
      <c r="I9" s="276"/>
      <c r="J9" s="276"/>
      <c r="K9" s="371"/>
      <c r="L9" s="371"/>
      <c r="M9" s="376"/>
    </row>
    <row r="10" spans="1:13" ht="13.5" customHeight="1">
      <c r="A10" s="554" t="s">
        <v>5</v>
      </c>
      <c r="B10" s="555">
        <v>94548631</v>
      </c>
      <c r="C10" s="555">
        <v>1563336</v>
      </c>
      <c r="D10" s="555">
        <f>B10+C10</f>
        <v>96111967</v>
      </c>
      <c r="E10" s="555">
        <f>27506600+880600</f>
        <v>28387200</v>
      </c>
      <c r="F10" s="555">
        <v>97662</v>
      </c>
      <c r="G10" s="555">
        <f>E10+F10</f>
        <v>28484862</v>
      </c>
      <c r="H10" s="555">
        <v>69647360</v>
      </c>
      <c r="I10" s="555"/>
      <c r="J10" s="555">
        <f>H10+I10</f>
        <v>69647360</v>
      </c>
      <c r="K10" s="555">
        <f>B10+E10+H10</f>
        <v>192583191</v>
      </c>
      <c r="L10" s="555">
        <f>C10+F10+I10</f>
        <v>1660998</v>
      </c>
      <c r="M10" s="556">
        <f aca="true" t="shared" si="0" ref="M10:M46">D10+G10+J10</f>
        <v>194244189</v>
      </c>
    </row>
    <row r="11" spans="1:13" ht="13.5" customHeight="1">
      <c r="A11" s="557" t="s">
        <v>101</v>
      </c>
      <c r="B11" s="205">
        <v>16660298</v>
      </c>
      <c r="C11" s="205">
        <v>182224</v>
      </c>
      <c r="D11" s="555">
        <f aca="true" t="shared" si="1" ref="D11:D46">B11+C11</f>
        <v>16842522</v>
      </c>
      <c r="E11" s="205">
        <f>5080355+167366</f>
        <v>5247721</v>
      </c>
      <c r="F11" s="205">
        <v>14759</v>
      </c>
      <c r="G11" s="555">
        <f aca="true" t="shared" si="2" ref="G11:G46">E11+F11</f>
        <v>5262480</v>
      </c>
      <c r="H11" s="205">
        <v>12578963</v>
      </c>
      <c r="I11" s="205"/>
      <c r="J11" s="555">
        <f aca="true" t="shared" si="3" ref="J11:J46">H11+I11</f>
        <v>12578963</v>
      </c>
      <c r="K11" s="205">
        <f aca="true" t="shared" si="4" ref="K11:L48">B11+E11+H11</f>
        <v>34486982</v>
      </c>
      <c r="L11" s="205">
        <f t="shared" si="4"/>
        <v>196983</v>
      </c>
      <c r="M11" s="558">
        <f t="shared" si="0"/>
        <v>34683965</v>
      </c>
    </row>
    <row r="12" spans="1:13" ht="13.5" customHeight="1">
      <c r="A12" s="559" t="s">
        <v>102</v>
      </c>
      <c r="B12" s="205">
        <v>99322076</v>
      </c>
      <c r="C12" s="205">
        <v>20310342</v>
      </c>
      <c r="D12" s="555">
        <f t="shared" si="1"/>
        <v>119632418</v>
      </c>
      <c r="E12" s="205">
        <f>5556300+83880</f>
        <v>5640180</v>
      </c>
      <c r="F12" s="205">
        <v>-88300</v>
      </c>
      <c r="G12" s="555">
        <f t="shared" si="2"/>
        <v>5551880</v>
      </c>
      <c r="H12" s="205">
        <v>39817873</v>
      </c>
      <c r="I12" s="205">
        <v>13490</v>
      </c>
      <c r="J12" s="555">
        <f t="shared" si="3"/>
        <v>39831363</v>
      </c>
      <c r="K12" s="205">
        <f t="shared" si="4"/>
        <v>144780129</v>
      </c>
      <c r="L12" s="205">
        <f t="shared" si="4"/>
        <v>20235532</v>
      </c>
      <c r="M12" s="558">
        <f t="shared" si="0"/>
        <v>165015661</v>
      </c>
    </row>
    <row r="13" spans="1:13" ht="13.5" customHeight="1">
      <c r="A13" s="560" t="s">
        <v>103</v>
      </c>
      <c r="B13" s="76">
        <v>7000000</v>
      </c>
      <c r="C13" s="76">
        <v>-1700000</v>
      </c>
      <c r="D13" s="555">
        <f t="shared" si="1"/>
        <v>5300000</v>
      </c>
      <c r="E13" s="76"/>
      <c r="F13" s="76"/>
      <c r="G13" s="555">
        <f t="shared" si="2"/>
        <v>0</v>
      </c>
      <c r="H13" s="76"/>
      <c r="I13" s="76"/>
      <c r="J13" s="555">
        <f t="shared" si="3"/>
        <v>0</v>
      </c>
      <c r="K13" s="205">
        <f t="shared" si="4"/>
        <v>7000000</v>
      </c>
      <c r="L13" s="205">
        <f t="shared" si="4"/>
        <v>-1700000</v>
      </c>
      <c r="M13" s="558">
        <f t="shared" si="0"/>
        <v>5300000</v>
      </c>
    </row>
    <row r="14" spans="1:13" ht="13.5" customHeight="1">
      <c r="A14" s="559" t="s">
        <v>104</v>
      </c>
      <c r="B14" s="76">
        <v>10700590</v>
      </c>
      <c r="C14" s="76">
        <v>2770251</v>
      </c>
      <c r="D14" s="555">
        <f t="shared" si="1"/>
        <v>13470841</v>
      </c>
      <c r="E14" s="76"/>
      <c r="F14" s="76"/>
      <c r="G14" s="555">
        <f t="shared" si="2"/>
        <v>0</v>
      </c>
      <c r="H14" s="76">
        <v>150000</v>
      </c>
      <c r="I14" s="76"/>
      <c r="J14" s="555">
        <f t="shared" si="3"/>
        <v>150000</v>
      </c>
      <c r="K14" s="205">
        <f t="shared" si="4"/>
        <v>10850590</v>
      </c>
      <c r="L14" s="205">
        <f t="shared" si="4"/>
        <v>2770251</v>
      </c>
      <c r="M14" s="558">
        <f t="shared" si="0"/>
        <v>13620841</v>
      </c>
    </row>
    <row r="15" spans="1:13" ht="13.5" customHeight="1">
      <c r="A15" s="561" t="s">
        <v>105</v>
      </c>
      <c r="B15" s="158"/>
      <c r="C15" s="158"/>
      <c r="D15" s="555">
        <f t="shared" si="1"/>
        <v>0</v>
      </c>
      <c r="E15" s="76"/>
      <c r="F15" s="76"/>
      <c r="G15" s="555">
        <f t="shared" si="2"/>
        <v>0</v>
      </c>
      <c r="H15" s="76"/>
      <c r="I15" s="76"/>
      <c r="J15" s="555">
        <f t="shared" si="3"/>
        <v>0</v>
      </c>
      <c r="K15" s="205">
        <f t="shared" si="4"/>
        <v>0</v>
      </c>
      <c r="L15" s="205">
        <f t="shared" si="4"/>
        <v>0</v>
      </c>
      <c r="M15" s="558">
        <f t="shared" si="0"/>
        <v>0</v>
      </c>
    </row>
    <row r="16" spans="1:13" ht="13.5" customHeight="1">
      <c r="A16" s="562" t="s">
        <v>536</v>
      </c>
      <c r="B16" s="563">
        <v>3672448</v>
      </c>
      <c r="C16" s="206"/>
      <c r="D16" s="555">
        <f t="shared" si="1"/>
        <v>3672448</v>
      </c>
      <c r="E16" s="206"/>
      <c r="F16" s="206"/>
      <c r="G16" s="555">
        <f t="shared" si="2"/>
        <v>0</v>
      </c>
      <c r="H16" s="206"/>
      <c r="I16" s="206"/>
      <c r="J16" s="555">
        <f t="shared" si="3"/>
        <v>0</v>
      </c>
      <c r="K16" s="205">
        <f t="shared" si="4"/>
        <v>3672448</v>
      </c>
      <c r="L16" s="205">
        <f t="shared" si="4"/>
        <v>0</v>
      </c>
      <c r="M16" s="558">
        <f t="shared" si="0"/>
        <v>3672448</v>
      </c>
    </row>
    <row r="17" spans="1:13" ht="13.5" customHeight="1" thickBot="1">
      <c r="A17" s="564"/>
      <c r="B17" s="210"/>
      <c r="C17" s="210"/>
      <c r="D17" s="555">
        <f t="shared" si="1"/>
        <v>0</v>
      </c>
      <c r="E17" s="210"/>
      <c r="F17" s="210"/>
      <c r="G17" s="555">
        <f t="shared" si="2"/>
        <v>0</v>
      </c>
      <c r="H17" s="210"/>
      <c r="I17" s="210"/>
      <c r="J17" s="555">
        <f t="shared" si="3"/>
        <v>0</v>
      </c>
      <c r="K17" s="565">
        <f t="shared" si="4"/>
        <v>0</v>
      </c>
      <c r="L17" s="565">
        <f t="shared" si="4"/>
        <v>0</v>
      </c>
      <c r="M17" s="566">
        <f t="shared" si="0"/>
        <v>0</v>
      </c>
    </row>
    <row r="18" spans="1:13" ht="13.5" customHeight="1" thickBot="1">
      <c r="A18" s="567" t="s">
        <v>106</v>
      </c>
      <c r="B18" s="568">
        <f aca="true" t="shared" si="5" ref="B18:J18">SUM(B10:B14)</f>
        <v>228231595</v>
      </c>
      <c r="C18" s="568">
        <f t="shared" si="5"/>
        <v>23126153</v>
      </c>
      <c r="D18" s="568">
        <f t="shared" si="5"/>
        <v>251357748</v>
      </c>
      <c r="E18" s="568">
        <f t="shared" si="5"/>
        <v>39275101</v>
      </c>
      <c r="F18" s="568">
        <f t="shared" si="5"/>
        <v>24121</v>
      </c>
      <c r="G18" s="568">
        <f t="shared" si="5"/>
        <v>39299222</v>
      </c>
      <c r="H18" s="568">
        <f t="shared" si="5"/>
        <v>122194196</v>
      </c>
      <c r="I18" s="568">
        <f t="shared" si="5"/>
        <v>13490</v>
      </c>
      <c r="J18" s="568">
        <f t="shared" si="5"/>
        <v>122207686</v>
      </c>
      <c r="K18" s="569">
        <f t="shared" si="4"/>
        <v>389700892</v>
      </c>
      <c r="L18" s="569">
        <f t="shared" si="4"/>
        <v>23163764</v>
      </c>
      <c r="M18" s="570">
        <f t="shared" si="0"/>
        <v>412864656</v>
      </c>
    </row>
    <row r="19" spans="1:13" ht="13.5" customHeight="1">
      <c r="A19" s="571"/>
      <c r="B19" s="211"/>
      <c r="C19" s="211"/>
      <c r="D19" s="555">
        <f t="shared" si="1"/>
        <v>0</v>
      </c>
      <c r="E19" s="211"/>
      <c r="F19" s="211"/>
      <c r="G19" s="555">
        <f t="shared" si="2"/>
        <v>0</v>
      </c>
      <c r="H19" s="211"/>
      <c r="I19" s="211"/>
      <c r="J19" s="555">
        <f t="shared" si="3"/>
        <v>0</v>
      </c>
      <c r="K19" s="555">
        <f t="shared" si="4"/>
        <v>0</v>
      </c>
      <c r="L19" s="555">
        <f t="shared" si="4"/>
        <v>0</v>
      </c>
      <c r="M19" s="556">
        <f t="shared" si="0"/>
        <v>0</v>
      </c>
    </row>
    <row r="20" spans="1:13" ht="13.5" customHeight="1">
      <c r="A20" s="562" t="s">
        <v>107</v>
      </c>
      <c r="B20" s="74"/>
      <c r="C20" s="74"/>
      <c r="D20" s="555">
        <f t="shared" si="1"/>
        <v>0</v>
      </c>
      <c r="E20" s="207"/>
      <c r="F20" s="207"/>
      <c r="G20" s="555">
        <f t="shared" si="2"/>
        <v>0</v>
      </c>
      <c r="H20" s="207"/>
      <c r="I20" s="207"/>
      <c r="J20" s="555">
        <f t="shared" si="3"/>
        <v>0</v>
      </c>
      <c r="K20" s="205">
        <f t="shared" si="4"/>
        <v>0</v>
      </c>
      <c r="L20" s="205">
        <f t="shared" si="4"/>
        <v>0</v>
      </c>
      <c r="M20" s="558">
        <f t="shared" si="0"/>
        <v>0</v>
      </c>
    </row>
    <row r="21" spans="1:13" ht="13.5" customHeight="1">
      <c r="A21" s="562" t="s">
        <v>108</v>
      </c>
      <c r="B21" s="74"/>
      <c r="C21" s="74"/>
      <c r="D21" s="555">
        <f t="shared" si="1"/>
        <v>0</v>
      </c>
      <c r="E21" s="207"/>
      <c r="F21" s="207"/>
      <c r="G21" s="555">
        <f t="shared" si="2"/>
        <v>0</v>
      </c>
      <c r="H21" s="207"/>
      <c r="I21" s="207"/>
      <c r="J21" s="555">
        <f t="shared" si="3"/>
        <v>0</v>
      </c>
      <c r="K21" s="205">
        <f t="shared" si="4"/>
        <v>0</v>
      </c>
      <c r="L21" s="205">
        <f t="shared" si="4"/>
        <v>0</v>
      </c>
      <c r="M21" s="558">
        <f t="shared" si="0"/>
        <v>0</v>
      </c>
    </row>
    <row r="22" spans="1:13" ht="13.5" customHeight="1">
      <c r="A22" s="572" t="s">
        <v>109</v>
      </c>
      <c r="B22" s="208"/>
      <c r="C22" s="208"/>
      <c r="D22" s="555">
        <f t="shared" si="1"/>
        <v>0</v>
      </c>
      <c r="E22" s="207"/>
      <c r="F22" s="207"/>
      <c r="G22" s="555">
        <f t="shared" si="2"/>
        <v>0</v>
      </c>
      <c r="H22" s="207"/>
      <c r="I22" s="207"/>
      <c r="J22" s="555">
        <f t="shared" si="3"/>
        <v>0</v>
      </c>
      <c r="K22" s="205">
        <f t="shared" si="4"/>
        <v>0</v>
      </c>
      <c r="L22" s="205">
        <f t="shared" si="4"/>
        <v>0</v>
      </c>
      <c r="M22" s="558">
        <f t="shared" si="0"/>
        <v>0</v>
      </c>
    </row>
    <row r="23" spans="1:13" ht="13.5" customHeight="1">
      <c r="A23" s="562" t="s">
        <v>110</v>
      </c>
      <c r="B23" s="573">
        <v>6972496</v>
      </c>
      <c r="C23" s="573"/>
      <c r="D23" s="555">
        <f t="shared" si="1"/>
        <v>6972496</v>
      </c>
      <c r="E23" s="161"/>
      <c r="F23" s="161"/>
      <c r="G23" s="555">
        <f t="shared" si="2"/>
        <v>0</v>
      </c>
      <c r="H23" s="161"/>
      <c r="I23" s="161"/>
      <c r="J23" s="555">
        <f t="shared" si="3"/>
        <v>0</v>
      </c>
      <c r="K23" s="205">
        <f t="shared" si="4"/>
        <v>6972496</v>
      </c>
      <c r="L23" s="205">
        <f t="shared" si="4"/>
        <v>0</v>
      </c>
      <c r="M23" s="558">
        <f t="shared" si="0"/>
        <v>6972496</v>
      </c>
    </row>
    <row r="24" spans="1:13" ht="13.5" customHeight="1">
      <c r="A24" s="562" t="s">
        <v>111</v>
      </c>
      <c r="B24" s="76"/>
      <c r="C24" s="76"/>
      <c r="D24" s="555">
        <f t="shared" si="1"/>
        <v>0</v>
      </c>
      <c r="E24" s="45"/>
      <c r="F24" s="45"/>
      <c r="G24" s="555">
        <f t="shared" si="2"/>
        <v>0</v>
      </c>
      <c r="H24" s="45"/>
      <c r="I24" s="45"/>
      <c r="J24" s="555">
        <f t="shared" si="3"/>
        <v>0</v>
      </c>
      <c r="K24" s="205">
        <f t="shared" si="4"/>
        <v>0</v>
      </c>
      <c r="L24" s="205">
        <f t="shared" si="4"/>
        <v>0</v>
      </c>
      <c r="M24" s="558">
        <f t="shared" si="0"/>
        <v>0</v>
      </c>
    </row>
    <row r="25" spans="1:13" ht="13.5" customHeight="1">
      <c r="A25" s="562" t="s">
        <v>112</v>
      </c>
      <c r="B25" s="76"/>
      <c r="C25" s="76"/>
      <c r="D25" s="555">
        <f t="shared" si="1"/>
        <v>0</v>
      </c>
      <c r="E25" s="161"/>
      <c r="F25" s="161"/>
      <c r="G25" s="555">
        <f t="shared" si="2"/>
        <v>0</v>
      </c>
      <c r="H25" s="161"/>
      <c r="I25" s="161"/>
      <c r="J25" s="555">
        <f t="shared" si="3"/>
        <v>0</v>
      </c>
      <c r="K25" s="205">
        <f t="shared" si="4"/>
        <v>0</v>
      </c>
      <c r="L25" s="205">
        <f t="shared" si="4"/>
        <v>0</v>
      </c>
      <c r="M25" s="558">
        <f t="shared" si="0"/>
        <v>0</v>
      </c>
    </row>
    <row r="26" spans="1:13" ht="13.5" customHeight="1" thickBot="1">
      <c r="A26" s="574" t="s">
        <v>113</v>
      </c>
      <c r="B26" s="159"/>
      <c r="C26" s="159"/>
      <c r="D26" s="555">
        <f t="shared" si="1"/>
        <v>0</v>
      </c>
      <c r="E26" s="214"/>
      <c r="F26" s="214"/>
      <c r="G26" s="555">
        <f t="shared" si="2"/>
        <v>0</v>
      </c>
      <c r="H26" s="214"/>
      <c r="I26" s="214"/>
      <c r="J26" s="555">
        <f t="shared" si="3"/>
        <v>0</v>
      </c>
      <c r="K26" s="565">
        <f t="shared" si="4"/>
        <v>0</v>
      </c>
      <c r="L26" s="565">
        <f t="shared" si="4"/>
        <v>0</v>
      </c>
      <c r="M26" s="566">
        <f t="shared" si="0"/>
        <v>0</v>
      </c>
    </row>
    <row r="27" spans="1:13" ht="13.5" customHeight="1" thickBot="1">
      <c r="A27" s="567" t="s">
        <v>114</v>
      </c>
      <c r="B27" s="568">
        <f aca="true" t="shared" si="6" ref="B27:J27">SUM(B20:B26)</f>
        <v>6972496</v>
      </c>
      <c r="C27" s="568">
        <f t="shared" si="6"/>
        <v>0</v>
      </c>
      <c r="D27" s="568">
        <f t="shared" si="6"/>
        <v>6972496</v>
      </c>
      <c r="E27" s="568">
        <f t="shared" si="6"/>
        <v>0</v>
      </c>
      <c r="F27" s="568">
        <f t="shared" si="6"/>
        <v>0</v>
      </c>
      <c r="G27" s="568">
        <f t="shared" si="6"/>
        <v>0</v>
      </c>
      <c r="H27" s="568">
        <f t="shared" si="6"/>
        <v>0</v>
      </c>
      <c r="I27" s="568">
        <f t="shared" si="6"/>
        <v>0</v>
      </c>
      <c r="J27" s="568">
        <f t="shared" si="6"/>
        <v>0</v>
      </c>
      <c r="K27" s="575">
        <f t="shared" si="4"/>
        <v>6972496</v>
      </c>
      <c r="L27" s="575">
        <f t="shared" si="4"/>
        <v>0</v>
      </c>
      <c r="M27" s="576">
        <f t="shared" si="0"/>
        <v>6972496</v>
      </c>
    </row>
    <row r="28" spans="1:13" ht="13.5" customHeight="1" thickBot="1">
      <c r="A28" s="577"/>
      <c r="B28" s="215"/>
      <c r="C28" s="215"/>
      <c r="D28" s="555">
        <f t="shared" si="1"/>
        <v>0</v>
      </c>
      <c r="E28" s="215"/>
      <c r="F28" s="215"/>
      <c r="G28" s="555">
        <f t="shared" si="2"/>
        <v>0</v>
      </c>
      <c r="H28" s="215"/>
      <c r="I28" s="215"/>
      <c r="J28" s="555">
        <f t="shared" si="3"/>
        <v>0</v>
      </c>
      <c r="K28" s="578">
        <f t="shared" si="4"/>
        <v>0</v>
      </c>
      <c r="L28" s="578">
        <f t="shared" si="4"/>
        <v>0</v>
      </c>
      <c r="M28" s="579">
        <f t="shared" si="0"/>
        <v>0</v>
      </c>
    </row>
    <row r="29" spans="1:13" ht="13.5" customHeight="1" thickBot="1">
      <c r="A29" s="567" t="s">
        <v>21</v>
      </c>
      <c r="B29" s="568">
        <f aca="true" t="shared" si="7" ref="B29:J29">B18+B27</f>
        <v>235204091</v>
      </c>
      <c r="C29" s="568">
        <f t="shared" si="7"/>
        <v>23126153</v>
      </c>
      <c r="D29" s="568">
        <f t="shared" si="7"/>
        <v>258330244</v>
      </c>
      <c r="E29" s="568">
        <f t="shared" si="7"/>
        <v>39275101</v>
      </c>
      <c r="F29" s="568">
        <f t="shared" si="7"/>
        <v>24121</v>
      </c>
      <c r="G29" s="568">
        <f t="shared" si="7"/>
        <v>39299222</v>
      </c>
      <c r="H29" s="568">
        <f t="shared" si="7"/>
        <v>122194196</v>
      </c>
      <c r="I29" s="568">
        <f t="shared" si="7"/>
        <v>13490</v>
      </c>
      <c r="J29" s="568">
        <f t="shared" si="7"/>
        <v>122207686</v>
      </c>
      <c r="K29" s="569">
        <f t="shared" si="4"/>
        <v>396673388</v>
      </c>
      <c r="L29" s="569">
        <f t="shared" si="4"/>
        <v>23163764</v>
      </c>
      <c r="M29" s="570">
        <f t="shared" si="0"/>
        <v>419837152</v>
      </c>
    </row>
    <row r="30" spans="1:13" ht="13.5" customHeight="1">
      <c r="A30" s="571"/>
      <c r="B30" s="213"/>
      <c r="C30" s="213"/>
      <c r="D30" s="555">
        <f t="shared" si="1"/>
        <v>0</v>
      </c>
      <c r="E30" s="213"/>
      <c r="F30" s="213"/>
      <c r="G30" s="555">
        <f t="shared" si="2"/>
        <v>0</v>
      </c>
      <c r="H30" s="213"/>
      <c r="I30" s="213"/>
      <c r="J30" s="555">
        <f t="shared" si="3"/>
        <v>0</v>
      </c>
      <c r="K30" s="555">
        <f t="shared" si="4"/>
        <v>0</v>
      </c>
      <c r="L30" s="555">
        <f t="shared" si="4"/>
        <v>0</v>
      </c>
      <c r="M30" s="556">
        <f t="shared" si="0"/>
        <v>0</v>
      </c>
    </row>
    <row r="31" spans="1:13" ht="13.5" customHeight="1">
      <c r="A31" s="562" t="s">
        <v>23</v>
      </c>
      <c r="B31" s="76">
        <v>706302694</v>
      </c>
      <c r="C31" s="76">
        <v>-15850040</v>
      </c>
      <c r="D31" s="555">
        <f t="shared" si="1"/>
        <v>690452654</v>
      </c>
      <c r="E31" s="48">
        <f>3020000-2000000</f>
        <v>1020000</v>
      </c>
      <c r="F31" s="48">
        <v>-400000</v>
      </c>
      <c r="G31" s="555">
        <f t="shared" si="2"/>
        <v>620000</v>
      </c>
      <c r="H31" s="48">
        <f>1721800-545000-242022-65346</f>
        <v>869432</v>
      </c>
      <c r="I31" s="48"/>
      <c r="J31" s="555">
        <f t="shared" si="3"/>
        <v>869432</v>
      </c>
      <c r="K31" s="205">
        <f t="shared" si="4"/>
        <v>708192126</v>
      </c>
      <c r="L31" s="205">
        <f t="shared" si="4"/>
        <v>-16250040</v>
      </c>
      <c r="M31" s="558">
        <f t="shared" si="0"/>
        <v>691942086</v>
      </c>
    </row>
    <row r="32" spans="1:13" ht="13.5" customHeight="1">
      <c r="A32" s="562" t="s">
        <v>25</v>
      </c>
      <c r="B32" s="76">
        <v>4651032</v>
      </c>
      <c r="C32" s="76">
        <v>14225521</v>
      </c>
      <c r="D32" s="555">
        <f t="shared" si="1"/>
        <v>18876553</v>
      </c>
      <c r="E32" s="209"/>
      <c r="F32" s="209"/>
      <c r="G32" s="555">
        <f t="shared" si="2"/>
        <v>0</v>
      </c>
      <c r="H32" s="45"/>
      <c r="I32" s="45"/>
      <c r="J32" s="555">
        <f t="shared" si="3"/>
        <v>0</v>
      </c>
      <c r="K32" s="205">
        <f t="shared" si="4"/>
        <v>4651032</v>
      </c>
      <c r="L32" s="205">
        <f t="shared" si="4"/>
        <v>14225521</v>
      </c>
      <c r="M32" s="558">
        <f t="shared" si="0"/>
        <v>18876553</v>
      </c>
    </row>
    <row r="33" spans="1:13" ht="13.5" customHeight="1" thickBot="1">
      <c r="A33" s="580" t="s">
        <v>115</v>
      </c>
      <c r="B33" s="217">
        <v>1358080</v>
      </c>
      <c r="C33" s="217">
        <v>-1358080</v>
      </c>
      <c r="D33" s="555">
        <f t="shared" si="1"/>
        <v>0</v>
      </c>
      <c r="E33" s="218"/>
      <c r="F33" s="218"/>
      <c r="G33" s="555">
        <f t="shared" si="2"/>
        <v>0</v>
      </c>
      <c r="H33" s="218"/>
      <c r="I33" s="218"/>
      <c r="J33" s="555">
        <f t="shared" si="3"/>
        <v>0</v>
      </c>
      <c r="K33" s="565">
        <f t="shared" si="4"/>
        <v>1358080</v>
      </c>
      <c r="L33" s="565">
        <f t="shared" si="4"/>
        <v>-1358080</v>
      </c>
      <c r="M33" s="566">
        <f t="shared" si="0"/>
        <v>0</v>
      </c>
    </row>
    <row r="34" spans="1:13" ht="13.5" customHeight="1" thickBot="1">
      <c r="A34" s="567" t="s">
        <v>116</v>
      </c>
      <c r="B34" s="394">
        <f aca="true" t="shared" si="8" ref="B34:J34">SUM(B31:B33)</f>
        <v>712311806</v>
      </c>
      <c r="C34" s="394">
        <f t="shared" si="8"/>
        <v>-2982599</v>
      </c>
      <c r="D34" s="394">
        <f t="shared" si="8"/>
        <v>709329207</v>
      </c>
      <c r="E34" s="394">
        <f t="shared" si="8"/>
        <v>1020000</v>
      </c>
      <c r="F34" s="394">
        <f t="shared" si="8"/>
        <v>-400000</v>
      </c>
      <c r="G34" s="394">
        <f t="shared" si="8"/>
        <v>620000</v>
      </c>
      <c r="H34" s="394">
        <f t="shared" si="8"/>
        <v>869432</v>
      </c>
      <c r="I34" s="394">
        <f t="shared" si="8"/>
        <v>0</v>
      </c>
      <c r="J34" s="394">
        <f t="shared" si="8"/>
        <v>869432</v>
      </c>
      <c r="K34" s="569">
        <f t="shared" si="4"/>
        <v>714201238</v>
      </c>
      <c r="L34" s="569">
        <f t="shared" si="4"/>
        <v>-3382599</v>
      </c>
      <c r="M34" s="570">
        <f t="shared" si="0"/>
        <v>710818639</v>
      </c>
    </row>
    <row r="35" spans="1:13" ht="13.5" customHeight="1">
      <c r="A35" s="571"/>
      <c r="B35" s="188"/>
      <c r="C35" s="188"/>
      <c r="D35" s="555">
        <f t="shared" si="1"/>
        <v>0</v>
      </c>
      <c r="E35" s="188"/>
      <c r="F35" s="188"/>
      <c r="G35" s="555">
        <f t="shared" si="2"/>
        <v>0</v>
      </c>
      <c r="H35" s="188"/>
      <c r="I35" s="188"/>
      <c r="J35" s="555">
        <f t="shared" si="3"/>
        <v>0</v>
      </c>
      <c r="K35" s="555">
        <f t="shared" si="4"/>
        <v>0</v>
      </c>
      <c r="L35" s="555">
        <f t="shared" si="4"/>
        <v>0</v>
      </c>
      <c r="M35" s="556">
        <f t="shared" si="0"/>
        <v>0</v>
      </c>
    </row>
    <row r="36" spans="1:13" ht="13.5" customHeight="1">
      <c r="A36" s="562" t="s">
        <v>107</v>
      </c>
      <c r="B36" s="78"/>
      <c r="C36" s="78"/>
      <c r="D36" s="555">
        <f t="shared" si="1"/>
        <v>0</v>
      </c>
      <c r="E36" s="78"/>
      <c r="F36" s="78"/>
      <c r="G36" s="555">
        <f t="shared" si="2"/>
        <v>0</v>
      </c>
      <c r="H36" s="78"/>
      <c r="I36" s="78"/>
      <c r="J36" s="555">
        <f t="shared" si="3"/>
        <v>0</v>
      </c>
      <c r="K36" s="205">
        <f t="shared" si="4"/>
        <v>0</v>
      </c>
      <c r="L36" s="205">
        <f t="shared" si="4"/>
        <v>0</v>
      </c>
      <c r="M36" s="558">
        <f t="shared" si="0"/>
        <v>0</v>
      </c>
    </row>
    <row r="37" spans="1:13" ht="13.5" customHeight="1">
      <c r="A37" s="562" t="s">
        <v>108</v>
      </c>
      <c r="B37" s="78"/>
      <c r="C37" s="78"/>
      <c r="D37" s="555">
        <f t="shared" si="1"/>
        <v>0</v>
      </c>
      <c r="E37" s="78"/>
      <c r="F37" s="78"/>
      <c r="G37" s="555">
        <f t="shared" si="2"/>
        <v>0</v>
      </c>
      <c r="H37" s="78"/>
      <c r="I37" s="78"/>
      <c r="J37" s="555">
        <f t="shared" si="3"/>
        <v>0</v>
      </c>
      <c r="K37" s="205">
        <f t="shared" si="4"/>
        <v>0</v>
      </c>
      <c r="L37" s="205">
        <f t="shared" si="4"/>
        <v>0</v>
      </c>
      <c r="M37" s="558">
        <f t="shared" si="0"/>
        <v>0</v>
      </c>
    </row>
    <row r="38" spans="1:13" ht="13.5" customHeight="1">
      <c r="A38" s="572" t="s">
        <v>109</v>
      </c>
      <c r="B38" s="78"/>
      <c r="C38" s="78"/>
      <c r="D38" s="555">
        <f t="shared" si="1"/>
        <v>0</v>
      </c>
      <c r="E38" s="78"/>
      <c r="F38" s="78"/>
      <c r="G38" s="555">
        <f t="shared" si="2"/>
        <v>0</v>
      </c>
      <c r="H38" s="78"/>
      <c r="I38" s="78"/>
      <c r="J38" s="555">
        <f t="shared" si="3"/>
        <v>0</v>
      </c>
      <c r="K38" s="205">
        <f t="shared" si="4"/>
        <v>0</v>
      </c>
      <c r="L38" s="205">
        <f t="shared" si="4"/>
        <v>0</v>
      </c>
      <c r="M38" s="558">
        <f t="shared" si="0"/>
        <v>0</v>
      </c>
    </row>
    <row r="39" spans="1:13" ht="13.5" customHeight="1">
      <c r="A39" s="562" t="s">
        <v>110</v>
      </c>
      <c r="B39" s="78"/>
      <c r="C39" s="78"/>
      <c r="D39" s="555">
        <f t="shared" si="1"/>
        <v>0</v>
      </c>
      <c r="E39" s="78"/>
      <c r="F39" s="78"/>
      <c r="G39" s="555">
        <f t="shared" si="2"/>
        <v>0</v>
      </c>
      <c r="H39" s="78"/>
      <c r="I39" s="78"/>
      <c r="J39" s="555">
        <f t="shared" si="3"/>
        <v>0</v>
      </c>
      <c r="K39" s="205">
        <f t="shared" si="4"/>
        <v>0</v>
      </c>
      <c r="L39" s="205">
        <f t="shared" si="4"/>
        <v>0</v>
      </c>
      <c r="M39" s="558">
        <f t="shared" si="0"/>
        <v>0</v>
      </c>
    </row>
    <row r="40" spans="1:13" ht="13.5" customHeight="1">
      <c r="A40" s="562" t="s">
        <v>111</v>
      </c>
      <c r="B40" s="78"/>
      <c r="C40" s="78"/>
      <c r="D40" s="555">
        <f t="shared" si="1"/>
        <v>0</v>
      </c>
      <c r="E40" s="45"/>
      <c r="F40" s="45"/>
      <c r="G40" s="555">
        <f t="shared" si="2"/>
        <v>0</v>
      </c>
      <c r="H40" s="45"/>
      <c r="I40" s="45"/>
      <c r="J40" s="555">
        <f t="shared" si="3"/>
        <v>0</v>
      </c>
      <c r="K40" s="205">
        <f t="shared" si="4"/>
        <v>0</v>
      </c>
      <c r="L40" s="205">
        <f t="shared" si="4"/>
        <v>0</v>
      </c>
      <c r="M40" s="558">
        <f t="shared" si="0"/>
        <v>0</v>
      </c>
    </row>
    <row r="41" spans="1:13" ht="13.5" customHeight="1">
      <c r="A41" s="562" t="s">
        <v>112</v>
      </c>
      <c r="B41" s="78"/>
      <c r="C41" s="78"/>
      <c r="D41" s="555">
        <f t="shared" si="1"/>
        <v>0</v>
      </c>
      <c r="E41" s="78"/>
      <c r="F41" s="78"/>
      <c r="G41" s="555">
        <f t="shared" si="2"/>
        <v>0</v>
      </c>
      <c r="H41" s="78"/>
      <c r="I41" s="78"/>
      <c r="J41" s="555">
        <f t="shared" si="3"/>
        <v>0</v>
      </c>
      <c r="K41" s="205">
        <f t="shared" si="4"/>
        <v>0</v>
      </c>
      <c r="L41" s="205">
        <f t="shared" si="4"/>
        <v>0</v>
      </c>
      <c r="M41" s="558">
        <f t="shared" si="0"/>
        <v>0</v>
      </c>
    </row>
    <row r="42" spans="1:13" ht="13.5" customHeight="1" thickBot="1">
      <c r="A42" s="574" t="s">
        <v>113</v>
      </c>
      <c r="B42" s="189"/>
      <c r="C42" s="189"/>
      <c r="D42" s="555">
        <f t="shared" si="1"/>
        <v>0</v>
      </c>
      <c r="E42" s="189"/>
      <c r="F42" s="189"/>
      <c r="G42" s="555">
        <f t="shared" si="2"/>
        <v>0</v>
      </c>
      <c r="H42" s="189"/>
      <c r="I42" s="189"/>
      <c r="J42" s="555">
        <f t="shared" si="3"/>
        <v>0</v>
      </c>
      <c r="K42" s="565">
        <f t="shared" si="4"/>
        <v>0</v>
      </c>
      <c r="L42" s="565">
        <f t="shared" si="4"/>
        <v>0</v>
      </c>
      <c r="M42" s="566">
        <f t="shared" si="0"/>
        <v>0</v>
      </c>
    </row>
    <row r="43" spans="1:13" ht="13.5" customHeight="1" thickBot="1">
      <c r="A43" s="581" t="s">
        <v>117</v>
      </c>
      <c r="B43" s="394">
        <f>SUM(B36:B42)</f>
        <v>0</v>
      </c>
      <c r="C43" s="394">
        <f aca="true" t="shared" si="9" ref="C43:J43">SUM(C36:C42)</f>
        <v>0</v>
      </c>
      <c r="D43" s="394">
        <f t="shared" si="9"/>
        <v>0</v>
      </c>
      <c r="E43" s="394">
        <f t="shared" si="9"/>
        <v>0</v>
      </c>
      <c r="F43" s="394">
        <f t="shared" si="9"/>
        <v>0</v>
      </c>
      <c r="G43" s="394">
        <f t="shared" si="9"/>
        <v>0</v>
      </c>
      <c r="H43" s="394">
        <f t="shared" si="9"/>
        <v>0</v>
      </c>
      <c r="I43" s="394">
        <f t="shared" si="9"/>
        <v>0</v>
      </c>
      <c r="J43" s="394">
        <f t="shared" si="9"/>
        <v>0</v>
      </c>
      <c r="K43" s="575">
        <f t="shared" si="4"/>
        <v>0</v>
      </c>
      <c r="L43" s="575">
        <f t="shared" si="4"/>
        <v>0</v>
      </c>
      <c r="M43" s="576">
        <f t="shared" si="0"/>
        <v>0</v>
      </c>
    </row>
    <row r="44" spans="1:13" ht="13.5" customHeight="1" thickBot="1">
      <c r="A44" s="582"/>
      <c r="B44" s="219"/>
      <c r="C44" s="219"/>
      <c r="D44" s="555">
        <f t="shared" si="1"/>
        <v>0</v>
      </c>
      <c r="E44" s="162"/>
      <c r="F44" s="162"/>
      <c r="G44" s="555">
        <f t="shared" si="2"/>
        <v>0</v>
      </c>
      <c r="H44" s="162"/>
      <c r="I44" s="162"/>
      <c r="J44" s="555">
        <f t="shared" si="3"/>
        <v>0</v>
      </c>
      <c r="K44" s="578">
        <f t="shared" si="4"/>
        <v>0</v>
      </c>
      <c r="L44" s="578">
        <f t="shared" si="4"/>
        <v>0</v>
      </c>
      <c r="M44" s="579">
        <f t="shared" si="0"/>
        <v>0</v>
      </c>
    </row>
    <row r="45" spans="1:13" ht="13.5" customHeight="1" thickBot="1">
      <c r="A45" s="583" t="s">
        <v>376</v>
      </c>
      <c r="B45" s="584">
        <f aca="true" t="shared" si="10" ref="B45:J45">B34+B43</f>
        <v>712311806</v>
      </c>
      <c r="C45" s="584">
        <f t="shared" si="10"/>
        <v>-2982599</v>
      </c>
      <c r="D45" s="584">
        <f t="shared" si="10"/>
        <v>709329207</v>
      </c>
      <c r="E45" s="584">
        <f t="shared" si="10"/>
        <v>1020000</v>
      </c>
      <c r="F45" s="584">
        <f t="shared" si="10"/>
        <v>-400000</v>
      </c>
      <c r="G45" s="584">
        <f t="shared" si="10"/>
        <v>620000</v>
      </c>
      <c r="H45" s="584">
        <f t="shared" si="10"/>
        <v>869432</v>
      </c>
      <c r="I45" s="584">
        <f t="shared" si="10"/>
        <v>0</v>
      </c>
      <c r="J45" s="584">
        <f t="shared" si="10"/>
        <v>869432</v>
      </c>
      <c r="K45" s="569">
        <f t="shared" si="4"/>
        <v>714201238</v>
      </c>
      <c r="L45" s="569">
        <f t="shared" si="4"/>
        <v>-3382599</v>
      </c>
      <c r="M45" s="570">
        <f t="shared" si="0"/>
        <v>710818639</v>
      </c>
    </row>
    <row r="46" spans="1:13" ht="13.5" customHeight="1" thickBot="1">
      <c r="A46" s="585"/>
      <c r="B46" s="429"/>
      <c r="C46" s="429"/>
      <c r="D46" s="555">
        <f t="shared" si="1"/>
        <v>0</v>
      </c>
      <c r="E46" s="429"/>
      <c r="F46" s="429"/>
      <c r="G46" s="555">
        <f t="shared" si="2"/>
        <v>0</v>
      </c>
      <c r="H46" s="429"/>
      <c r="I46" s="429"/>
      <c r="J46" s="555">
        <f t="shared" si="3"/>
        <v>0</v>
      </c>
      <c r="K46" s="578">
        <f t="shared" si="4"/>
        <v>0</v>
      </c>
      <c r="L46" s="578">
        <f t="shared" si="4"/>
        <v>0</v>
      </c>
      <c r="M46" s="579">
        <f t="shared" si="0"/>
        <v>0</v>
      </c>
    </row>
    <row r="47" spans="1:13" ht="15" customHeight="1" thickBot="1">
      <c r="A47" s="586" t="s">
        <v>118</v>
      </c>
      <c r="B47" s="394">
        <f aca="true" t="shared" si="11" ref="B47:I48">B29+B45</f>
        <v>947515897</v>
      </c>
      <c r="C47" s="394">
        <f t="shared" si="11"/>
        <v>20143554</v>
      </c>
      <c r="D47" s="394">
        <f t="shared" si="11"/>
        <v>967659451</v>
      </c>
      <c r="E47" s="394">
        <f t="shared" si="11"/>
        <v>40295101</v>
      </c>
      <c r="F47" s="394">
        <f t="shared" si="11"/>
        <v>-375879</v>
      </c>
      <c r="G47" s="394">
        <f t="shared" si="11"/>
        <v>39919222</v>
      </c>
      <c r="H47" s="394">
        <f t="shared" si="11"/>
        <v>123063628</v>
      </c>
      <c r="I47" s="394">
        <f t="shared" si="11"/>
        <v>13490</v>
      </c>
      <c r="J47" s="394">
        <f>J29+J45</f>
        <v>123077118</v>
      </c>
      <c r="K47" s="569">
        <f t="shared" si="4"/>
        <v>1110874626</v>
      </c>
      <c r="L47" s="569">
        <f t="shared" si="4"/>
        <v>19781165</v>
      </c>
      <c r="M47" s="570">
        <f>D47+G47+J47</f>
        <v>1130655791</v>
      </c>
    </row>
    <row r="48" spans="1:13" ht="13.5" thickBot="1">
      <c r="A48" s="587" t="s">
        <v>111</v>
      </c>
      <c r="B48" s="446">
        <v>143002391</v>
      </c>
      <c r="C48" s="446">
        <v>-400000</v>
      </c>
      <c r="D48" s="394">
        <f>B48+C48</f>
        <v>142602391</v>
      </c>
      <c r="E48" s="588"/>
      <c r="F48" s="588"/>
      <c r="G48" s="394">
        <f t="shared" si="11"/>
        <v>0</v>
      </c>
      <c r="H48" s="588"/>
      <c r="I48" s="588"/>
      <c r="J48" s="394">
        <f>J30+J46</f>
        <v>0</v>
      </c>
      <c r="K48" s="570">
        <f t="shared" si="4"/>
        <v>143002391</v>
      </c>
      <c r="L48" s="570">
        <f t="shared" si="4"/>
        <v>-400000</v>
      </c>
      <c r="M48" s="570">
        <f>D48+G48+J48</f>
        <v>142602391</v>
      </c>
    </row>
  </sheetData>
  <sheetProtection selectLockedCells="1" selectUnlockedCells="1"/>
  <mergeCells count="18">
    <mergeCell ref="L8:L9"/>
    <mergeCell ref="M8:M9"/>
    <mergeCell ref="F8:F9"/>
    <mergeCell ref="G8:G9"/>
    <mergeCell ref="H8:H9"/>
    <mergeCell ref="I8:I9"/>
    <mergeCell ref="J8:J9"/>
    <mergeCell ref="K8:K9"/>
    <mergeCell ref="A2:H2"/>
    <mergeCell ref="A3:M3"/>
    <mergeCell ref="A4:M4"/>
    <mergeCell ref="A6:M6"/>
    <mergeCell ref="A7:M7"/>
    <mergeCell ref="A8:A9"/>
    <mergeCell ref="B8:B9"/>
    <mergeCell ref="C8:C9"/>
    <mergeCell ref="D8:D9"/>
    <mergeCell ref="E8:E9"/>
  </mergeCells>
  <printOptions/>
  <pageMargins left="0.5097222222222222" right="0.25972222222222224" top="0.4" bottom="0.32013888888888886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67"/>
  <sheetViews>
    <sheetView zoomScale="125" zoomScaleNormal="125" zoomScalePageLayoutView="0" workbookViewId="0" topLeftCell="A1">
      <pane ySplit="5" topLeftCell="A6" activePane="bottomLeft" state="frozen"/>
      <selection pane="topLeft" activeCell="A1" sqref="A1"/>
      <selection pane="bottomLeft" activeCell="A1" sqref="A1:IV1"/>
    </sheetView>
  </sheetViews>
  <sheetFormatPr defaultColWidth="9.00390625" defaultRowHeight="12.75"/>
  <cols>
    <col min="1" max="1" width="25.25390625" style="470" customWidth="1"/>
    <col min="2" max="4" width="11.00390625" style="0" customWidth="1"/>
    <col min="5" max="5" width="10.125" style="0" bestFit="1" customWidth="1"/>
    <col min="6" max="7" width="10.125" style="0" customWidth="1"/>
    <col min="8" max="10" width="11.75390625" style="0" customWidth="1"/>
    <col min="11" max="11" width="13.125" style="0" customWidth="1"/>
    <col min="12" max="12" width="9.75390625" style="0" customWidth="1"/>
    <col min="13" max="13" width="11.75390625" style="0" customWidth="1"/>
    <col min="14" max="14" width="11.125" style="0" customWidth="1"/>
    <col min="15" max="17" width="10.125" style="0" customWidth="1"/>
    <col min="18" max="18" width="11.375" style="0" customWidth="1"/>
    <col min="19" max="19" width="14.75390625" style="0" bestFit="1" customWidth="1"/>
    <col min="20" max="20" width="18.00390625" style="0" bestFit="1" customWidth="1"/>
    <col min="21" max="21" width="16.25390625" style="7" bestFit="1" customWidth="1"/>
    <col min="22" max="25" width="12.25390625" style="0" customWidth="1"/>
    <col min="26" max="26" width="10.125" style="0" bestFit="1" customWidth="1"/>
    <col min="27" max="27" width="10.125" style="0" customWidth="1"/>
    <col min="28" max="28" width="15.25390625" style="0" customWidth="1"/>
    <col min="29" max="29" width="16.875" style="0" customWidth="1"/>
    <col min="30" max="30" width="15.625" style="0" bestFit="1" customWidth="1"/>
    <col min="31" max="33" width="11.75390625" style="0" customWidth="1"/>
    <col min="34" max="37" width="13.75390625" style="7" customWidth="1"/>
    <col min="38" max="38" width="11.125" style="0" bestFit="1" customWidth="1"/>
    <col min="39" max="39" width="11.375" style="0" customWidth="1"/>
    <col min="40" max="40" width="11.125" style="0" bestFit="1" customWidth="1"/>
    <col min="41" max="41" width="13.00390625" style="7" customWidth="1"/>
  </cols>
  <sheetData>
    <row r="1" spans="1:41" ht="12.75" customHeight="1" hidden="1">
      <c r="A1" s="549" t="s">
        <v>635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51"/>
      <c r="M1" s="551"/>
      <c r="N1" s="21"/>
      <c r="O1" s="21"/>
      <c r="P1" s="21"/>
      <c r="Q1" s="21"/>
      <c r="R1" s="21"/>
      <c r="S1" s="21"/>
      <c r="T1" s="21"/>
      <c r="U1" s="105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105"/>
      <c r="AI1" s="105"/>
      <c r="AJ1" s="105"/>
      <c r="AK1" s="105"/>
      <c r="AL1" s="21"/>
      <c r="AM1" s="21"/>
      <c r="AN1" s="550"/>
      <c r="AO1" s="550"/>
    </row>
    <row r="2" spans="1:41" ht="12.75">
      <c r="A2" s="549" t="s">
        <v>636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21"/>
      <c r="M2" s="21"/>
      <c r="N2" s="21"/>
      <c r="O2" s="21"/>
      <c r="P2" s="21"/>
      <c r="Q2" s="21"/>
      <c r="R2" s="21"/>
      <c r="S2" s="21"/>
      <c r="T2" s="21"/>
      <c r="U2" s="105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105"/>
      <c r="AI2" s="105"/>
      <c r="AJ2" s="105"/>
      <c r="AK2" s="105"/>
      <c r="AL2" s="21"/>
      <c r="AM2" s="21"/>
      <c r="AN2" s="21"/>
      <c r="AO2" s="105"/>
    </row>
    <row r="3" spans="1:41" ht="12.75">
      <c r="A3" s="473"/>
      <c r="B3" s="21"/>
      <c r="C3" s="21"/>
      <c r="D3" s="21"/>
      <c r="E3" s="21"/>
      <c r="F3" s="21"/>
      <c r="G3" s="21"/>
      <c r="H3" s="548" t="s">
        <v>522</v>
      </c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/>
      <c r="AD3" s="548"/>
      <c r="AE3" s="548"/>
      <c r="AF3" s="548"/>
      <c r="AG3" s="548"/>
      <c r="AH3" s="548"/>
      <c r="AI3" s="548"/>
      <c r="AJ3" s="548"/>
      <c r="AK3" s="548"/>
      <c r="AL3" s="548"/>
      <c r="AM3" s="548"/>
      <c r="AN3" s="548"/>
      <c r="AO3" s="548"/>
    </row>
    <row r="4" spans="1:41" ht="14.25" customHeight="1" thickBot="1">
      <c r="A4" s="473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105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105"/>
      <c r="AI4" s="105"/>
      <c r="AJ4" s="105"/>
      <c r="AK4" s="105"/>
      <c r="AL4" s="21"/>
      <c r="AM4" s="21"/>
      <c r="AN4" s="21"/>
      <c r="AO4" s="55" t="s">
        <v>394</v>
      </c>
    </row>
    <row r="5" spans="1:41" s="8" customFormat="1" ht="54" customHeight="1" thickBot="1">
      <c r="A5" s="589" t="s">
        <v>89</v>
      </c>
      <c r="B5" s="542" t="s">
        <v>637</v>
      </c>
      <c r="C5" s="542" t="s">
        <v>638</v>
      </c>
      <c r="D5" s="546" t="s">
        <v>639</v>
      </c>
      <c r="E5" s="590" t="s">
        <v>640</v>
      </c>
      <c r="F5" s="542" t="s">
        <v>641</v>
      </c>
      <c r="G5" s="591" t="s">
        <v>642</v>
      </c>
      <c r="H5" s="543" t="s">
        <v>643</v>
      </c>
      <c r="I5" s="542" t="s">
        <v>644</v>
      </c>
      <c r="J5" s="546" t="s">
        <v>645</v>
      </c>
      <c r="K5" s="547" t="s">
        <v>646</v>
      </c>
      <c r="L5" s="542" t="s">
        <v>647</v>
      </c>
      <c r="M5" s="541" t="s">
        <v>648</v>
      </c>
      <c r="N5" s="547" t="s">
        <v>649</v>
      </c>
      <c r="O5" s="542" t="s">
        <v>650</v>
      </c>
      <c r="P5" s="541" t="s">
        <v>651</v>
      </c>
      <c r="Q5" s="547" t="s">
        <v>652</v>
      </c>
      <c r="R5" s="541" t="s">
        <v>653</v>
      </c>
      <c r="S5" s="547" t="s">
        <v>654</v>
      </c>
      <c r="T5" s="542" t="s">
        <v>655</v>
      </c>
      <c r="U5" s="541" t="s">
        <v>656</v>
      </c>
      <c r="V5" s="547" t="s">
        <v>657</v>
      </c>
      <c r="W5" s="542" t="s">
        <v>658</v>
      </c>
      <c r="X5" s="541" t="s">
        <v>659</v>
      </c>
      <c r="Y5" s="547" t="s">
        <v>660</v>
      </c>
      <c r="Z5" s="542" t="s">
        <v>661</v>
      </c>
      <c r="AA5" s="541" t="s">
        <v>662</v>
      </c>
      <c r="AB5" s="543" t="s">
        <v>663</v>
      </c>
      <c r="AC5" s="542" t="s">
        <v>664</v>
      </c>
      <c r="AD5" s="542" t="s">
        <v>665</v>
      </c>
      <c r="AE5" s="542" t="s">
        <v>325</v>
      </c>
      <c r="AF5" s="542" t="s">
        <v>666</v>
      </c>
      <c r="AG5" s="542" t="s">
        <v>667</v>
      </c>
      <c r="AH5" s="542" t="s">
        <v>668</v>
      </c>
      <c r="AI5" s="542" t="s">
        <v>669</v>
      </c>
      <c r="AJ5" s="542" t="s">
        <v>670</v>
      </c>
      <c r="AK5" s="542" t="s">
        <v>122</v>
      </c>
      <c r="AL5" s="542" t="s">
        <v>90</v>
      </c>
      <c r="AM5" s="542" t="s">
        <v>91</v>
      </c>
      <c r="AN5" s="542" t="s">
        <v>92</v>
      </c>
      <c r="AO5" s="541" t="s">
        <v>99</v>
      </c>
    </row>
    <row r="6" spans="1:41" s="533" customFormat="1" ht="36" customHeight="1">
      <c r="A6" s="540" t="s">
        <v>303</v>
      </c>
      <c r="B6" s="592">
        <f>2707200+156000+852078+250000+5484000+1645200+3500000+2527200+800000</f>
        <v>17921678</v>
      </c>
      <c r="C6" s="592">
        <v>174000</v>
      </c>
      <c r="D6" s="593">
        <f>B6+C6</f>
        <v>18095678</v>
      </c>
      <c r="E6" s="594">
        <f>473760+50700+149114+65000+959700+287910+612588+442600</f>
        <v>3041372</v>
      </c>
      <c r="F6" s="592"/>
      <c r="G6" s="595">
        <f>E6+F6</f>
        <v>3041372</v>
      </c>
      <c r="H6" s="596">
        <v>2500000</v>
      </c>
      <c r="I6" s="592">
        <v>-174000</v>
      </c>
      <c r="J6" s="593">
        <f>H6+I6</f>
        <v>2326000</v>
      </c>
      <c r="K6" s="597"/>
      <c r="L6" s="535"/>
      <c r="M6" s="534">
        <f>K6+L6</f>
        <v>0</v>
      </c>
      <c r="N6" s="597"/>
      <c r="O6" s="535"/>
      <c r="P6" s="534">
        <f>N6+O6</f>
        <v>0</v>
      </c>
      <c r="Q6" s="597"/>
      <c r="R6" s="534"/>
      <c r="S6" s="597">
        <f>B6+E6+H6+K6+N6+Q6</f>
        <v>23463050</v>
      </c>
      <c r="T6" s="535">
        <f>C6+F6+I6+L6+O6</f>
        <v>0</v>
      </c>
      <c r="U6" s="534">
        <f>S6+T6</f>
        <v>23463050</v>
      </c>
      <c r="V6" s="597">
        <f>4062000+20000000</f>
        <v>24062000</v>
      </c>
      <c r="W6" s="535">
        <f>-20000000+400000</f>
        <v>-19600000</v>
      </c>
      <c r="X6" s="534">
        <f>V6+W6</f>
        <v>4462000</v>
      </c>
      <c r="Y6" s="597"/>
      <c r="Z6" s="535"/>
      <c r="AA6" s="534">
        <f>Y6+Z6</f>
        <v>0</v>
      </c>
      <c r="AB6" s="536"/>
      <c r="AC6" s="535"/>
      <c r="AD6" s="535">
        <f>AB6+AC6</f>
        <v>0</v>
      </c>
      <c r="AE6" s="535"/>
      <c r="AF6" s="535">
        <f aca="true" t="shared" si="0" ref="AF6:AH20">V6+Y6+AB6</f>
        <v>24062000</v>
      </c>
      <c r="AG6" s="535">
        <f t="shared" si="0"/>
        <v>-19600000</v>
      </c>
      <c r="AH6" s="535">
        <f t="shared" si="0"/>
        <v>4462000</v>
      </c>
      <c r="AI6" s="535">
        <f aca="true" t="shared" si="1" ref="AI6:AK21">S6+AF6</f>
        <v>47525050</v>
      </c>
      <c r="AJ6" s="535">
        <f t="shared" si="1"/>
        <v>-19600000</v>
      </c>
      <c r="AK6" s="535">
        <f t="shared" si="1"/>
        <v>27925050</v>
      </c>
      <c r="AL6" s="535"/>
      <c r="AM6" s="535">
        <f>AK6</f>
        <v>27925050</v>
      </c>
      <c r="AN6" s="535"/>
      <c r="AO6" s="534">
        <f>SUM(AL6:AN6)</f>
        <v>27925050</v>
      </c>
    </row>
    <row r="7" spans="1:41" ht="39" customHeight="1">
      <c r="A7" s="598" t="s">
        <v>350</v>
      </c>
      <c r="B7" s="220"/>
      <c r="C7" s="220"/>
      <c r="D7" s="599">
        <f>SUM(B7:C7)</f>
        <v>0</v>
      </c>
      <c r="E7" s="600"/>
      <c r="F7" s="220"/>
      <c r="G7" s="601">
        <f>E7+F7</f>
        <v>0</v>
      </c>
      <c r="H7" s="602">
        <f>4185880+2500000-350000</f>
        <v>6335880</v>
      </c>
      <c r="I7" s="220">
        <v>-2330863</v>
      </c>
      <c r="J7" s="599">
        <f>H7+I7</f>
        <v>4005017</v>
      </c>
      <c r="K7" s="603"/>
      <c r="L7" s="203"/>
      <c r="M7" s="604">
        <f>K7+L7</f>
        <v>0</v>
      </c>
      <c r="N7" s="603"/>
      <c r="O7" s="203"/>
      <c r="P7" s="604">
        <f>N7+O7</f>
        <v>0</v>
      </c>
      <c r="Q7" s="603"/>
      <c r="R7" s="604"/>
      <c r="S7" s="605">
        <f aca="true" t="shared" si="2" ref="S7:S63">B7+E7+H7+K7+N7+Q7</f>
        <v>6335880</v>
      </c>
      <c r="T7" s="606">
        <f aca="true" t="shared" si="3" ref="T7:T61">C7+F7+I7+L7+O7+R7</f>
        <v>-2330863</v>
      </c>
      <c r="U7" s="607">
        <f>S7+T7</f>
        <v>4005017</v>
      </c>
      <c r="V7" s="608">
        <v>5950816</v>
      </c>
      <c r="W7" s="221"/>
      <c r="X7" s="609">
        <f>V7+W7</f>
        <v>5950816</v>
      </c>
      <c r="Y7" s="608"/>
      <c r="Z7" s="203">
        <f>2330863</f>
        <v>2330863</v>
      </c>
      <c r="AA7" s="604">
        <f>Y7+Z7</f>
        <v>2330863</v>
      </c>
      <c r="AB7" s="518"/>
      <c r="AC7" s="203"/>
      <c r="AD7" s="203">
        <f>AB7+AC7</f>
        <v>0</v>
      </c>
      <c r="AE7" s="203"/>
      <c r="AF7" s="606">
        <f t="shared" si="0"/>
        <v>5950816</v>
      </c>
      <c r="AG7" s="606">
        <f t="shared" si="0"/>
        <v>2330863</v>
      </c>
      <c r="AH7" s="606">
        <f t="shared" si="0"/>
        <v>8281679</v>
      </c>
      <c r="AI7" s="606">
        <f t="shared" si="1"/>
        <v>12286696</v>
      </c>
      <c r="AJ7" s="606">
        <f t="shared" si="1"/>
        <v>0</v>
      </c>
      <c r="AK7" s="606">
        <f t="shared" si="1"/>
        <v>12286696</v>
      </c>
      <c r="AL7" s="203"/>
      <c r="AM7" s="535">
        <f>AK7</f>
        <v>12286696</v>
      </c>
      <c r="AN7" s="203"/>
      <c r="AO7" s="508">
        <f>SUM(AL7:AN7)</f>
        <v>12286696</v>
      </c>
    </row>
    <row r="8" spans="1:41" ht="23.25" customHeight="1">
      <c r="A8" s="598" t="s">
        <v>351</v>
      </c>
      <c r="B8" s="220"/>
      <c r="C8" s="220"/>
      <c r="D8" s="599">
        <f aca="true" t="shared" si="4" ref="D8:D63">SUM(B8:C8)</f>
        <v>0</v>
      </c>
      <c r="E8" s="600"/>
      <c r="F8" s="220"/>
      <c r="G8" s="601">
        <f aca="true" t="shared" si="5" ref="G8:G63">E8+F8</f>
        <v>0</v>
      </c>
      <c r="H8" s="602">
        <v>4445000</v>
      </c>
      <c r="I8" s="220"/>
      <c r="J8" s="599">
        <f aca="true" t="shared" si="6" ref="J8:J63">H8+I8</f>
        <v>4445000</v>
      </c>
      <c r="K8" s="603"/>
      <c r="L8" s="203"/>
      <c r="M8" s="604">
        <f aca="true" t="shared" si="7" ref="M8:M63">K8+L8</f>
        <v>0</v>
      </c>
      <c r="N8" s="603"/>
      <c r="O8" s="203"/>
      <c r="P8" s="604">
        <f aca="true" t="shared" si="8" ref="P8:P62">N8+O8</f>
        <v>0</v>
      </c>
      <c r="Q8" s="603"/>
      <c r="R8" s="604"/>
      <c r="S8" s="605">
        <f t="shared" si="2"/>
        <v>4445000</v>
      </c>
      <c r="T8" s="606">
        <f t="shared" si="3"/>
        <v>0</v>
      </c>
      <c r="U8" s="607">
        <f aca="true" t="shared" si="9" ref="U8:U63">S8+T8</f>
        <v>4445000</v>
      </c>
      <c r="V8" s="603"/>
      <c r="W8" s="203"/>
      <c r="X8" s="609">
        <f aca="true" t="shared" si="10" ref="X8:X15">V8+W8</f>
        <v>0</v>
      </c>
      <c r="Y8" s="603"/>
      <c r="Z8" s="203"/>
      <c r="AA8" s="604">
        <f aca="true" t="shared" si="11" ref="AA8:AA15">Y8+Z8</f>
        <v>0</v>
      </c>
      <c r="AB8" s="518"/>
      <c r="AC8" s="203"/>
      <c r="AD8" s="203">
        <f aca="true" t="shared" si="12" ref="AD8:AD15">AB8+AC8</f>
        <v>0</v>
      </c>
      <c r="AE8" s="203"/>
      <c r="AF8" s="606">
        <f t="shared" si="0"/>
        <v>0</v>
      </c>
      <c r="AG8" s="606">
        <f t="shared" si="0"/>
        <v>0</v>
      </c>
      <c r="AH8" s="606">
        <f t="shared" si="0"/>
        <v>0</v>
      </c>
      <c r="AI8" s="606">
        <f t="shared" si="1"/>
        <v>4445000</v>
      </c>
      <c r="AJ8" s="606">
        <f t="shared" si="1"/>
        <v>0</v>
      </c>
      <c r="AK8" s="606">
        <f t="shared" si="1"/>
        <v>4445000</v>
      </c>
      <c r="AL8" s="203"/>
      <c r="AM8" s="535">
        <f>AK8</f>
        <v>4445000</v>
      </c>
      <c r="AN8" s="203"/>
      <c r="AO8" s="508">
        <f aca="true" t="shared" si="13" ref="AO8:AO26">SUM(AL8:AN8)</f>
        <v>4445000</v>
      </c>
    </row>
    <row r="9" spans="1:41" ht="40.5" customHeight="1">
      <c r="A9" s="530" t="s">
        <v>352</v>
      </c>
      <c r="B9" s="220">
        <f>6278400+312000</f>
        <v>6590400</v>
      </c>
      <c r="C9" s="220"/>
      <c r="D9" s="599">
        <f t="shared" si="4"/>
        <v>6590400</v>
      </c>
      <c r="E9" s="600">
        <f>1098720+101400</f>
        <v>1200120</v>
      </c>
      <c r="F9" s="220"/>
      <c r="G9" s="601">
        <f t="shared" si="5"/>
        <v>1200120</v>
      </c>
      <c r="H9" s="602">
        <f>4752720-100000</f>
        <v>4652720</v>
      </c>
      <c r="I9" s="220">
        <f>-24164+-203445</f>
        <v>-227609</v>
      </c>
      <c r="J9" s="599">
        <f t="shared" si="6"/>
        <v>4425111</v>
      </c>
      <c r="K9" s="603"/>
      <c r="L9" s="203"/>
      <c r="M9" s="604">
        <f t="shared" si="7"/>
        <v>0</v>
      </c>
      <c r="N9" s="603"/>
      <c r="O9" s="203"/>
      <c r="P9" s="604">
        <f t="shared" si="8"/>
        <v>0</v>
      </c>
      <c r="Q9" s="603"/>
      <c r="R9" s="604"/>
      <c r="S9" s="605">
        <f t="shared" si="2"/>
        <v>12443240</v>
      </c>
      <c r="T9" s="606">
        <f t="shared" si="3"/>
        <v>-227609</v>
      </c>
      <c r="U9" s="607">
        <f t="shared" si="9"/>
        <v>12215631</v>
      </c>
      <c r="V9" s="603"/>
      <c r="W9" s="203"/>
      <c r="X9" s="609">
        <f t="shared" si="10"/>
        <v>0</v>
      </c>
      <c r="Y9" s="603"/>
      <c r="Z9" s="220"/>
      <c r="AA9" s="604">
        <f t="shared" si="11"/>
        <v>0</v>
      </c>
      <c r="AB9" s="602"/>
      <c r="AC9" s="220"/>
      <c r="AD9" s="203">
        <f t="shared" si="12"/>
        <v>0</v>
      </c>
      <c r="AE9" s="203"/>
      <c r="AF9" s="606">
        <f t="shared" si="0"/>
        <v>0</v>
      </c>
      <c r="AG9" s="606">
        <f t="shared" si="0"/>
        <v>0</v>
      </c>
      <c r="AH9" s="606">
        <f t="shared" si="0"/>
        <v>0</v>
      </c>
      <c r="AI9" s="606">
        <f t="shared" si="1"/>
        <v>12443240</v>
      </c>
      <c r="AJ9" s="606">
        <f t="shared" si="1"/>
        <v>-227609</v>
      </c>
      <c r="AK9" s="606">
        <f t="shared" si="1"/>
        <v>12215631</v>
      </c>
      <c r="AL9" s="203"/>
      <c r="AM9" s="535">
        <f>AK9</f>
        <v>12215631</v>
      </c>
      <c r="AN9" s="203"/>
      <c r="AO9" s="508">
        <f t="shared" si="13"/>
        <v>12215631</v>
      </c>
    </row>
    <row r="10" spans="1:41" ht="31.5" customHeight="1">
      <c r="A10" s="530" t="s">
        <v>353</v>
      </c>
      <c r="B10" s="220"/>
      <c r="C10" s="220"/>
      <c r="D10" s="599">
        <f t="shared" si="4"/>
        <v>0</v>
      </c>
      <c r="E10" s="600"/>
      <c r="F10" s="220"/>
      <c r="G10" s="601">
        <f t="shared" si="5"/>
        <v>0</v>
      </c>
      <c r="H10" s="602">
        <v>393500</v>
      </c>
      <c r="I10" s="220"/>
      <c r="J10" s="599">
        <f t="shared" si="6"/>
        <v>393500</v>
      </c>
      <c r="K10" s="603"/>
      <c r="L10" s="203"/>
      <c r="M10" s="604">
        <f t="shared" si="7"/>
        <v>0</v>
      </c>
      <c r="N10" s="603"/>
      <c r="O10" s="203"/>
      <c r="P10" s="604">
        <f t="shared" si="8"/>
        <v>0</v>
      </c>
      <c r="Q10" s="603"/>
      <c r="R10" s="604"/>
      <c r="S10" s="605">
        <f t="shared" si="2"/>
        <v>393500</v>
      </c>
      <c r="T10" s="606">
        <f t="shared" si="3"/>
        <v>0</v>
      </c>
      <c r="U10" s="607">
        <f t="shared" si="9"/>
        <v>393500</v>
      </c>
      <c r="V10" s="603"/>
      <c r="W10" s="203"/>
      <c r="X10" s="609">
        <f t="shared" si="10"/>
        <v>0</v>
      </c>
      <c r="Y10" s="603"/>
      <c r="Z10" s="203"/>
      <c r="AA10" s="604">
        <f t="shared" si="11"/>
        <v>0</v>
      </c>
      <c r="AB10" s="518"/>
      <c r="AC10" s="203"/>
      <c r="AD10" s="203">
        <f t="shared" si="12"/>
        <v>0</v>
      </c>
      <c r="AE10" s="203"/>
      <c r="AF10" s="606">
        <f t="shared" si="0"/>
        <v>0</v>
      </c>
      <c r="AG10" s="606">
        <f t="shared" si="0"/>
        <v>0</v>
      </c>
      <c r="AH10" s="606">
        <f t="shared" si="0"/>
        <v>0</v>
      </c>
      <c r="AI10" s="606">
        <f t="shared" si="1"/>
        <v>393500</v>
      </c>
      <c r="AJ10" s="606">
        <f t="shared" si="1"/>
        <v>0</v>
      </c>
      <c r="AK10" s="606">
        <f t="shared" si="1"/>
        <v>393500</v>
      </c>
      <c r="AL10" s="203"/>
      <c r="AM10" s="535">
        <f>AK10</f>
        <v>393500</v>
      </c>
      <c r="AN10" s="203"/>
      <c r="AO10" s="508">
        <f t="shared" si="13"/>
        <v>393500</v>
      </c>
    </row>
    <row r="11" spans="1:41" ht="29.25" customHeight="1">
      <c r="A11" s="530" t="s">
        <v>434</v>
      </c>
      <c r="B11" s="220"/>
      <c r="C11" s="220"/>
      <c r="D11" s="599">
        <f t="shared" si="4"/>
        <v>0</v>
      </c>
      <c r="E11" s="600"/>
      <c r="F11" s="220"/>
      <c r="G11" s="601">
        <f t="shared" si="5"/>
        <v>0</v>
      </c>
      <c r="H11" s="602">
        <f>1340000-110000</f>
        <v>1230000</v>
      </c>
      <c r="I11" s="220">
        <v>-1230000</v>
      </c>
      <c r="J11" s="599">
        <f t="shared" si="6"/>
        <v>0</v>
      </c>
      <c r="K11" s="603"/>
      <c r="L11" s="203"/>
      <c r="M11" s="604">
        <f t="shared" si="7"/>
        <v>0</v>
      </c>
      <c r="N11" s="603"/>
      <c r="O11" s="203"/>
      <c r="P11" s="604">
        <f t="shared" si="8"/>
        <v>0</v>
      </c>
      <c r="Q11" s="603"/>
      <c r="R11" s="604"/>
      <c r="S11" s="605">
        <f t="shared" si="2"/>
        <v>1230000</v>
      </c>
      <c r="T11" s="606">
        <f t="shared" si="3"/>
        <v>-1230000</v>
      </c>
      <c r="U11" s="607">
        <f t="shared" si="9"/>
        <v>0</v>
      </c>
      <c r="V11" s="603"/>
      <c r="W11" s="203"/>
      <c r="X11" s="609">
        <f t="shared" si="10"/>
        <v>0</v>
      </c>
      <c r="Y11" s="603"/>
      <c r="Z11" s="203"/>
      <c r="AA11" s="604">
        <f t="shared" si="11"/>
        <v>0</v>
      </c>
      <c r="AB11" s="518"/>
      <c r="AC11" s="203"/>
      <c r="AD11" s="203">
        <f t="shared" si="12"/>
        <v>0</v>
      </c>
      <c r="AE11" s="203"/>
      <c r="AF11" s="606">
        <f t="shared" si="0"/>
        <v>0</v>
      </c>
      <c r="AG11" s="606">
        <f t="shared" si="0"/>
        <v>0</v>
      </c>
      <c r="AH11" s="606">
        <f t="shared" si="0"/>
        <v>0</v>
      </c>
      <c r="AI11" s="606">
        <f t="shared" si="1"/>
        <v>1230000</v>
      </c>
      <c r="AJ11" s="606">
        <f t="shared" si="1"/>
        <v>-1230000</v>
      </c>
      <c r="AK11" s="606">
        <f t="shared" si="1"/>
        <v>0</v>
      </c>
      <c r="AL11" s="203"/>
      <c r="AM11" s="203"/>
      <c r="AN11" s="203">
        <f>AK11</f>
        <v>0</v>
      </c>
      <c r="AO11" s="508">
        <f t="shared" si="13"/>
        <v>0</v>
      </c>
    </row>
    <row r="12" spans="1:41" s="40" customFormat="1" ht="42" customHeight="1">
      <c r="A12" s="598" t="s">
        <v>354</v>
      </c>
      <c r="B12" s="221"/>
      <c r="C12" s="221"/>
      <c r="D12" s="599">
        <f t="shared" si="4"/>
        <v>0</v>
      </c>
      <c r="E12" s="610"/>
      <c r="F12" s="221"/>
      <c r="G12" s="601">
        <f t="shared" si="5"/>
        <v>0</v>
      </c>
      <c r="H12" s="602">
        <v>400000</v>
      </c>
      <c r="I12" s="220"/>
      <c r="J12" s="599">
        <f t="shared" si="6"/>
        <v>400000</v>
      </c>
      <c r="K12" s="611"/>
      <c r="L12" s="222"/>
      <c r="M12" s="604">
        <f t="shared" si="7"/>
        <v>0</v>
      </c>
      <c r="N12" s="611"/>
      <c r="O12" s="222"/>
      <c r="P12" s="604">
        <f t="shared" si="8"/>
        <v>0</v>
      </c>
      <c r="Q12" s="611"/>
      <c r="R12" s="612"/>
      <c r="S12" s="605">
        <f t="shared" si="2"/>
        <v>400000</v>
      </c>
      <c r="T12" s="606">
        <f t="shared" si="3"/>
        <v>0</v>
      </c>
      <c r="U12" s="607">
        <f t="shared" si="9"/>
        <v>400000</v>
      </c>
      <c r="V12" s="608"/>
      <c r="W12" s="221"/>
      <c r="X12" s="609">
        <f t="shared" si="10"/>
        <v>0</v>
      </c>
      <c r="Y12" s="608"/>
      <c r="Z12" s="222"/>
      <c r="AA12" s="604">
        <f t="shared" si="11"/>
        <v>0</v>
      </c>
      <c r="AB12" s="613"/>
      <c r="AC12" s="222"/>
      <c r="AD12" s="203">
        <f t="shared" si="12"/>
        <v>0</v>
      </c>
      <c r="AE12" s="222"/>
      <c r="AF12" s="606">
        <f t="shared" si="0"/>
        <v>0</v>
      </c>
      <c r="AG12" s="606">
        <f t="shared" si="0"/>
        <v>0</v>
      </c>
      <c r="AH12" s="606">
        <f t="shared" si="0"/>
        <v>0</v>
      </c>
      <c r="AI12" s="606">
        <f t="shared" si="1"/>
        <v>400000</v>
      </c>
      <c r="AJ12" s="606">
        <f t="shared" si="1"/>
        <v>0</v>
      </c>
      <c r="AK12" s="606">
        <f t="shared" si="1"/>
        <v>400000</v>
      </c>
      <c r="AL12" s="222"/>
      <c r="AM12" s="222"/>
      <c r="AN12" s="203">
        <f>AK12</f>
        <v>400000</v>
      </c>
      <c r="AO12" s="614">
        <f t="shared" si="13"/>
        <v>400000</v>
      </c>
    </row>
    <row r="13" spans="1:41" ht="40.5" customHeight="1">
      <c r="A13" s="530" t="s">
        <v>355</v>
      </c>
      <c r="B13" s="220"/>
      <c r="C13" s="220"/>
      <c r="D13" s="599">
        <f t="shared" si="4"/>
        <v>0</v>
      </c>
      <c r="E13" s="600"/>
      <c r="F13" s="220"/>
      <c r="G13" s="601">
        <f t="shared" si="5"/>
        <v>0</v>
      </c>
      <c r="H13" s="602">
        <v>200000</v>
      </c>
      <c r="I13" s="220"/>
      <c r="J13" s="599">
        <f t="shared" si="6"/>
        <v>200000</v>
      </c>
      <c r="K13" s="603"/>
      <c r="L13" s="203"/>
      <c r="M13" s="604">
        <f t="shared" si="7"/>
        <v>0</v>
      </c>
      <c r="N13" s="603"/>
      <c r="O13" s="203"/>
      <c r="P13" s="604">
        <f t="shared" si="8"/>
        <v>0</v>
      </c>
      <c r="Q13" s="603"/>
      <c r="R13" s="604"/>
      <c r="S13" s="605">
        <f t="shared" si="2"/>
        <v>200000</v>
      </c>
      <c r="T13" s="606">
        <f t="shared" si="3"/>
        <v>0</v>
      </c>
      <c r="U13" s="607">
        <f t="shared" si="9"/>
        <v>200000</v>
      </c>
      <c r="V13" s="603"/>
      <c r="W13" s="203"/>
      <c r="X13" s="609">
        <f t="shared" si="10"/>
        <v>0</v>
      </c>
      <c r="Y13" s="603"/>
      <c r="Z13" s="203"/>
      <c r="AA13" s="604">
        <f t="shared" si="11"/>
        <v>0</v>
      </c>
      <c r="AB13" s="518"/>
      <c r="AC13" s="203"/>
      <c r="AD13" s="203">
        <f t="shared" si="12"/>
        <v>0</v>
      </c>
      <c r="AE13" s="203"/>
      <c r="AF13" s="606">
        <f t="shared" si="0"/>
        <v>0</v>
      </c>
      <c r="AG13" s="606">
        <f t="shared" si="0"/>
        <v>0</v>
      </c>
      <c r="AH13" s="606">
        <f t="shared" si="0"/>
        <v>0</v>
      </c>
      <c r="AI13" s="606">
        <f t="shared" si="1"/>
        <v>200000</v>
      </c>
      <c r="AJ13" s="606">
        <f t="shared" si="1"/>
        <v>0</v>
      </c>
      <c r="AK13" s="606">
        <f t="shared" si="1"/>
        <v>200000</v>
      </c>
      <c r="AL13" s="203"/>
      <c r="AM13" s="203"/>
      <c r="AN13" s="203">
        <f>AK13</f>
        <v>200000</v>
      </c>
      <c r="AO13" s="508">
        <f t="shared" si="13"/>
        <v>200000</v>
      </c>
    </row>
    <row r="14" spans="1:41" ht="18.75" customHeight="1">
      <c r="A14" s="530" t="s">
        <v>486</v>
      </c>
      <c r="B14" s="220"/>
      <c r="C14" s="220"/>
      <c r="D14" s="599">
        <f t="shared" si="4"/>
        <v>0</v>
      </c>
      <c r="E14" s="600"/>
      <c r="F14" s="220"/>
      <c r="G14" s="601">
        <f t="shared" si="5"/>
        <v>0</v>
      </c>
      <c r="H14" s="602"/>
      <c r="I14" s="220"/>
      <c r="J14" s="599">
        <f t="shared" si="6"/>
        <v>0</v>
      </c>
      <c r="K14" s="603"/>
      <c r="L14" s="203"/>
      <c r="M14" s="604">
        <f t="shared" si="7"/>
        <v>0</v>
      </c>
      <c r="N14" s="603"/>
      <c r="O14" s="203"/>
      <c r="P14" s="604">
        <f t="shared" si="8"/>
        <v>0</v>
      </c>
      <c r="Q14" s="603"/>
      <c r="R14" s="604"/>
      <c r="S14" s="605">
        <f t="shared" si="2"/>
        <v>0</v>
      </c>
      <c r="T14" s="606">
        <f t="shared" si="3"/>
        <v>0</v>
      </c>
      <c r="U14" s="607">
        <f t="shared" si="9"/>
        <v>0</v>
      </c>
      <c r="V14" s="603"/>
      <c r="W14" s="203"/>
      <c r="X14" s="609">
        <f t="shared" si="10"/>
        <v>0</v>
      </c>
      <c r="Y14" s="603"/>
      <c r="Z14" s="203"/>
      <c r="AA14" s="604">
        <f t="shared" si="11"/>
        <v>0</v>
      </c>
      <c r="AB14" s="518"/>
      <c r="AC14" s="203"/>
      <c r="AD14" s="203">
        <f t="shared" si="12"/>
        <v>0</v>
      </c>
      <c r="AE14" s="203"/>
      <c r="AF14" s="606">
        <f t="shared" si="0"/>
        <v>0</v>
      </c>
      <c r="AG14" s="606">
        <f t="shared" si="0"/>
        <v>0</v>
      </c>
      <c r="AH14" s="606">
        <f t="shared" si="0"/>
        <v>0</v>
      </c>
      <c r="AI14" s="606">
        <f t="shared" si="1"/>
        <v>0</v>
      </c>
      <c r="AJ14" s="606">
        <f t="shared" si="1"/>
        <v>0</v>
      </c>
      <c r="AK14" s="606">
        <f t="shared" si="1"/>
        <v>0</v>
      </c>
      <c r="AL14" s="203"/>
      <c r="AM14" s="203"/>
      <c r="AN14" s="203">
        <f>AK14</f>
        <v>0</v>
      </c>
      <c r="AO14" s="508">
        <f t="shared" si="13"/>
        <v>0</v>
      </c>
    </row>
    <row r="15" spans="1:41" s="40" customFormat="1" ht="42" customHeight="1">
      <c r="A15" s="598" t="s">
        <v>433</v>
      </c>
      <c r="B15" s="221"/>
      <c r="C15" s="221">
        <v>550736</v>
      </c>
      <c r="D15" s="599">
        <f t="shared" si="4"/>
        <v>550736</v>
      </c>
      <c r="E15" s="610"/>
      <c r="F15" s="221">
        <v>85364</v>
      </c>
      <c r="G15" s="601">
        <f t="shared" si="5"/>
        <v>85364</v>
      </c>
      <c r="H15" s="602">
        <f>7000000+1008044</f>
        <v>8008044</v>
      </c>
      <c r="I15" s="220"/>
      <c r="J15" s="599">
        <f t="shared" si="6"/>
        <v>8008044</v>
      </c>
      <c r="K15" s="611"/>
      <c r="L15" s="222"/>
      <c r="M15" s="604">
        <f t="shared" si="7"/>
        <v>0</v>
      </c>
      <c r="N15" s="611"/>
      <c r="O15" s="222"/>
      <c r="P15" s="604">
        <f t="shared" si="8"/>
        <v>0</v>
      </c>
      <c r="Q15" s="611"/>
      <c r="R15" s="612"/>
      <c r="S15" s="605">
        <f t="shared" si="2"/>
        <v>8008044</v>
      </c>
      <c r="T15" s="606">
        <f t="shared" si="3"/>
        <v>636100</v>
      </c>
      <c r="U15" s="607">
        <f t="shared" si="9"/>
        <v>8644144</v>
      </c>
      <c r="V15" s="611"/>
      <c r="W15" s="222">
        <v>523672</v>
      </c>
      <c r="X15" s="609">
        <f t="shared" si="10"/>
        <v>523672</v>
      </c>
      <c r="Y15" s="611"/>
      <c r="Z15" s="222"/>
      <c r="AA15" s="604">
        <f t="shared" si="11"/>
        <v>0</v>
      </c>
      <c r="AB15" s="613"/>
      <c r="AC15" s="222"/>
      <c r="AD15" s="203">
        <f t="shared" si="12"/>
        <v>0</v>
      </c>
      <c r="AE15" s="222"/>
      <c r="AF15" s="606">
        <f t="shared" si="0"/>
        <v>0</v>
      </c>
      <c r="AG15" s="606">
        <f t="shared" si="0"/>
        <v>523672</v>
      </c>
      <c r="AH15" s="606">
        <f t="shared" si="0"/>
        <v>523672</v>
      </c>
      <c r="AI15" s="606">
        <f t="shared" si="1"/>
        <v>8008044</v>
      </c>
      <c r="AJ15" s="606">
        <f t="shared" si="1"/>
        <v>1159772</v>
      </c>
      <c r="AK15" s="606">
        <f t="shared" si="1"/>
        <v>9167816</v>
      </c>
      <c r="AL15" s="222"/>
      <c r="AM15" s="222">
        <f>AK15</f>
        <v>9167816</v>
      </c>
      <c r="AN15" s="222"/>
      <c r="AO15" s="614">
        <f t="shared" si="13"/>
        <v>9167816</v>
      </c>
    </row>
    <row r="16" spans="1:41" s="37" customFormat="1" ht="44.25" customHeight="1">
      <c r="A16" s="529" t="s">
        <v>356</v>
      </c>
      <c r="B16" s="516">
        <f>SUM(B7:B15)</f>
        <v>6590400</v>
      </c>
      <c r="C16" s="516">
        <f>SUM(C7:C15)</f>
        <v>550736</v>
      </c>
      <c r="D16" s="615">
        <f t="shared" si="4"/>
        <v>7141136</v>
      </c>
      <c r="E16" s="616">
        <f aca="true" t="shared" si="14" ref="E16:AK16">SUM(E7:E15)</f>
        <v>1200120</v>
      </c>
      <c r="F16" s="516">
        <f t="shared" si="14"/>
        <v>85364</v>
      </c>
      <c r="G16" s="617">
        <f t="shared" si="5"/>
        <v>1285484</v>
      </c>
      <c r="H16" s="618">
        <f t="shared" si="14"/>
        <v>25665144</v>
      </c>
      <c r="I16" s="516">
        <f t="shared" si="14"/>
        <v>-3788472</v>
      </c>
      <c r="J16" s="615">
        <f t="shared" si="6"/>
        <v>21876672</v>
      </c>
      <c r="K16" s="619">
        <f t="shared" si="14"/>
        <v>0</v>
      </c>
      <c r="L16" s="516">
        <f t="shared" si="14"/>
        <v>0</v>
      </c>
      <c r="M16" s="531">
        <f t="shared" si="14"/>
        <v>0</v>
      </c>
      <c r="N16" s="619">
        <f t="shared" si="14"/>
        <v>0</v>
      </c>
      <c r="O16" s="516">
        <f t="shared" si="14"/>
        <v>0</v>
      </c>
      <c r="P16" s="531">
        <f t="shared" si="14"/>
        <v>0</v>
      </c>
      <c r="Q16" s="619">
        <f t="shared" si="14"/>
        <v>0</v>
      </c>
      <c r="R16" s="531">
        <f t="shared" si="14"/>
        <v>0</v>
      </c>
      <c r="S16" s="619">
        <f t="shared" si="14"/>
        <v>33455664</v>
      </c>
      <c r="T16" s="516">
        <f t="shared" si="14"/>
        <v>-3152372</v>
      </c>
      <c r="U16" s="531">
        <f t="shared" si="14"/>
        <v>30303292</v>
      </c>
      <c r="V16" s="619">
        <f t="shared" si="14"/>
        <v>5950816</v>
      </c>
      <c r="W16" s="516">
        <f t="shared" si="14"/>
        <v>523672</v>
      </c>
      <c r="X16" s="531">
        <f t="shared" si="14"/>
        <v>6474488</v>
      </c>
      <c r="Y16" s="619">
        <f t="shared" si="14"/>
        <v>0</v>
      </c>
      <c r="Z16" s="516">
        <f t="shared" si="14"/>
        <v>2330863</v>
      </c>
      <c r="AA16" s="531">
        <f t="shared" si="14"/>
        <v>2330863</v>
      </c>
      <c r="AB16" s="618">
        <f t="shared" si="14"/>
        <v>0</v>
      </c>
      <c r="AC16" s="516">
        <f t="shared" si="14"/>
        <v>0</v>
      </c>
      <c r="AD16" s="516">
        <f t="shared" si="14"/>
        <v>0</v>
      </c>
      <c r="AE16" s="516">
        <f t="shared" si="14"/>
        <v>0</v>
      </c>
      <c r="AF16" s="516">
        <f t="shared" si="14"/>
        <v>5950816</v>
      </c>
      <c r="AG16" s="516">
        <f t="shared" si="14"/>
        <v>2854535</v>
      </c>
      <c r="AH16" s="516">
        <f t="shared" si="14"/>
        <v>8805351</v>
      </c>
      <c r="AI16" s="516">
        <f t="shared" si="14"/>
        <v>39406480</v>
      </c>
      <c r="AJ16" s="516">
        <f t="shared" si="14"/>
        <v>-297837</v>
      </c>
      <c r="AK16" s="516">
        <f t="shared" si="14"/>
        <v>39108643</v>
      </c>
      <c r="AL16" s="516">
        <f>SUM(AL7:AL15)</f>
        <v>0</v>
      </c>
      <c r="AM16" s="516">
        <f>SUM(AM7:AM15)</f>
        <v>38508643</v>
      </c>
      <c r="AN16" s="516">
        <f>SUM(AN7:AN15)</f>
        <v>600000</v>
      </c>
      <c r="AO16" s="523">
        <f>SUM(AO7:AO15)</f>
        <v>39108643</v>
      </c>
    </row>
    <row r="17" spans="1:41" ht="41.25" customHeight="1">
      <c r="A17" s="598" t="s">
        <v>357</v>
      </c>
      <c r="B17" s="220">
        <v>5056728</v>
      </c>
      <c r="C17" s="220">
        <v>635000</v>
      </c>
      <c r="D17" s="599">
        <f t="shared" si="4"/>
        <v>5691728</v>
      </c>
      <c r="E17" s="600">
        <v>884927</v>
      </c>
      <c r="F17" s="220">
        <v>87500</v>
      </c>
      <c r="G17" s="601">
        <f t="shared" si="5"/>
        <v>972427</v>
      </c>
      <c r="H17" s="602">
        <v>209545</v>
      </c>
      <c r="I17" s="220">
        <v>400000</v>
      </c>
      <c r="J17" s="599">
        <f t="shared" si="6"/>
        <v>609545</v>
      </c>
      <c r="K17" s="603"/>
      <c r="L17" s="203"/>
      <c r="M17" s="604">
        <f t="shared" si="7"/>
        <v>0</v>
      </c>
      <c r="N17" s="603"/>
      <c r="O17" s="203"/>
      <c r="P17" s="604">
        <f t="shared" si="8"/>
        <v>0</v>
      </c>
      <c r="Q17" s="603"/>
      <c r="R17" s="604"/>
      <c r="S17" s="605">
        <f t="shared" si="2"/>
        <v>6151200</v>
      </c>
      <c r="T17" s="606">
        <f t="shared" si="3"/>
        <v>1122500</v>
      </c>
      <c r="U17" s="607">
        <f t="shared" si="9"/>
        <v>7273700</v>
      </c>
      <c r="V17" s="603"/>
      <c r="W17" s="203">
        <v>114000</v>
      </c>
      <c r="X17" s="604">
        <f>V17+W17</f>
        <v>114000</v>
      </c>
      <c r="Y17" s="603"/>
      <c r="Z17" s="203"/>
      <c r="AA17" s="604">
        <f>Y17+Z17</f>
        <v>0</v>
      </c>
      <c r="AB17" s="518"/>
      <c r="AC17" s="203"/>
      <c r="AD17" s="203">
        <f>AB17+AC17</f>
        <v>0</v>
      </c>
      <c r="AE17" s="203"/>
      <c r="AF17" s="606">
        <f t="shared" si="0"/>
        <v>0</v>
      </c>
      <c r="AG17" s="606">
        <f t="shared" si="0"/>
        <v>114000</v>
      </c>
      <c r="AH17" s="606">
        <f t="shared" si="0"/>
        <v>114000</v>
      </c>
      <c r="AI17" s="606">
        <f t="shared" si="1"/>
        <v>6151200</v>
      </c>
      <c r="AJ17" s="606">
        <f t="shared" si="1"/>
        <v>1236500</v>
      </c>
      <c r="AK17" s="606">
        <f t="shared" si="1"/>
        <v>7387700</v>
      </c>
      <c r="AL17" s="203"/>
      <c r="AM17" s="203">
        <f>AK17</f>
        <v>7387700</v>
      </c>
      <c r="AN17" s="203"/>
      <c r="AO17" s="508">
        <f t="shared" si="13"/>
        <v>7387700</v>
      </c>
    </row>
    <row r="18" spans="1:41" ht="32.25" customHeight="1">
      <c r="A18" s="598" t="s">
        <v>359</v>
      </c>
      <c r="B18" s="220"/>
      <c r="C18" s="220"/>
      <c r="D18" s="599">
        <f t="shared" si="4"/>
        <v>0</v>
      </c>
      <c r="E18" s="600"/>
      <c r="F18" s="220"/>
      <c r="G18" s="601">
        <f t="shared" si="5"/>
        <v>0</v>
      </c>
      <c r="H18" s="602">
        <v>145200</v>
      </c>
      <c r="I18" s="220"/>
      <c r="J18" s="599">
        <f t="shared" si="6"/>
        <v>145200</v>
      </c>
      <c r="K18" s="603"/>
      <c r="L18" s="203"/>
      <c r="M18" s="604">
        <f t="shared" si="7"/>
        <v>0</v>
      </c>
      <c r="N18" s="603"/>
      <c r="O18" s="203"/>
      <c r="P18" s="604">
        <f t="shared" si="8"/>
        <v>0</v>
      </c>
      <c r="Q18" s="603"/>
      <c r="R18" s="604"/>
      <c r="S18" s="605">
        <f t="shared" si="2"/>
        <v>145200</v>
      </c>
      <c r="T18" s="606">
        <f t="shared" si="3"/>
        <v>0</v>
      </c>
      <c r="U18" s="607">
        <f t="shared" si="9"/>
        <v>145200</v>
      </c>
      <c r="V18" s="603"/>
      <c r="W18" s="203"/>
      <c r="X18" s="604">
        <f>V18+W18</f>
        <v>0</v>
      </c>
      <c r="Y18" s="603"/>
      <c r="Z18" s="203"/>
      <c r="AA18" s="604">
        <f>Y18+Z18</f>
        <v>0</v>
      </c>
      <c r="AB18" s="518"/>
      <c r="AC18" s="203"/>
      <c r="AD18" s="203">
        <f>AB18+AC18</f>
        <v>0</v>
      </c>
      <c r="AE18" s="203"/>
      <c r="AF18" s="606">
        <f t="shared" si="0"/>
        <v>0</v>
      </c>
      <c r="AG18" s="606">
        <f t="shared" si="0"/>
        <v>0</v>
      </c>
      <c r="AH18" s="606">
        <f t="shared" si="0"/>
        <v>0</v>
      </c>
      <c r="AI18" s="606">
        <f t="shared" si="1"/>
        <v>145200</v>
      </c>
      <c r="AJ18" s="606">
        <f t="shared" si="1"/>
        <v>0</v>
      </c>
      <c r="AK18" s="606">
        <f t="shared" si="1"/>
        <v>145200</v>
      </c>
      <c r="AL18" s="203"/>
      <c r="AM18" s="203">
        <f>AK18</f>
        <v>145200</v>
      </c>
      <c r="AN18" s="203"/>
      <c r="AO18" s="508">
        <f t="shared" si="13"/>
        <v>145200</v>
      </c>
    </row>
    <row r="19" spans="1:41" ht="32.25" customHeight="1">
      <c r="A19" s="598" t="s">
        <v>358</v>
      </c>
      <c r="B19" s="220"/>
      <c r="C19" s="220"/>
      <c r="D19" s="599">
        <f t="shared" si="4"/>
        <v>0</v>
      </c>
      <c r="E19" s="600"/>
      <c r="F19" s="220"/>
      <c r="G19" s="601">
        <f t="shared" si="5"/>
        <v>0</v>
      </c>
      <c r="H19" s="602">
        <v>1000000</v>
      </c>
      <c r="I19" s="220">
        <v>282000</v>
      </c>
      <c r="J19" s="599">
        <f t="shared" si="6"/>
        <v>1282000</v>
      </c>
      <c r="K19" s="603"/>
      <c r="L19" s="203"/>
      <c r="M19" s="604">
        <f t="shared" si="7"/>
        <v>0</v>
      </c>
      <c r="N19" s="603"/>
      <c r="O19" s="203"/>
      <c r="P19" s="604">
        <f t="shared" si="8"/>
        <v>0</v>
      </c>
      <c r="Q19" s="603"/>
      <c r="R19" s="604"/>
      <c r="S19" s="605">
        <f t="shared" si="2"/>
        <v>1000000</v>
      </c>
      <c r="T19" s="606">
        <f t="shared" si="3"/>
        <v>282000</v>
      </c>
      <c r="U19" s="607">
        <f t="shared" si="9"/>
        <v>1282000</v>
      </c>
      <c r="V19" s="603"/>
      <c r="W19" s="203"/>
      <c r="X19" s="604">
        <f>V19+W19</f>
        <v>0</v>
      </c>
      <c r="Y19" s="603"/>
      <c r="Z19" s="203"/>
      <c r="AA19" s="604">
        <f>Y19+Z19</f>
        <v>0</v>
      </c>
      <c r="AB19" s="518"/>
      <c r="AC19" s="203"/>
      <c r="AD19" s="203">
        <f>AB19+AC19</f>
        <v>0</v>
      </c>
      <c r="AE19" s="203"/>
      <c r="AF19" s="606">
        <f t="shared" si="0"/>
        <v>0</v>
      </c>
      <c r="AG19" s="606">
        <f t="shared" si="0"/>
        <v>0</v>
      </c>
      <c r="AH19" s="606">
        <f t="shared" si="0"/>
        <v>0</v>
      </c>
      <c r="AI19" s="606">
        <f t="shared" si="1"/>
        <v>1000000</v>
      </c>
      <c r="AJ19" s="606">
        <f t="shared" si="1"/>
        <v>282000</v>
      </c>
      <c r="AK19" s="606">
        <f t="shared" si="1"/>
        <v>1282000</v>
      </c>
      <c r="AL19" s="203"/>
      <c r="AM19" s="203">
        <f>AK19</f>
        <v>1282000</v>
      </c>
      <c r="AN19" s="203"/>
      <c r="AO19" s="508">
        <f t="shared" si="13"/>
        <v>1282000</v>
      </c>
    </row>
    <row r="20" spans="1:41" ht="32.25" customHeight="1">
      <c r="A20" s="598" t="s">
        <v>360</v>
      </c>
      <c r="B20" s="220"/>
      <c r="C20" s="220"/>
      <c r="D20" s="599">
        <f t="shared" si="4"/>
        <v>0</v>
      </c>
      <c r="E20" s="600"/>
      <c r="F20" s="220"/>
      <c r="G20" s="601">
        <f t="shared" si="5"/>
        <v>0</v>
      </c>
      <c r="H20" s="602">
        <v>520000</v>
      </c>
      <c r="I20" s="220"/>
      <c r="J20" s="599">
        <f t="shared" si="6"/>
        <v>520000</v>
      </c>
      <c r="K20" s="603"/>
      <c r="L20" s="203"/>
      <c r="M20" s="604">
        <f t="shared" si="7"/>
        <v>0</v>
      </c>
      <c r="N20" s="603"/>
      <c r="O20" s="203"/>
      <c r="P20" s="604">
        <f t="shared" si="8"/>
        <v>0</v>
      </c>
      <c r="Q20" s="603"/>
      <c r="R20" s="604"/>
      <c r="S20" s="605">
        <f t="shared" si="2"/>
        <v>520000</v>
      </c>
      <c r="T20" s="606">
        <f t="shared" si="3"/>
        <v>0</v>
      </c>
      <c r="U20" s="607">
        <f t="shared" si="9"/>
        <v>520000</v>
      </c>
      <c r="V20" s="603"/>
      <c r="W20" s="203"/>
      <c r="X20" s="604">
        <f>V20+W20</f>
        <v>0</v>
      </c>
      <c r="Y20" s="603"/>
      <c r="Z20" s="203"/>
      <c r="AA20" s="604">
        <f>Y20+Z20</f>
        <v>0</v>
      </c>
      <c r="AB20" s="518"/>
      <c r="AC20" s="203"/>
      <c r="AD20" s="203">
        <f>AB20+AC20</f>
        <v>0</v>
      </c>
      <c r="AE20" s="203"/>
      <c r="AF20" s="606">
        <f t="shared" si="0"/>
        <v>0</v>
      </c>
      <c r="AG20" s="606">
        <f t="shared" si="0"/>
        <v>0</v>
      </c>
      <c r="AH20" s="606">
        <f t="shared" si="0"/>
        <v>0</v>
      </c>
      <c r="AI20" s="606">
        <f t="shared" si="1"/>
        <v>520000</v>
      </c>
      <c r="AJ20" s="606">
        <f t="shared" si="1"/>
        <v>0</v>
      </c>
      <c r="AK20" s="606">
        <f t="shared" si="1"/>
        <v>520000</v>
      </c>
      <c r="AL20" s="203"/>
      <c r="AM20" s="203">
        <f>AK20</f>
        <v>520000</v>
      </c>
      <c r="AN20" s="203"/>
      <c r="AO20" s="508">
        <f t="shared" si="13"/>
        <v>520000</v>
      </c>
    </row>
    <row r="21" spans="1:41" s="37" customFormat="1" ht="25.5" customHeight="1">
      <c r="A21" s="529" t="s">
        <v>361</v>
      </c>
      <c r="B21" s="620">
        <f aca="true" t="shared" si="15" ref="B21:U21">SUM(B17:B20)</f>
        <v>5056728</v>
      </c>
      <c r="C21" s="620">
        <f t="shared" si="15"/>
        <v>635000</v>
      </c>
      <c r="D21" s="621">
        <f t="shared" si="15"/>
        <v>5691728</v>
      </c>
      <c r="E21" s="622">
        <f t="shared" si="15"/>
        <v>884927</v>
      </c>
      <c r="F21" s="620">
        <f t="shared" si="15"/>
        <v>87500</v>
      </c>
      <c r="G21" s="623">
        <f t="shared" si="15"/>
        <v>972427</v>
      </c>
      <c r="H21" s="624">
        <f t="shared" si="15"/>
        <v>1874745</v>
      </c>
      <c r="I21" s="620">
        <f t="shared" si="15"/>
        <v>682000</v>
      </c>
      <c r="J21" s="621">
        <f t="shared" si="15"/>
        <v>2556745</v>
      </c>
      <c r="K21" s="625">
        <f t="shared" si="15"/>
        <v>0</v>
      </c>
      <c r="L21" s="620">
        <f t="shared" si="15"/>
        <v>0</v>
      </c>
      <c r="M21" s="626">
        <f t="shared" si="15"/>
        <v>0</v>
      </c>
      <c r="N21" s="625">
        <f t="shared" si="15"/>
        <v>0</v>
      </c>
      <c r="O21" s="620">
        <f t="shared" si="15"/>
        <v>0</v>
      </c>
      <c r="P21" s="626">
        <f t="shared" si="15"/>
        <v>0</v>
      </c>
      <c r="Q21" s="625">
        <f t="shared" si="15"/>
        <v>0</v>
      </c>
      <c r="R21" s="626">
        <f t="shared" si="15"/>
        <v>0</v>
      </c>
      <c r="S21" s="625">
        <f t="shared" si="15"/>
        <v>7816400</v>
      </c>
      <c r="T21" s="620">
        <f t="shared" si="15"/>
        <v>1404500</v>
      </c>
      <c r="U21" s="626">
        <f t="shared" si="15"/>
        <v>9220900</v>
      </c>
      <c r="V21" s="619">
        <f aca="true" t="shared" si="16" ref="V21:AN21">SUM(V17:V20)</f>
        <v>0</v>
      </c>
      <c r="W21" s="516">
        <f t="shared" si="16"/>
        <v>114000</v>
      </c>
      <c r="X21" s="531">
        <f t="shared" si="16"/>
        <v>114000</v>
      </c>
      <c r="Y21" s="619">
        <f t="shared" si="16"/>
        <v>0</v>
      </c>
      <c r="Z21" s="516">
        <f t="shared" si="16"/>
        <v>0</v>
      </c>
      <c r="AA21" s="531">
        <f t="shared" si="16"/>
        <v>0</v>
      </c>
      <c r="AB21" s="618">
        <f t="shared" si="16"/>
        <v>0</v>
      </c>
      <c r="AC21" s="516">
        <f t="shared" si="16"/>
        <v>0</v>
      </c>
      <c r="AD21" s="516">
        <f t="shared" si="16"/>
        <v>0</v>
      </c>
      <c r="AE21" s="516">
        <f t="shared" si="16"/>
        <v>0</v>
      </c>
      <c r="AF21" s="516">
        <f t="shared" si="16"/>
        <v>0</v>
      </c>
      <c r="AG21" s="516">
        <f t="shared" si="16"/>
        <v>114000</v>
      </c>
      <c r="AH21" s="516">
        <f t="shared" si="16"/>
        <v>114000</v>
      </c>
      <c r="AI21" s="535">
        <f t="shared" si="1"/>
        <v>7816400</v>
      </c>
      <c r="AJ21" s="535">
        <f t="shared" si="1"/>
        <v>1518500</v>
      </c>
      <c r="AK21" s="535">
        <f t="shared" si="1"/>
        <v>9334900</v>
      </c>
      <c r="AL21" s="516">
        <f t="shared" si="16"/>
        <v>0</v>
      </c>
      <c r="AM21" s="516">
        <f t="shared" si="16"/>
        <v>9334900</v>
      </c>
      <c r="AN21" s="516">
        <f t="shared" si="16"/>
        <v>0</v>
      </c>
      <c r="AO21" s="523">
        <f t="shared" si="13"/>
        <v>9334900</v>
      </c>
    </row>
    <row r="22" spans="1:41" ht="19.5" customHeight="1">
      <c r="A22" s="530" t="s">
        <v>362</v>
      </c>
      <c r="B22" s="203"/>
      <c r="C22" s="203"/>
      <c r="D22" s="599">
        <f t="shared" si="4"/>
        <v>0</v>
      </c>
      <c r="E22" s="627"/>
      <c r="F22" s="203"/>
      <c r="G22" s="601">
        <f t="shared" si="5"/>
        <v>0</v>
      </c>
      <c r="H22" s="518"/>
      <c r="I22" s="203"/>
      <c r="J22" s="599">
        <f t="shared" si="6"/>
        <v>0</v>
      </c>
      <c r="K22" s="603"/>
      <c r="L22" s="203"/>
      <c r="M22" s="604">
        <f t="shared" si="7"/>
        <v>0</v>
      </c>
      <c r="N22" s="603"/>
      <c r="O22" s="203"/>
      <c r="P22" s="604">
        <f t="shared" si="8"/>
        <v>0</v>
      </c>
      <c r="Q22" s="603"/>
      <c r="R22" s="604"/>
      <c r="S22" s="605">
        <f t="shared" si="2"/>
        <v>0</v>
      </c>
      <c r="T22" s="606">
        <f t="shared" si="3"/>
        <v>0</v>
      </c>
      <c r="U22" s="607">
        <f t="shared" si="9"/>
        <v>0</v>
      </c>
      <c r="V22" s="603"/>
      <c r="W22" s="203"/>
      <c r="X22" s="604">
        <f>V22+W22</f>
        <v>0</v>
      </c>
      <c r="Y22" s="603"/>
      <c r="Z22" s="203"/>
      <c r="AA22" s="604">
        <f>Y22+Z22</f>
        <v>0</v>
      </c>
      <c r="AB22" s="518"/>
      <c r="AC22" s="203"/>
      <c r="AD22" s="203">
        <f>AB22+AC22</f>
        <v>0</v>
      </c>
      <c r="AE22" s="203"/>
      <c r="AF22" s="606">
        <f aca="true" t="shared" si="17" ref="AF22:AH76">V22+Y22+AB22</f>
        <v>0</v>
      </c>
      <c r="AG22" s="606">
        <f t="shared" si="17"/>
        <v>0</v>
      </c>
      <c r="AH22" s="606">
        <f t="shared" si="17"/>
        <v>0</v>
      </c>
      <c r="AI22" s="606">
        <f aca="true" t="shared" si="18" ref="AI22:AK77">S22+AF22</f>
        <v>0</v>
      </c>
      <c r="AJ22" s="606">
        <f t="shared" si="18"/>
        <v>0</v>
      </c>
      <c r="AK22" s="606">
        <f t="shared" si="18"/>
        <v>0</v>
      </c>
      <c r="AL22" s="203"/>
      <c r="AM22" s="203">
        <f>AK22</f>
        <v>0</v>
      </c>
      <c r="AN22" s="203"/>
      <c r="AO22" s="508">
        <f t="shared" si="13"/>
        <v>0</v>
      </c>
    </row>
    <row r="23" spans="1:41" ht="50.25" customHeight="1">
      <c r="A23" s="530" t="s">
        <v>435</v>
      </c>
      <c r="B23" s="203"/>
      <c r="C23" s="203"/>
      <c r="D23" s="599">
        <f t="shared" si="4"/>
        <v>0</v>
      </c>
      <c r="E23" s="627"/>
      <c r="F23" s="203"/>
      <c r="G23" s="601">
        <f t="shared" si="5"/>
        <v>0</v>
      </c>
      <c r="H23" s="518"/>
      <c r="I23" s="203"/>
      <c r="J23" s="599">
        <f t="shared" si="6"/>
        <v>0</v>
      </c>
      <c r="K23" s="628"/>
      <c r="L23" s="220"/>
      <c r="M23" s="604">
        <f t="shared" si="7"/>
        <v>0</v>
      </c>
      <c r="N23" s="628">
        <v>4318722</v>
      </c>
      <c r="O23" s="220"/>
      <c r="P23" s="604">
        <f t="shared" si="8"/>
        <v>4318722</v>
      </c>
      <c r="Q23" s="628"/>
      <c r="R23" s="629"/>
      <c r="S23" s="605">
        <f t="shared" si="2"/>
        <v>4318722</v>
      </c>
      <c r="T23" s="606">
        <f t="shared" si="3"/>
        <v>0</v>
      </c>
      <c r="U23" s="607">
        <f t="shared" si="9"/>
        <v>4318722</v>
      </c>
      <c r="V23" s="603"/>
      <c r="W23" s="203"/>
      <c r="X23" s="604">
        <f>V23+W23</f>
        <v>0</v>
      </c>
      <c r="Y23" s="603"/>
      <c r="Z23" s="203"/>
      <c r="AA23" s="604">
        <f>Y23+Z23</f>
        <v>0</v>
      </c>
      <c r="AB23" s="518"/>
      <c r="AC23" s="203"/>
      <c r="AD23" s="203">
        <f>AB23+AC23</f>
        <v>0</v>
      </c>
      <c r="AE23" s="203"/>
      <c r="AF23" s="606">
        <f t="shared" si="17"/>
        <v>0</v>
      </c>
      <c r="AG23" s="606">
        <f t="shared" si="17"/>
        <v>0</v>
      </c>
      <c r="AH23" s="606">
        <f t="shared" si="17"/>
        <v>0</v>
      </c>
      <c r="AI23" s="606">
        <f t="shared" si="18"/>
        <v>4318722</v>
      </c>
      <c r="AJ23" s="606">
        <f t="shared" si="18"/>
        <v>0</v>
      </c>
      <c r="AK23" s="606">
        <f t="shared" si="18"/>
        <v>4318722</v>
      </c>
      <c r="AL23" s="203"/>
      <c r="AM23" s="203">
        <f>AK23</f>
        <v>4318722</v>
      </c>
      <c r="AN23" s="203"/>
      <c r="AO23" s="508">
        <f t="shared" si="13"/>
        <v>4318722</v>
      </c>
    </row>
    <row r="24" spans="1:41" ht="27" customHeight="1">
      <c r="A24" s="530" t="s">
        <v>364</v>
      </c>
      <c r="B24" s="203"/>
      <c r="C24" s="203"/>
      <c r="D24" s="599">
        <f t="shared" si="4"/>
        <v>0</v>
      </c>
      <c r="E24" s="627"/>
      <c r="F24" s="203"/>
      <c r="G24" s="601">
        <f t="shared" si="5"/>
        <v>0</v>
      </c>
      <c r="H24" s="518"/>
      <c r="I24" s="203"/>
      <c r="J24" s="599">
        <f t="shared" si="6"/>
        <v>0</v>
      </c>
      <c r="K24" s="628">
        <v>1800000</v>
      </c>
      <c r="L24" s="220">
        <v>-1000000</v>
      </c>
      <c r="M24" s="604">
        <f t="shared" si="7"/>
        <v>800000</v>
      </c>
      <c r="N24" s="628"/>
      <c r="O24" s="220"/>
      <c r="P24" s="604">
        <f t="shared" si="8"/>
        <v>0</v>
      </c>
      <c r="Q24" s="628"/>
      <c r="R24" s="604"/>
      <c r="S24" s="605">
        <f t="shared" si="2"/>
        <v>1800000</v>
      </c>
      <c r="T24" s="606">
        <f t="shared" si="3"/>
        <v>-1000000</v>
      </c>
      <c r="U24" s="607">
        <f t="shared" si="9"/>
        <v>800000</v>
      </c>
      <c r="V24" s="603"/>
      <c r="W24" s="203"/>
      <c r="X24" s="604">
        <f>V24+W24</f>
        <v>0</v>
      </c>
      <c r="Y24" s="603"/>
      <c r="Z24" s="203"/>
      <c r="AA24" s="604">
        <f>Y24+Z24</f>
        <v>0</v>
      </c>
      <c r="AB24" s="518"/>
      <c r="AC24" s="203"/>
      <c r="AD24" s="203">
        <f>AB24+AC24</f>
        <v>0</v>
      </c>
      <c r="AE24" s="203"/>
      <c r="AF24" s="606">
        <f t="shared" si="17"/>
        <v>0</v>
      </c>
      <c r="AG24" s="606">
        <f t="shared" si="17"/>
        <v>0</v>
      </c>
      <c r="AH24" s="606">
        <f t="shared" si="17"/>
        <v>0</v>
      </c>
      <c r="AI24" s="606">
        <f t="shared" si="18"/>
        <v>1800000</v>
      </c>
      <c r="AJ24" s="606">
        <f t="shared" si="18"/>
        <v>-1000000</v>
      </c>
      <c r="AK24" s="606">
        <f t="shared" si="18"/>
        <v>800000</v>
      </c>
      <c r="AL24" s="203"/>
      <c r="AM24" s="203">
        <f>AK24</f>
        <v>800000</v>
      </c>
      <c r="AN24" s="203"/>
      <c r="AO24" s="508">
        <f t="shared" si="13"/>
        <v>800000</v>
      </c>
    </row>
    <row r="25" spans="1:41" ht="39" customHeight="1">
      <c r="A25" s="530" t="s">
        <v>365</v>
      </c>
      <c r="B25" s="203"/>
      <c r="C25" s="203"/>
      <c r="D25" s="599">
        <f t="shared" si="4"/>
        <v>0</v>
      </c>
      <c r="E25" s="627"/>
      <c r="F25" s="203"/>
      <c r="G25" s="601">
        <f t="shared" si="5"/>
        <v>0</v>
      </c>
      <c r="H25" s="518"/>
      <c r="I25" s="203">
        <v>1700000</v>
      </c>
      <c r="J25" s="599">
        <f t="shared" si="6"/>
        <v>1700000</v>
      </c>
      <c r="K25" s="628">
        <f>5760000-560000</f>
        <v>5200000</v>
      </c>
      <c r="L25" s="220">
        <v>-700000</v>
      </c>
      <c r="M25" s="604">
        <f t="shared" si="7"/>
        <v>4500000</v>
      </c>
      <c r="N25" s="628">
        <v>560000</v>
      </c>
      <c r="O25" s="223">
        <v>-12000</v>
      </c>
      <c r="P25" s="604">
        <f t="shared" si="8"/>
        <v>548000</v>
      </c>
      <c r="Q25" s="628"/>
      <c r="R25" s="629"/>
      <c r="S25" s="605">
        <f t="shared" si="2"/>
        <v>5760000</v>
      </c>
      <c r="T25" s="606">
        <f t="shared" si="3"/>
        <v>988000</v>
      </c>
      <c r="U25" s="607">
        <f t="shared" si="9"/>
        <v>6748000</v>
      </c>
      <c r="V25" s="603"/>
      <c r="W25" s="203"/>
      <c r="X25" s="604">
        <f>V25+W25</f>
        <v>0</v>
      </c>
      <c r="Y25" s="603"/>
      <c r="Z25" s="203"/>
      <c r="AA25" s="604">
        <f>Y25+Z25</f>
        <v>0</v>
      </c>
      <c r="AB25" s="518"/>
      <c r="AC25" s="203"/>
      <c r="AD25" s="203">
        <f>AB25+AC25</f>
        <v>0</v>
      </c>
      <c r="AE25" s="203"/>
      <c r="AF25" s="606">
        <f t="shared" si="17"/>
        <v>0</v>
      </c>
      <c r="AG25" s="606">
        <f t="shared" si="17"/>
        <v>0</v>
      </c>
      <c r="AH25" s="606">
        <f t="shared" si="17"/>
        <v>0</v>
      </c>
      <c r="AI25" s="606">
        <f t="shared" si="18"/>
        <v>5760000</v>
      </c>
      <c r="AJ25" s="606">
        <f t="shared" si="18"/>
        <v>988000</v>
      </c>
      <c r="AK25" s="606">
        <f t="shared" si="18"/>
        <v>6748000</v>
      </c>
      <c r="AL25" s="203"/>
      <c r="AM25" s="203">
        <f>AK25</f>
        <v>6748000</v>
      </c>
      <c r="AN25" s="203"/>
      <c r="AO25" s="508">
        <f t="shared" si="13"/>
        <v>6748000</v>
      </c>
    </row>
    <row r="26" spans="1:41" ht="29.25" customHeight="1">
      <c r="A26" s="530" t="s">
        <v>378</v>
      </c>
      <c r="B26" s="203"/>
      <c r="C26" s="203"/>
      <c r="D26" s="599">
        <f t="shared" si="4"/>
        <v>0</v>
      </c>
      <c r="E26" s="627"/>
      <c r="F26" s="203"/>
      <c r="G26" s="601">
        <f t="shared" si="5"/>
        <v>0</v>
      </c>
      <c r="H26" s="518"/>
      <c r="I26" s="203"/>
      <c r="J26" s="599">
        <f t="shared" si="6"/>
        <v>0</v>
      </c>
      <c r="K26" s="628"/>
      <c r="L26" s="220"/>
      <c r="M26" s="604">
        <f t="shared" si="7"/>
        <v>0</v>
      </c>
      <c r="N26" s="628">
        <v>549420</v>
      </c>
      <c r="O26" s="220"/>
      <c r="P26" s="604">
        <f t="shared" si="8"/>
        <v>549420</v>
      </c>
      <c r="Q26" s="628"/>
      <c r="R26" s="629"/>
      <c r="S26" s="605">
        <f t="shared" si="2"/>
        <v>549420</v>
      </c>
      <c r="T26" s="606">
        <f t="shared" si="3"/>
        <v>0</v>
      </c>
      <c r="U26" s="607">
        <f t="shared" si="9"/>
        <v>549420</v>
      </c>
      <c r="V26" s="603"/>
      <c r="W26" s="203"/>
      <c r="X26" s="604">
        <f>V26+W26</f>
        <v>0</v>
      </c>
      <c r="Y26" s="603"/>
      <c r="Z26" s="203"/>
      <c r="AA26" s="604">
        <f>Y26+Z26</f>
        <v>0</v>
      </c>
      <c r="AB26" s="518"/>
      <c r="AC26" s="203"/>
      <c r="AD26" s="203">
        <f>AB26+AC26</f>
        <v>0</v>
      </c>
      <c r="AE26" s="203"/>
      <c r="AF26" s="606">
        <f t="shared" si="17"/>
        <v>0</v>
      </c>
      <c r="AG26" s="606">
        <f t="shared" si="17"/>
        <v>0</v>
      </c>
      <c r="AH26" s="606">
        <f t="shared" si="17"/>
        <v>0</v>
      </c>
      <c r="AI26" s="606">
        <f t="shared" si="18"/>
        <v>549420</v>
      </c>
      <c r="AJ26" s="606">
        <f t="shared" si="18"/>
        <v>0</v>
      </c>
      <c r="AK26" s="606">
        <f t="shared" si="18"/>
        <v>549420</v>
      </c>
      <c r="AL26" s="203"/>
      <c r="AM26" s="203">
        <f>AK26</f>
        <v>549420</v>
      </c>
      <c r="AN26" s="203"/>
      <c r="AO26" s="508">
        <f t="shared" si="13"/>
        <v>549420</v>
      </c>
    </row>
    <row r="27" spans="1:41" s="37" customFormat="1" ht="24" customHeight="1">
      <c r="A27" s="529" t="s">
        <v>373</v>
      </c>
      <c r="B27" s="524">
        <f>SUM(B22:B25)</f>
        <v>0</v>
      </c>
      <c r="C27" s="524">
        <f>SUM(C22:C25)</f>
        <v>0</v>
      </c>
      <c r="D27" s="615">
        <f t="shared" si="4"/>
        <v>0</v>
      </c>
      <c r="E27" s="630">
        <f>SUM(E22:E25)</f>
        <v>0</v>
      </c>
      <c r="F27" s="524">
        <f>SUM(F22:F25)</f>
        <v>0</v>
      </c>
      <c r="G27" s="617">
        <f t="shared" si="5"/>
        <v>0</v>
      </c>
      <c r="H27" s="525">
        <f aca="true" t="shared" si="19" ref="H27:AH27">SUM(H22:H25)</f>
        <v>0</v>
      </c>
      <c r="I27" s="525">
        <f t="shared" si="19"/>
        <v>1700000</v>
      </c>
      <c r="J27" s="615">
        <f t="shared" si="6"/>
        <v>1700000</v>
      </c>
      <c r="K27" s="631">
        <f t="shared" si="19"/>
        <v>7000000</v>
      </c>
      <c r="L27" s="524">
        <f t="shared" si="19"/>
        <v>-1700000</v>
      </c>
      <c r="M27" s="632">
        <f t="shared" si="7"/>
        <v>5300000</v>
      </c>
      <c r="N27" s="631">
        <f>SUM(N22:N26)</f>
        <v>5428142</v>
      </c>
      <c r="O27" s="524">
        <f>SUM(O22:O26)</f>
        <v>-12000</v>
      </c>
      <c r="P27" s="632">
        <f t="shared" si="8"/>
        <v>5416142</v>
      </c>
      <c r="Q27" s="631"/>
      <c r="R27" s="523">
        <f>SUM(R22:R26)</f>
        <v>0</v>
      </c>
      <c r="S27" s="597">
        <f t="shared" si="2"/>
        <v>12428142</v>
      </c>
      <c r="T27" s="535">
        <f>SUM(T22:T26)</f>
        <v>-12000</v>
      </c>
      <c r="U27" s="534">
        <f t="shared" si="9"/>
        <v>12416142</v>
      </c>
      <c r="V27" s="631">
        <f t="shared" si="19"/>
        <v>0</v>
      </c>
      <c r="W27" s="524">
        <f t="shared" si="19"/>
        <v>0</v>
      </c>
      <c r="X27" s="523">
        <f t="shared" si="19"/>
        <v>0</v>
      </c>
      <c r="Y27" s="631">
        <f t="shared" si="19"/>
        <v>0</v>
      </c>
      <c r="Z27" s="524">
        <f t="shared" si="19"/>
        <v>0</v>
      </c>
      <c r="AA27" s="523">
        <f t="shared" si="19"/>
        <v>0</v>
      </c>
      <c r="AB27" s="525">
        <f t="shared" si="19"/>
        <v>0</v>
      </c>
      <c r="AC27" s="524">
        <f t="shared" si="19"/>
        <v>0</v>
      </c>
      <c r="AD27" s="524">
        <f t="shared" si="19"/>
        <v>0</v>
      </c>
      <c r="AE27" s="524">
        <f t="shared" si="19"/>
        <v>0</v>
      </c>
      <c r="AF27" s="524">
        <f t="shared" si="19"/>
        <v>0</v>
      </c>
      <c r="AG27" s="524">
        <f t="shared" si="19"/>
        <v>0</v>
      </c>
      <c r="AH27" s="524">
        <f t="shared" si="19"/>
        <v>0</v>
      </c>
      <c r="AI27" s="535">
        <f t="shared" si="18"/>
        <v>12428142</v>
      </c>
      <c r="AJ27" s="535">
        <f t="shared" si="18"/>
        <v>-12000</v>
      </c>
      <c r="AK27" s="535">
        <f t="shared" si="18"/>
        <v>12416142</v>
      </c>
      <c r="AL27" s="524">
        <f>SUM(AL22:AL26)</f>
        <v>0</v>
      </c>
      <c r="AM27" s="524">
        <f>SUM(AM22:AM26)</f>
        <v>12416142</v>
      </c>
      <c r="AN27" s="524">
        <f>SUM(AN22:AN26)</f>
        <v>0</v>
      </c>
      <c r="AO27" s="523">
        <f>SUM(AO22:AO26)</f>
        <v>12416142</v>
      </c>
    </row>
    <row r="28" spans="1:41" s="40" customFormat="1" ht="37.5" customHeight="1">
      <c r="A28" s="598" t="s">
        <v>431</v>
      </c>
      <c r="B28" s="221">
        <v>2527200</v>
      </c>
      <c r="C28" s="221">
        <v>1135000</v>
      </c>
      <c r="D28" s="599">
        <f t="shared" si="4"/>
        <v>3662200</v>
      </c>
      <c r="E28" s="610">
        <v>442260</v>
      </c>
      <c r="F28" s="221">
        <v>180000</v>
      </c>
      <c r="G28" s="601">
        <f t="shared" si="5"/>
        <v>622260</v>
      </c>
      <c r="H28" s="602">
        <v>2500000</v>
      </c>
      <c r="I28" s="220"/>
      <c r="J28" s="599">
        <f t="shared" si="6"/>
        <v>2500000</v>
      </c>
      <c r="K28" s="611"/>
      <c r="L28" s="222"/>
      <c r="M28" s="604">
        <f t="shared" si="7"/>
        <v>0</v>
      </c>
      <c r="N28" s="611"/>
      <c r="O28" s="222"/>
      <c r="P28" s="604">
        <f t="shared" si="8"/>
        <v>0</v>
      </c>
      <c r="Q28" s="611"/>
      <c r="R28" s="612"/>
      <c r="S28" s="605">
        <f t="shared" si="2"/>
        <v>5469460</v>
      </c>
      <c r="T28" s="606">
        <f t="shared" si="3"/>
        <v>1315000</v>
      </c>
      <c r="U28" s="607">
        <f t="shared" si="9"/>
        <v>6784460</v>
      </c>
      <c r="V28" s="608"/>
      <c r="W28" s="221"/>
      <c r="X28" s="609">
        <f>V28+W28</f>
        <v>0</v>
      </c>
      <c r="Y28" s="608"/>
      <c r="Z28" s="222"/>
      <c r="AA28" s="612">
        <f>Y28+Z28</f>
        <v>0</v>
      </c>
      <c r="AB28" s="613"/>
      <c r="AC28" s="222"/>
      <c r="AD28" s="222">
        <f>AB28+AC28</f>
        <v>0</v>
      </c>
      <c r="AE28" s="222"/>
      <c r="AF28" s="606">
        <f t="shared" si="17"/>
        <v>0</v>
      </c>
      <c r="AG28" s="606">
        <f t="shared" si="17"/>
        <v>0</v>
      </c>
      <c r="AH28" s="606">
        <f t="shared" si="17"/>
        <v>0</v>
      </c>
      <c r="AI28" s="606">
        <f t="shared" si="18"/>
        <v>5469460</v>
      </c>
      <c r="AJ28" s="606">
        <f t="shared" si="18"/>
        <v>1315000</v>
      </c>
      <c r="AK28" s="606">
        <f t="shared" si="18"/>
        <v>6784460</v>
      </c>
      <c r="AL28" s="222"/>
      <c r="AM28" s="203">
        <f>AK28</f>
        <v>6784460</v>
      </c>
      <c r="AN28" s="222"/>
      <c r="AO28" s="614">
        <f>SUM(AL28:AN28)</f>
        <v>6784460</v>
      </c>
    </row>
    <row r="29" spans="1:41" s="40" customFormat="1" ht="24" customHeight="1">
      <c r="A29" s="598" t="s">
        <v>367</v>
      </c>
      <c r="B29" s="221"/>
      <c r="C29" s="221"/>
      <c r="D29" s="599">
        <f t="shared" si="4"/>
        <v>0</v>
      </c>
      <c r="E29" s="610"/>
      <c r="F29" s="221"/>
      <c r="G29" s="601">
        <f t="shared" si="5"/>
        <v>0</v>
      </c>
      <c r="H29" s="518">
        <v>2500000</v>
      </c>
      <c r="I29" s="203">
        <v>-2000000</v>
      </c>
      <c r="J29" s="599">
        <f t="shared" si="6"/>
        <v>500000</v>
      </c>
      <c r="K29" s="611"/>
      <c r="L29" s="222"/>
      <c r="M29" s="604">
        <f t="shared" si="7"/>
        <v>0</v>
      </c>
      <c r="N29" s="611"/>
      <c r="O29" s="222"/>
      <c r="P29" s="604">
        <f t="shared" si="8"/>
        <v>0</v>
      </c>
      <c r="Q29" s="611"/>
      <c r="R29" s="612"/>
      <c r="S29" s="605">
        <f t="shared" si="2"/>
        <v>2500000</v>
      </c>
      <c r="T29" s="606">
        <f t="shared" si="3"/>
        <v>-2000000</v>
      </c>
      <c r="U29" s="607">
        <f t="shared" si="9"/>
        <v>500000</v>
      </c>
      <c r="V29" s="611"/>
      <c r="W29" s="222"/>
      <c r="X29" s="609">
        <f>V29+W29</f>
        <v>0</v>
      </c>
      <c r="Y29" s="611"/>
      <c r="Z29" s="222"/>
      <c r="AA29" s="612">
        <f>Y29+Z29</f>
        <v>0</v>
      </c>
      <c r="AB29" s="613"/>
      <c r="AC29" s="222"/>
      <c r="AD29" s="222">
        <f>AB29+AC29</f>
        <v>0</v>
      </c>
      <c r="AE29" s="222"/>
      <c r="AF29" s="606">
        <f t="shared" si="17"/>
        <v>0</v>
      </c>
      <c r="AG29" s="606">
        <f t="shared" si="17"/>
        <v>0</v>
      </c>
      <c r="AH29" s="606">
        <f t="shared" si="17"/>
        <v>0</v>
      </c>
      <c r="AI29" s="606">
        <f t="shared" si="18"/>
        <v>2500000</v>
      </c>
      <c r="AJ29" s="606">
        <f t="shared" si="18"/>
        <v>-2000000</v>
      </c>
      <c r="AK29" s="606">
        <f t="shared" si="18"/>
        <v>500000</v>
      </c>
      <c r="AL29" s="222"/>
      <c r="AM29" s="222"/>
      <c r="AN29" s="222">
        <f>AK29</f>
        <v>500000</v>
      </c>
      <c r="AO29" s="614">
        <f>SUM(AL29:AN29)</f>
        <v>500000</v>
      </c>
    </row>
    <row r="30" spans="1:41" s="40" customFormat="1" ht="24" customHeight="1">
      <c r="A30" s="598" t="s">
        <v>368</v>
      </c>
      <c r="B30" s="221"/>
      <c r="C30" s="221"/>
      <c r="D30" s="599">
        <f t="shared" si="4"/>
        <v>0</v>
      </c>
      <c r="E30" s="610"/>
      <c r="F30" s="221"/>
      <c r="G30" s="601">
        <f t="shared" si="5"/>
        <v>0</v>
      </c>
      <c r="H30" s="602"/>
      <c r="I30" s="220">
        <v>1000000</v>
      </c>
      <c r="J30" s="599">
        <f t="shared" si="6"/>
        <v>1000000</v>
      </c>
      <c r="K30" s="611"/>
      <c r="L30" s="222"/>
      <c r="M30" s="604">
        <f t="shared" si="7"/>
        <v>0</v>
      </c>
      <c r="N30" s="611"/>
      <c r="O30" s="222"/>
      <c r="P30" s="604">
        <f t="shared" si="8"/>
        <v>0</v>
      </c>
      <c r="Q30" s="611"/>
      <c r="R30" s="612"/>
      <c r="S30" s="605">
        <f t="shared" si="2"/>
        <v>0</v>
      </c>
      <c r="T30" s="606">
        <f t="shared" si="3"/>
        <v>1000000</v>
      </c>
      <c r="U30" s="607">
        <f t="shared" si="9"/>
        <v>1000000</v>
      </c>
      <c r="V30" s="611"/>
      <c r="W30" s="222"/>
      <c r="X30" s="609">
        <f>V30+W30</f>
        <v>0</v>
      </c>
      <c r="Y30" s="611"/>
      <c r="Z30" s="222"/>
      <c r="AA30" s="612">
        <f>Y30+Z30</f>
        <v>0</v>
      </c>
      <c r="AB30" s="613">
        <v>1358080</v>
      </c>
      <c r="AC30" s="222">
        <v>-1358080</v>
      </c>
      <c r="AD30" s="222">
        <f>AB30+AC30</f>
        <v>0</v>
      </c>
      <c r="AE30" s="222"/>
      <c r="AF30" s="606">
        <f t="shared" si="17"/>
        <v>1358080</v>
      </c>
      <c r="AG30" s="606">
        <f t="shared" si="17"/>
        <v>-1358080</v>
      </c>
      <c r="AH30" s="606">
        <f t="shared" si="17"/>
        <v>0</v>
      </c>
      <c r="AI30" s="606">
        <f t="shared" si="18"/>
        <v>1358080</v>
      </c>
      <c r="AJ30" s="491">
        <f t="shared" si="18"/>
        <v>-358080</v>
      </c>
      <c r="AK30" s="606">
        <f t="shared" si="18"/>
        <v>1000000</v>
      </c>
      <c r="AL30" s="222"/>
      <c r="AM30" s="222">
        <f>AK30</f>
        <v>1000000</v>
      </c>
      <c r="AN30" s="222"/>
      <c r="AO30" s="614">
        <f>SUM(AL30:AN30)</f>
        <v>1000000</v>
      </c>
    </row>
    <row r="31" spans="1:41" s="37" customFormat="1" ht="12.75">
      <c r="A31" s="529" t="s">
        <v>369</v>
      </c>
      <c r="B31" s="516">
        <f>SUM(B28:B30)</f>
        <v>2527200</v>
      </c>
      <c r="C31" s="516">
        <f>SUM(C28:C30)</f>
        <v>1135000</v>
      </c>
      <c r="D31" s="633">
        <f aca="true" t="shared" si="20" ref="D31:U31">SUM(D28:D30)</f>
        <v>3662200</v>
      </c>
      <c r="E31" s="616">
        <f t="shared" si="20"/>
        <v>442260</v>
      </c>
      <c r="F31" s="516">
        <f t="shared" si="20"/>
        <v>180000</v>
      </c>
      <c r="G31" s="634">
        <f t="shared" si="20"/>
        <v>622260</v>
      </c>
      <c r="H31" s="618">
        <f t="shared" si="20"/>
        <v>5000000</v>
      </c>
      <c r="I31" s="516">
        <f t="shared" si="20"/>
        <v>-1000000</v>
      </c>
      <c r="J31" s="633">
        <f t="shared" si="20"/>
        <v>4000000</v>
      </c>
      <c r="K31" s="619">
        <f t="shared" si="20"/>
        <v>0</v>
      </c>
      <c r="L31" s="516">
        <f t="shared" si="20"/>
        <v>0</v>
      </c>
      <c r="M31" s="531">
        <f t="shared" si="20"/>
        <v>0</v>
      </c>
      <c r="N31" s="619">
        <f t="shared" si="20"/>
        <v>0</v>
      </c>
      <c r="O31" s="516">
        <f t="shared" si="20"/>
        <v>0</v>
      </c>
      <c r="P31" s="531">
        <f t="shared" si="20"/>
        <v>0</v>
      </c>
      <c r="Q31" s="619">
        <f t="shared" si="20"/>
        <v>0</v>
      </c>
      <c r="R31" s="531">
        <f t="shared" si="20"/>
        <v>0</v>
      </c>
      <c r="S31" s="619">
        <f t="shared" si="20"/>
        <v>7969460</v>
      </c>
      <c r="T31" s="516">
        <f t="shared" si="20"/>
        <v>315000</v>
      </c>
      <c r="U31" s="531">
        <f t="shared" si="20"/>
        <v>8284460</v>
      </c>
      <c r="V31" s="619">
        <f>SUM(V28:V30)</f>
        <v>0</v>
      </c>
      <c r="W31" s="516">
        <f>SUM(W28:W30)</f>
        <v>0</v>
      </c>
      <c r="X31" s="531">
        <f>SUM(X28:X30)</f>
        <v>0</v>
      </c>
      <c r="Y31" s="619">
        <f>SUM(Y28:Y30)</f>
        <v>0</v>
      </c>
      <c r="Z31" s="516">
        <f aca="true" t="shared" si="21" ref="Z31:AH31">SUM(Z28:Z30)</f>
        <v>0</v>
      </c>
      <c r="AA31" s="531">
        <f t="shared" si="21"/>
        <v>0</v>
      </c>
      <c r="AB31" s="618">
        <f t="shared" si="21"/>
        <v>1358080</v>
      </c>
      <c r="AC31" s="516">
        <f t="shared" si="21"/>
        <v>-1358080</v>
      </c>
      <c r="AD31" s="516">
        <f t="shared" si="21"/>
        <v>0</v>
      </c>
      <c r="AE31" s="516">
        <f t="shared" si="21"/>
        <v>0</v>
      </c>
      <c r="AF31" s="516">
        <f t="shared" si="21"/>
        <v>1358080</v>
      </c>
      <c r="AG31" s="516">
        <f t="shared" si="21"/>
        <v>-1358080</v>
      </c>
      <c r="AH31" s="516">
        <f t="shared" si="21"/>
        <v>0</v>
      </c>
      <c r="AI31" s="535">
        <f t="shared" si="18"/>
        <v>9327540</v>
      </c>
      <c r="AJ31" s="535">
        <f>SUM(AJ28:AJ30)</f>
        <v>-1043080</v>
      </c>
      <c r="AK31" s="535">
        <f t="shared" si="18"/>
        <v>8284460</v>
      </c>
      <c r="AL31" s="516">
        <f>SUM(AL28:AL30)</f>
        <v>0</v>
      </c>
      <c r="AM31" s="516">
        <f>SUM(AM28:AM30)</f>
        <v>7784460</v>
      </c>
      <c r="AN31" s="516">
        <f>SUM(AN28:AN30)</f>
        <v>500000</v>
      </c>
      <c r="AO31" s="531">
        <f>SUM(AO28:AO30)</f>
        <v>8284460</v>
      </c>
    </row>
    <row r="32" spans="1:41" s="37" customFormat="1" ht="21">
      <c r="A32" s="517" t="s">
        <v>370</v>
      </c>
      <c r="B32" s="516"/>
      <c r="C32" s="516"/>
      <c r="D32" s="633">
        <f>B32+C32</f>
        <v>0</v>
      </c>
      <c r="E32" s="616"/>
      <c r="F32" s="516"/>
      <c r="G32" s="617">
        <f>E32+F32</f>
        <v>0</v>
      </c>
      <c r="H32" s="618"/>
      <c r="I32" s="516"/>
      <c r="J32" s="615">
        <f t="shared" si="6"/>
        <v>0</v>
      </c>
      <c r="K32" s="619"/>
      <c r="L32" s="516"/>
      <c r="M32" s="632">
        <f t="shared" si="7"/>
        <v>0</v>
      </c>
      <c r="N32" s="619">
        <v>1600000</v>
      </c>
      <c r="O32" s="516"/>
      <c r="P32" s="632">
        <f t="shared" si="8"/>
        <v>1600000</v>
      </c>
      <c r="Q32" s="619"/>
      <c r="R32" s="531"/>
      <c r="S32" s="597">
        <f>B32+E32+H32+K32+N32+Q32</f>
        <v>1600000</v>
      </c>
      <c r="T32" s="535">
        <f>C32+F32+I32+L32+O32</f>
        <v>0</v>
      </c>
      <c r="U32" s="534">
        <f t="shared" si="9"/>
        <v>1600000</v>
      </c>
      <c r="V32" s="619"/>
      <c r="W32" s="516"/>
      <c r="X32" s="531">
        <f>V32+W32</f>
        <v>0</v>
      </c>
      <c r="Y32" s="619"/>
      <c r="Z32" s="516"/>
      <c r="AA32" s="531">
        <f>Y32+Z32</f>
        <v>0</v>
      </c>
      <c r="AB32" s="618"/>
      <c r="AC32" s="516"/>
      <c r="AD32" s="516">
        <f>AB32+AC32</f>
        <v>0</v>
      </c>
      <c r="AE32" s="516"/>
      <c r="AF32" s="535">
        <f t="shared" si="17"/>
        <v>0</v>
      </c>
      <c r="AG32" s="535">
        <f t="shared" si="17"/>
        <v>0</v>
      </c>
      <c r="AH32" s="535">
        <f t="shared" si="17"/>
        <v>0</v>
      </c>
      <c r="AI32" s="535">
        <f t="shared" si="18"/>
        <v>1600000</v>
      </c>
      <c r="AJ32" s="535">
        <f t="shared" si="18"/>
        <v>0</v>
      </c>
      <c r="AK32" s="535">
        <f t="shared" si="18"/>
        <v>1600000</v>
      </c>
      <c r="AL32" s="516"/>
      <c r="AM32" s="516"/>
      <c r="AN32" s="516">
        <f>AK32</f>
        <v>1600000</v>
      </c>
      <c r="AO32" s="523">
        <f>SUM(AL32:AN32)</f>
        <v>1600000</v>
      </c>
    </row>
    <row r="33" spans="1:41" s="37" customFormat="1" ht="12.75">
      <c r="A33" s="529" t="s">
        <v>371</v>
      </c>
      <c r="B33" s="620">
        <f>27543000+3000000</f>
        <v>30543000</v>
      </c>
      <c r="C33" s="620">
        <v>-1135000</v>
      </c>
      <c r="D33" s="615">
        <f t="shared" si="4"/>
        <v>29408000</v>
      </c>
      <c r="E33" s="622">
        <f>4820025+687409</f>
        <v>5507434</v>
      </c>
      <c r="F33" s="620">
        <v>-180000</v>
      </c>
      <c r="G33" s="617">
        <f>E33+F33</f>
        <v>5327434</v>
      </c>
      <c r="H33" s="624">
        <v>3236302</v>
      </c>
      <c r="I33" s="620"/>
      <c r="J33" s="615">
        <f t="shared" si="6"/>
        <v>3236302</v>
      </c>
      <c r="K33" s="625"/>
      <c r="L33" s="620"/>
      <c r="M33" s="632">
        <f t="shared" si="7"/>
        <v>0</v>
      </c>
      <c r="N33" s="625"/>
      <c r="O33" s="620"/>
      <c r="P33" s="632">
        <f t="shared" si="8"/>
        <v>0</v>
      </c>
      <c r="Q33" s="625"/>
      <c r="R33" s="626"/>
      <c r="S33" s="597">
        <f t="shared" si="2"/>
        <v>39286736</v>
      </c>
      <c r="T33" s="535">
        <f>C33+F33+I33+L33+O33</f>
        <v>-1315000</v>
      </c>
      <c r="U33" s="534">
        <f t="shared" si="9"/>
        <v>37971736</v>
      </c>
      <c r="V33" s="619"/>
      <c r="W33" s="516"/>
      <c r="X33" s="531">
        <f>V33+W33</f>
        <v>0</v>
      </c>
      <c r="Y33" s="619"/>
      <c r="Z33" s="516"/>
      <c r="AA33" s="531">
        <f>Y33+Z33</f>
        <v>0</v>
      </c>
      <c r="AB33" s="618"/>
      <c r="AC33" s="516"/>
      <c r="AD33" s="516">
        <f>AB33+AC33</f>
        <v>0</v>
      </c>
      <c r="AE33" s="516"/>
      <c r="AF33" s="535">
        <f t="shared" si="17"/>
        <v>0</v>
      </c>
      <c r="AG33" s="535">
        <f t="shared" si="17"/>
        <v>0</v>
      </c>
      <c r="AH33" s="535">
        <f t="shared" si="17"/>
        <v>0</v>
      </c>
      <c r="AI33" s="535">
        <f t="shared" si="18"/>
        <v>39286736</v>
      </c>
      <c r="AJ33" s="535">
        <f t="shared" si="18"/>
        <v>-1315000</v>
      </c>
      <c r="AK33" s="535">
        <f t="shared" si="18"/>
        <v>37971736</v>
      </c>
      <c r="AL33" s="516"/>
      <c r="AM33" s="516">
        <f>AK33</f>
        <v>37971736</v>
      </c>
      <c r="AN33" s="516"/>
      <c r="AO33" s="523">
        <f>SUM(AL33:AN33)</f>
        <v>37971736</v>
      </c>
    </row>
    <row r="34" spans="1:41" s="37" customFormat="1" ht="21">
      <c r="A34" s="517" t="s">
        <v>386</v>
      </c>
      <c r="B34" s="620"/>
      <c r="C34" s="620"/>
      <c r="D34" s="615">
        <f t="shared" si="4"/>
        <v>0</v>
      </c>
      <c r="E34" s="622"/>
      <c r="F34" s="620"/>
      <c r="G34" s="617">
        <f t="shared" si="5"/>
        <v>0</v>
      </c>
      <c r="H34" s="624"/>
      <c r="I34" s="620"/>
      <c r="J34" s="615">
        <f t="shared" si="6"/>
        <v>0</v>
      </c>
      <c r="K34" s="625"/>
      <c r="L34" s="620"/>
      <c r="M34" s="632">
        <f t="shared" si="7"/>
        <v>0</v>
      </c>
      <c r="N34" s="625"/>
      <c r="O34" s="635">
        <f>2770251+12000</f>
        <v>2782251</v>
      </c>
      <c r="P34" s="632">
        <f t="shared" si="8"/>
        <v>2782251</v>
      </c>
      <c r="Q34" s="625"/>
      <c r="R34" s="636"/>
      <c r="S34" s="597">
        <f t="shared" si="2"/>
        <v>0</v>
      </c>
      <c r="T34" s="535">
        <f>C34+F34+I34+L34+O34</f>
        <v>2782251</v>
      </c>
      <c r="U34" s="534">
        <f t="shared" si="9"/>
        <v>2782251</v>
      </c>
      <c r="V34" s="619"/>
      <c r="W34" s="516"/>
      <c r="X34" s="531">
        <f>V34+W34</f>
        <v>0</v>
      </c>
      <c r="Y34" s="619"/>
      <c r="Z34" s="516"/>
      <c r="AA34" s="531">
        <f>Y34+Z34</f>
        <v>0</v>
      </c>
      <c r="AB34" s="618"/>
      <c r="AC34" s="516"/>
      <c r="AD34" s="516">
        <f>AB34+AC34</f>
        <v>0</v>
      </c>
      <c r="AE34" s="516"/>
      <c r="AF34" s="535">
        <f t="shared" si="17"/>
        <v>0</v>
      </c>
      <c r="AG34" s="535">
        <f t="shared" si="17"/>
        <v>0</v>
      </c>
      <c r="AH34" s="535">
        <f t="shared" si="17"/>
        <v>0</v>
      </c>
      <c r="AI34" s="535">
        <f t="shared" si="18"/>
        <v>0</v>
      </c>
      <c r="AJ34" s="535">
        <f t="shared" si="18"/>
        <v>2782251</v>
      </c>
      <c r="AK34" s="535">
        <f t="shared" si="18"/>
        <v>2782251</v>
      </c>
      <c r="AL34" s="516"/>
      <c r="AM34" s="516">
        <f>AK34</f>
        <v>2782251</v>
      </c>
      <c r="AN34" s="516"/>
      <c r="AO34" s="523">
        <f>SUM(AL34:AN34)</f>
        <v>2782251</v>
      </c>
    </row>
    <row r="35" spans="1:41" s="37" customFormat="1" ht="12.75">
      <c r="A35" s="515" t="s">
        <v>503</v>
      </c>
      <c r="B35" s="220"/>
      <c r="C35" s="220"/>
      <c r="D35" s="599">
        <f t="shared" si="4"/>
        <v>0</v>
      </c>
      <c r="E35" s="600"/>
      <c r="F35" s="220"/>
      <c r="G35" s="601">
        <f t="shared" si="5"/>
        <v>0</v>
      </c>
      <c r="H35" s="602">
        <v>7253080</v>
      </c>
      <c r="I35" s="220"/>
      <c r="J35" s="599">
        <f t="shared" si="6"/>
        <v>7253080</v>
      </c>
      <c r="K35" s="628"/>
      <c r="L35" s="220"/>
      <c r="M35" s="604">
        <f t="shared" si="7"/>
        <v>0</v>
      </c>
      <c r="N35" s="628"/>
      <c r="O35" s="220"/>
      <c r="P35" s="604">
        <f t="shared" si="8"/>
        <v>0</v>
      </c>
      <c r="Q35" s="628"/>
      <c r="R35" s="637"/>
      <c r="S35" s="605">
        <f t="shared" si="2"/>
        <v>7253080</v>
      </c>
      <c r="T35" s="606">
        <f>C35+F35+I35+L35+O35</f>
        <v>0</v>
      </c>
      <c r="U35" s="607">
        <f t="shared" si="9"/>
        <v>7253080</v>
      </c>
      <c r="V35" s="638">
        <v>35711962</v>
      </c>
      <c r="W35" s="639"/>
      <c r="X35" s="640">
        <f>V35+W35</f>
        <v>35711962</v>
      </c>
      <c r="Y35" s="638"/>
      <c r="Z35" s="204"/>
      <c r="AA35" s="641">
        <f>Y35+Z35</f>
        <v>0</v>
      </c>
      <c r="AB35" s="513"/>
      <c r="AC35" s="204"/>
      <c r="AD35" s="204">
        <f>AB35+AC35</f>
        <v>0</v>
      </c>
      <c r="AE35" s="204"/>
      <c r="AF35" s="606">
        <f t="shared" si="17"/>
        <v>35711962</v>
      </c>
      <c r="AG35" s="606">
        <f t="shared" si="17"/>
        <v>0</v>
      </c>
      <c r="AH35" s="606">
        <f t="shared" si="17"/>
        <v>35711962</v>
      </c>
      <c r="AI35" s="606">
        <f t="shared" si="18"/>
        <v>42965042</v>
      </c>
      <c r="AJ35" s="606">
        <f t="shared" si="18"/>
        <v>0</v>
      </c>
      <c r="AK35" s="606">
        <f t="shared" si="18"/>
        <v>42965042</v>
      </c>
      <c r="AL35" s="203"/>
      <c r="AM35" s="203">
        <f>AK35</f>
        <v>42965042</v>
      </c>
      <c r="AN35" s="203"/>
      <c r="AO35" s="508">
        <f>SUM(AL35:AN35)</f>
        <v>42965042</v>
      </c>
    </row>
    <row r="36" spans="1:41" s="37" customFormat="1" ht="12.75">
      <c r="A36" s="515" t="s">
        <v>504</v>
      </c>
      <c r="B36" s="220">
        <f>125250+125250</f>
        <v>250500</v>
      </c>
      <c r="C36" s="220"/>
      <c r="D36" s="599">
        <f t="shared" si="4"/>
        <v>250500</v>
      </c>
      <c r="E36" s="600">
        <f>21919+21919</f>
        <v>43838</v>
      </c>
      <c r="F36" s="220"/>
      <c r="G36" s="601">
        <f t="shared" si="5"/>
        <v>43838</v>
      </c>
      <c r="H36" s="602">
        <v>4562479</v>
      </c>
      <c r="I36" s="220">
        <v>20000000</v>
      </c>
      <c r="J36" s="599">
        <f t="shared" si="6"/>
        <v>24562479</v>
      </c>
      <c r="K36" s="628"/>
      <c r="L36" s="220"/>
      <c r="M36" s="604">
        <f t="shared" si="7"/>
        <v>0</v>
      </c>
      <c r="N36" s="628"/>
      <c r="O36" s="220"/>
      <c r="P36" s="604">
        <f t="shared" si="8"/>
        <v>0</v>
      </c>
      <c r="Q36" s="628"/>
      <c r="R36" s="637"/>
      <c r="S36" s="605">
        <f t="shared" si="2"/>
        <v>4856817</v>
      </c>
      <c r="T36" s="606">
        <f aca="true" t="shared" si="22" ref="T36:T47">C36+F36+I36+L36+O36</f>
        <v>20000000</v>
      </c>
      <c r="U36" s="607">
        <f t="shared" si="9"/>
        <v>24856817</v>
      </c>
      <c r="V36" s="628">
        <f>112449375-20000000</f>
        <v>92449375</v>
      </c>
      <c r="W36" s="220">
        <v>2712223</v>
      </c>
      <c r="X36" s="640">
        <f aca="true" t="shared" si="23" ref="X36:X47">V36+W36</f>
        <v>95161598</v>
      </c>
      <c r="Y36" s="628"/>
      <c r="Z36" s="204"/>
      <c r="AA36" s="641">
        <f aca="true" t="shared" si="24" ref="AA36:AA47">Y36+Z36</f>
        <v>0</v>
      </c>
      <c r="AB36" s="513"/>
      <c r="AC36" s="204"/>
      <c r="AD36" s="204">
        <f aca="true" t="shared" si="25" ref="AD36:AD47">AB36+AC36</f>
        <v>0</v>
      </c>
      <c r="AE36" s="204"/>
      <c r="AF36" s="606">
        <f t="shared" si="17"/>
        <v>92449375</v>
      </c>
      <c r="AG36" s="606">
        <f t="shared" si="17"/>
        <v>2712223</v>
      </c>
      <c r="AH36" s="606">
        <f t="shared" si="17"/>
        <v>95161598</v>
      </c>
      <c r="AI36" s="606">
        <f t="shared" si="18"/>
        <v>97306192</v>
      </c>
      <c r="AJ36" s="606">
        <f t="shared" si="18"/>
        <v>22712223</v>
      </c>
      <c r="AK36" s="606">
        <f t="shared" si="18"/>
        <v>120018415</v>
      </c>
      <c r="AL36" s="203"/>
      <c r="AM36" s="203">
        <f>AK36</f>
        <v>120018415</v>
      </c>
      <c r="AN36" s="203"/>
      <c r="AO36" s="508">
        <f aca="true" t="shared" si="26" ref="AO36:AO44">SUM(AL36:AN36)</f>
        <v>120018415</v>
      </c>
    </row>
    <row r="37" spans="1:41" s="37" customFormat="1" ht="12.75">
      <c r="A37" s="515" t="s">
        <v>505</v>
      </c>
      <c r="B37" s="220"/>
      <c r="C37" s="220">
        <v>146000</v>
      </c>
      <c r="D37" s="599">
        <f t="shared" si="4"/>
        <v>146000</v>
      </c>
      <c r="E37" s="600"/>
      <c r="F37" s="220"/>
      <c r="G37" s="601">
        <f t="shared" si="5"/>
        <v>0</v>
      </c>
      <c r="H37" s="602">
        <v>651400</v>
      </c>
      <c r="I37" s="220">
        <f>29460-146000</f>
        <v>-116540</v>
      </c>
      <c r="J37" s="599">
        <f t="shared" si="6"/>
        <v>534860</v>
      </c>
      <c r="K37" s="628"/>
      <c r="L37" s="220"/>
      <c r="M37" s="604">
        <f t="shared" si="7"/>
        <v>0</v>
      </c>
      <c r="N37" s="628"/>
      <c r="O37" s="220"/>
      <c r="P37" s="604">
        <f t="shared" si="8"/>
        <v>0</v>
      </c>
      <c r="Q37" s="628"/>
      <c r="R37" s="637"/>
      <c r="S37" s="605">
        <f t="shared" si="2"/>
        <v>651400</v>
      </c>
      <c r="T37" s="606">
        <f t="shared" si="22"/>
        <v>29460</v>
      </c>
      <c r="U37" s="607">
        <f t="shared" si="9"/>
        <v>680860</v>
      </c>
      <c r="V37" s="628"/>
      <c r="W37" s="220"/>
      <c r="X37" s="640">
        <f t="shared" si="23"/>
        <v>0</v>
      </c>
      <c r="Y37" s="628"/>
      <c r="Z37" s="204"/>
      <c r="AA37" s="641">
        <f t="shared" si="24"/>
        <v>0</v>
      </c>
      <c r="AB37" s="513"/>
      <c r="AC37" s="204"/>
      <c r="AD37" s="204">
        <f t="shared" si="25"/>
        <v>0</v>
      </c>
      <c r="AE37" s="204"/>
      <c r="AF37" s="606">
        <f t="shared" si="17"/>
        <v>0</v>
      </c>
      <c r="AG37" s="606">
        <f t="shared" si="17"/>
        <v>0</v>
      </c>
      <c r="AH37" s="606">
        <f t="shared" si="17"/>
        <v>0</v>
      </c>
      <c r="AI37" s="606">
        <f t="shared" si="18"/>
        <v>651400</v>
      </c>
      <c r="AJ37" s="606">
        <f t="shared" si="18"/>
        <v>29460</v>
      </c>
      <c r="AK37" s="606">
        <f t="shared" si="18"/>
        <v>680860</v>
      </c>
      <c r="AL37" s="203"/>
      <c r="AM37" s="203"/>
      <c r="AN37" s="203">
        <f>AK37</f>
        <v>680860</v>
      </c>
      <c r="AO37" s="508">
        <f t="shared" si="26"/>
        <v>680860</v>
      </c>
    </row>
    <row r="38" spans="1:41" s="37" customFormat="1" ht="12.75">
      <c r="A38" s="515" t="s">
        <v>506</v>
      </c>
      <c r="B38" s="220">
        <f>840000+1560000</f>
        <v>2400000</v>
      </c>
      <c r="C38" s="220"/>
      <c r="D38" s="599">
        <f t="shared" si="4"/>
        <v>2400000</v>
      </c>
      <c r="E38" s="600">
        <f>147000+273000</f>
        <v>420000</v>
      </c>
      <c r="F38" s="220"/>
      <c r="G38" s="601">
        <f t="shared" si="5"/>
        <v>420000</v>
      </c>
      <c r="H38" s="602">
        <v>3530435</v>
      </c>
      <c r="I38" s="220"/>
      <c r="J38" s="599">
        <f t="shared" si="6"/>
        <v>3530435</v>
      </c>
      <c r="K38" s="628"/>
      <c r="L38" s="220"/>
      <c r="M38" s="604">
        <f t="shared" si="7"/>
        <v>0</v>
      </c>
      <c r="N38" s="628"/>
      <c r="O38" s="220"/>
      <c r="P38" s="604">
        <f t="shared" si="8"/>
        <v>0</v>
      </c>
      <c r="Q38" s="628">
        <v>709395</v>
      </c>
      <c r="R38" s="637">
        <v>709395</v>
      </c>
      <c r="S38" s="605">
        <f t="shared" si="2"/>
        <v>7059830</v>
      </c>
      <c r="T38" s="606">
        <f t="shared" si="22"/>
        <v>0</v>
      </c>
      <c r="U38" s="607">
        <f t="shared" si="9"/>
        <v>7059830</v>
      </c>
      <c r="V38" s="628">
        <v>135436000</v>
      </c>
      <c r="W38" s="220">
        <v>-1169935</v>
      </c>
      <c r="X38" s="640">
        <f t="shared" si="23"/>
        <v>134266065</v>
      </c>
      <c r="Y38" s="628"/>
      <c r="Z38" s="204"/>
      <c r="AA38" s="641">
        <f t="shared" si="24"/>
        <v>0</v>
      </c>
      <c r="AB38" s="513"/>
      <c r="AC38" s="204"/>
      <c r="AD38" s="204">
        <f t="shared" si="25"/>
        <v>0</v>
      </c>
      <c r="AE38" s="204"/>
      <c r="AF38" s="606">
        <f t="shared" si="17"/>
        <v>135436000</v>
      </c>
      <c r="AG38" s="606">
        <f t="shared" si="17"/>
        <v>-1169935</v>
      </c>
      <c r="AH38" s="606">
        <f t="shared" si="17"/>
        <v>134266065</v>
      </c>
      <c r="AI38" s="606">
        <f t="shared" si="18"/>
        <v>142495830</v>
      </c>
      <c r="AJ38" s="606">
        <f t="shared" si="18"/>
        <v>-1169935</v>
      </c>
      <c r="AK38" s="606">
        <f t="shared" si="18"/>
        <v>141325895</v>
      </c>
      <c r="AL38" s="203"/>
      <c r="AM38" s="203"/>
      <c r="AN38" s="203">
        <f aca="true" t="shared" si="27" ref="AN38:AN47">AK38</f>
        <v>141325895</v>
      </c>
      <c r="AO38" s="508">
        <f t="shared" si="26"/>
        <v>141325895</v>
      </c>
    </row>
    <row r="39" spans="1:41" s="37" customFormat="1" ht="12.75">
      <c r="A39" s="515" t="s">
        <v>507</v>
      </c>
      <c r="B39" s="220"/>
      <c r="C39" s="220"/>
      <c r="D39" s="599">
        <f t="shared" si="4"/>
        <v>0</v>
      </c>
      <c r="E39" s="600"/>
      <c r="F39" s="220"/>
      <c r="G39" s="601">
        <f t="shared" si="5"/>
        <v>0</v>
      </c>
      <c r="H39" s="602"/>
      <c r="I39" s="220"/>
      <c r="J39" s="599">
        <f t="shared" si="6"/>
        <v>0</v>
      </c>
      <c r="K39" s="628"/>
      <c r="L39" s="220"/>
      <c r="M39" s="604">
        <f t="shared" si="7"/>
        <v>0</v>
      </c>
      <c r="N39" s="628"/>
      <c r="O39" s="220"/>
      <c r="P39" s="604">
        <f t="shared" si="8"/>
        <v>0</v>
      </c>
      <c r="Q39" s="628"/>
      <c r="R39" s="637"/>
      <c r="S39" s="605">
        <f t="shared" si="2"/>
        <v>0</v>
      </c>
      <c r="T39" s="606">
        <f t="shared" si="22"/>
        <v>0</v>
      </c>
      <c r="U39" s="607">
        <f t="shared" si="9"/>
        <v>0</v>
      </c>
      <c r="V39" s="628">
        <v>271378625</v>
      </c>
      <c r="W39" s="220"/>
      <c r="X39" s="640">
        <f t="shared" si="23"/>
        <v>271378625</v>
      </c>
      <c r="Y39" s="628"/>
      <c r="Z39" s="204"/>
      <c r="AA39" s="641">
        <f t="shared" si="24"/>
        <v>0</v>
      </c>
      <c r="AB39" s="513"/>
      <c r="AC39" s="204"/>
      <c r="AD39" s="204">
        <f t="shared" si="25"/>
        <v>0</v>
      </c>
      <c r="AE39" s="204"/>
      <c r="AF39" s="606">
        <f t="shared" si="17"/>
        <v>271378625</v>
      </c>
      <c r="AG39" s="606">
        <f t="shared" si="17"/>
        <v>0</v>
      </c>
      <c r="AH39" s="606">
        <f t="shared" si="17"/>
        <v>271378625</v>
      </c>
      <c r="AI39" s="606">
        <f t="shared" si="18"/>
        <v>271378625</v>
      </c>
      <c r="AJ39" s="606">
        <f t="shared" si="18"/>
        <v>0</v>
      </c>
      <c r="AK39" s="606">
        <f t="shared" si="18"/>
        <v>271378625</v>
      </c>
      <c r="AL39" s="203"/>
      <c r="AM39" s="203"/>
      <c r="AN39" s="203">
        <f t="shared" si="27"/>
        <v>271378625</v>
      </c>
      <c r="AO39" s="508">
        <f t="shared" si="26"/>
        <v>271378625</v>
      </c>
    </row>
    <row r="40" spans="1:41" s="37" customFormat="1" ht="12.75">
      <c r="A40" s="515" t="s">
        <v>508</v>
      </c>
      <c r="B40" s="220"/>
      <c r="C40" s="220"/>
      <c r="D40" s="599">
        <f t="shared" si="4"/>
        <v>0</v>
      </c>
      <c r="E40" s="600"/>
      <c r="F40" s="220"/>
      <c r="G40" s="601">
        <f t="shared" si="5"/>
        <v>0</v>
      </c>
      <c r="H40" s="602"/>
      <c r="I40" s="220"/>
      <c r="J40" s="599">
        <f t="shared" si="6"/>
        <v>0</v>
      </c>
      <c r="K40" s="628"/>
      <c r="L40" s="220"/>
      <c r="M40" s="604">
        <f t="shared" si="7"/>
        <v>0</v>
      </c>
      <c r="N40" s="628"/>
      <c r="O40" s="220"/>
      <c r="P40" s="604">
        <f t="shared" si="8"/>
        <v>0</v>
      </c>
      <c r="Q40" s="628"/>
      <c r="R40" s="637"/>
      <c r="S40" s="605">
        <f t="shared" si="2"/>
        <v>0</v>
      </c>
      <c r="T40" s="606">
        <f t="shared" si="22"/>
        <v>0</v>
      </c>
      <c r="U40" s="607">
        <f t="shared" si="9"/>
        <v>0</v>
      </c>
      <c r="V40" s="628">
        <v>127000000</v>
      </c>
      <c r="W40" s="220"/>
      <c r="X40" s="640">
        <f t="shared" si="23"/>
        <v>127000000</v>
      </c>
      <c r="Y40" s="628"/>
      <c r="Z40" s="204"/>
      <c r="AA40" s="641">
        <f t="shared" si="24"/>
        <v>0</v>
      </c>
      <c r="AB40" s="513"/>
      <c r="AC40" s="204"/>
      <c r="AD40" s="204">
        <f t="shared" si="25"/>
        <v>0</v>
      </c>
      <c r="AE40" s="204"/>
      <c r="AF40" s="606">
        <f t="shared" si="17"/>
        <v>127000000</v>
      </c>
      <c r="AG40" s="606">
        <f t="shared" si="17"/>
        <v>0</v>
      </c>
      <c r="AH40" s="606">
        <f t="shared" si="17"/>
        <v>127000000</v>
      </c>
      <c r="AI40" s="606">
        <f t="shared" si="18"/>
        <v>127000000</v>
      </c>
      <c r="AJ40" s="606">
        <f t="shared" si="18"/>
        <v>0</v>
      </c>
      <c r="AK40" s="606">
        <f t="shared" si="18"/>
        <v>127000000</v>
      </c>
      <c r="AL40" s="203"/>
      <c r="AM40" s="203"/>
      <c r="AN40" s="203">
        <f t="shared" si="27"/>
        <v>127000000</v>
      </c>
      <c r="AO40" s="508">
        <f t="shared" si="26"/>
        <v>127000000</v>
      </c>
    </row>
    <row r="41" spans="1:41" s="37" customFormat="1" ht="13.5" customHeight="1">
      <c r="A41" s="515" t="s">
        <v>509</v>
      </c>
      <c r="B41" s="220">
        <f>6480000+3240000</f>
        <v>9720000</v>
      </c>
      <c r="C41" s="220"/>
      <c r="D41" s="599">
        <f t="shared" si="4"/>
        <v>9720000</v>
      </c>
      <c r="E41" s="600">
        <f>1134000+567000</f>
        <v>1701000</v>
      </c>
      <c r="F41" s="220"/>
      <c r="G41" s="601">
        <f t="shared" si="5"/>
        <v>1701000</v>
      </c>
      <c r="H41" s="602">
        <v>15383741</v>
      </c>
      <c r="I41" s="220"/>
      <c r="J41" s="599">
        <f t="shared" si="6"/>
        <v>15383741</v>
      </c>
      <c r="K41" s="628"/>
      <c r="L41" s="220"/>
      <c r="M41" s="604">
        <f t="shared" si="7"/>
        <v>0</v>
      </c>
      <c r="N41" s="628"/>
      <c r="O41" s="220"/>
      <c r="P41" s="604">
        <f t="shared" si="8"/>
        <v>0</v>
      </c>
      <c r="Q41" s="628"/>
      <c r="R41" s="637"/>
      <c r="S41" s="605">
        <f t="shared" si="2"/>
        <v>26804741</v>
      </c>
      <c r="T41" s="606">
        <f t="shared" si="22"/>
        <v>0</v>
      </c>
      <c r="U41" s="607">
        <f t="shared" si="9"/>
        <v>26804741</v>
      </c>
      <c r="V41" s="628"/>
      <c r="W41" s="220"/>
      <c r="X41" s="640">
        <f t="shared" si="23"/>
        <v>0</v>
      </c>
      <c r="Y41" s="628"/>
      <c r="Z41" s="204"/>
      <c r="AA41" s="641">
        <f t="shared" si="24"/>
        <v>0</v>
      </c>
      <c r="AB41" s="513"/>
      <c r="AC41" s="204"/>
      <c r="AD41" s="204">
        <f t="shared" si="25"/>
        <v>0</v>
      </c>
      <c r="AE41" s="204"/>
      <c r="AF41" s="606">
        <f t="shared" si="17"/>
        <v>0</v>
      </c>
      <c r="AG41" s="606">
        <f t="shared" si="17"/>
        <v>0</v>
      </c>
      <c r="AH41" s="606">
        <f t="shared" si="17"/>
        <v>0</v>
      </c>
      <c r="AI41" s="606">
        <f t="shared" si="18"/>
        <v>26804741</v>
      </c>
      <c r="AJ41" s="606">
        <f t="shared" si="18"/>
        <v>0</v>
      </c>
      <c r="AK41" s="606">
        <f t="shared" si="18"/>
        <v>26804741</v>
      </c>
      <c r="AL41" s="203"/>
      <c r="AM41" s="203"/>
      <c r="AN41" s="203">
        <f t="shared" si="27"/>
        <v>26804741</v>
      </c>
      <c r="AO41" s="508">
        <f t="shared" si="26"/>
        <v>26804741</v>
      </c>
    </row>
    <row r="42" spans="1:41" s="37" customFormat="1" ht="12.75">
      <c r="A42" s="515" t="s">
        <v>510</v>
      </c>
      <c r="B42" s="220">
        <f>2040000+360000</f>
        <v>2400000</v>
      </c>
      <c r="C42" s="220"/>
      <c r="D42" s="599">
        <f t="shared" si="4"/>
        <v>2400000</v>
      </c>
      <c r="E42" s="600">
        <f>357000+63000</f>
        <v>420000</v>
      </c>
      <c r="F42" s="220"/>
      <c r="G42" s="601">
        <f t="shared" si="5"/>
        <v>420000</v>
      </c>
      <c r="H42" s="602">
        <v>10094304</v>
      </c>
      <c r="I42" s="220"/>
      <c r="J42" s="599">
        <f t="shared" si="6"/>
        <v>10094304</v>
      </c>
      <c r="K42" s="628"/>
      <c r="L42" s="220"/>
      <c r="M42" s="604">
        <f t="shared" si="7"/>
        <v>0</v>
      </c>
      <c r="N42" s="628"/>
      <c r="O42" s="220"/>
      <c r="P42" s="604">
        <f t="shared" si="8"/>
        <v>0</v>
      </c>
      <c r="Q42" s="628"/>
      <c r="R42" s="637"/>
      <c r="S42" s="605">
        <f t="shared" si="2"/>
        <v>12914304</v>
      </c>
      <c r="T42" s="606">
        <f t="shared" si="22"/>
        <v>0</v>
      </c>
      <c r="U42" s="607">
        <f t="shared" si="9"/>
        <v>12914304</v>
      </c>
      <c r="V42" s="628"/>
      <c r="W42" s="220"/>
      <c r="X42" s="640">
        <f t="shared" si="23"/>
        <v>0</v>
      </c>
      <c r="Y42" s="628"/>
      <c r="Z42" s="204"/>
      <c r="AA42" s="641">
        <f t="shared" si="24"/>
        <v>0</v>
      </c>
      <c r="AB42" s="513"/>
      <c r="AC42" s="204"/>
      <c r="AD42" s="204">
        <f t="shared" si="25"/>
        <v>0</v>
      </c>
      <c r="AE42" s="204"/>
      <c r="AF42" s="606">
        <f t="shared" si="17"/>
        <v>0</v>
      </c>
      <c r="AG42" s="606">
        <f t="shared" si="17"/>
        <v>0</v>
      </c>
      <c r="AH42" s="606">
        <f t="shared" si="17"/>
        <v>0</v>
      </c>
      <c r="AI42" s="606">
        <f t="shared" si="18"/>
        <v>12914304</v>
      </c>
      <c r="AJ42" s="606">
        <f t="shared" si="18"/>
        <v>0</v>
      </c>
      <c r="AK42" s="606">
        <f t="shared" si="18"/>
        <v>12914304</v>
      </c>
      <c r="AL42" s="203"/>
      <c r="AM42" s="203"/>
      <c r="AN42" s="203">
        <f t="shared" si="27"/>
        <v>12914304</v>
      </c>
      <c r="AO42" s="508">
        <f t="shared" si="26"/>
        <v>12914304</v>
      </c>
    </row>
    <row r="43" spans="1:41" s="37" customFormat="1" ht="22.5">
      <c r="A43" s="515" t="s">
        <v>511</v>
      </c>
      <c r="B43" s="220">
        <v>1027200</v>
      </c>
      <c r="C43" s="220"/>
      <c r="D43" s="599">
        <f t="shared" si="4"/>
        <v>1027200</v>
      </c>
      <c r="E43" s="600">
        <v>179760</v>
      </c>
      <c r="F43" s="220"/>
      <c r="G43" s="601">
        <f t="shared" si="5"/>
        <v>179760</v>
      </c>
      <c r="H43" s="602">
        <v>1500786</v>
      </c>
      <c r="I43" s="220">
        <v>650000</v>
      </c>
      <c r="J43" s="599">
        <f t="shared" si="6"/>
        <v>2150786</v>
      </c>
      <c r="K43" s="628"/>
      <c r="L43" s="220"/>
      <c r="M43" s="604">
        <f t="shared" si="7"/>
        <v>0</v>
      </c>
      <c r="N43" s="628"/>
      <c r="O43" s="220"/>
      <c r="P43" s="604">
        <f t="shared" si="8"/>
        <v>0</v>
      </c>
      <c r="Q43" s="628">
        <v>2963053</v>
      </c>
      <c r="R43" s="637">
        <v>2963053</v>
      </c>
      <c r="S43" s="605">
        <f t="shared" si="2"/>
        <v>5670799</v>
      </c>
      <c r="T43" s="606">
        <f t="shared" si="22"/>
        <v>650000</v>
      </c>
      <c r="U43" s="607">
        <f t="shared" si="9"/>
        <v>6320799</v>
      </c>
      <c r="V43" s="628"/>
      <c r="W43" s="220"/>
      <c r="X43" s="640">
        <f t="shared" si="23"/>
        <v>0</v>
      </c>
      <c r="Y43" s="628"/>
      <c r="Z43" s="204"/>
      <c r="AA43" s="641">
        <f t="shared" si="24"/>
        <v>0</v>
      </c>
      <c r="AB43" s="513"/>
      <c r="AC43" s="204"/>
      <c r="AD43" s="204">
        <f t="shared" si="25"/>
        <v>0</v>
      </c>
      <c r="AE43" s="204"/>
      <c r="AF43" s="606">
        <f t="shared" si="17"/>
        <v>0</v>
      </c>
      <c r="AG43" s="606">
        <f t="shared" si="17"/>
        <v>0</v>
      </c>
      <c r="AH43" s="606">
        <f t="shared" si="17"/>
        <v>0</v>
      </c>
      <c r="AI43" s="606">
        <f t="shared" si="18"/>
        <v>5670799</v>
      </c>
      <c r="AJ43" s="606">
        <f t="shared" si="18"/>
        <v>650000</v>
      </c>
      <c r="AK43" s="606">
        <f t="shared" si="18"/>
        <v>6320799</v>
      </c>
      <c r="AL43" s="203"/>
      <c r="AM43" s="203"/>
      <c r="AN43" s="203">
        <f t="shared" si="27"/>
        <v>6320799</v>
      </c>
      <c r="AO43" s="508">
        <f t="shared" si="26"/>
        <v>6320799</v>
      </c>
    </row>
    <row r="44" spans="1:41" s="37" customFormat="1" ht="12.75">
      <c r="A44" s="520" t="s">
        <v>512</v>
      </c>
      <c r="B44" s="220">
        <v>14023925</v>
      </c>
      <c r="C44" s="220"/>
      <c r="D44" s="599">
        <f t="shared" si="4"/>
        <v>14023925</v>
      </c>
      <c r="E44" s="600">
        <v>2454187</v>
      </c>
      <c r="F44" s="220"/>
      <c r="G44" s="601">
        <f t="shared" si="5"/>
        <v>2454187</v>
      </c>
      <c r="H44" s="602">
        <v>11721074</v>
      </c>
      <c r="I44" s="220"/>
      <c r="J44" s="599">
        <f t="shared" si="6"/>
        <v>11721074</v>
      </c>
      <c r="K44" s="628"/>
      <c r="L44" s="220"/>
      <c r="M44" s="604">
        <f t="shared" si="7"/>
        <v>0</v>
      </c>
      <c r="N44" s="628"/>
      <c r="O44" s="220"/>
      <c r="P44" s="604">
        <f t="shared" si="8"/>
        <v>0</v>
      </c>
      <c r="Q44" s="628"/>
      <c r="R44" s="637"/>
      <c r="S44" s="605">
        <f t="shared" si="2"/>
        <v>28199186</v>
      </c>
      <c r="T44" s="606">
        <f t="shared" si="22"/>
        <v>0</v>
      </c>
      <c r="U44" s="607">
        <f t="shared" si="9"/>
        <v>28199186</v>
      </c>
      <c r="V44" s="628"/>
      <c r="W44" s="220"/>
      <c r="X44" s="640">
        <f t="shared" si="23"/>
        <v>0</v>
      </c>
      <c r="Y44" s="628"/>
      <c r="Z44" s="204"/>
      <c r="AA44" s="641">
        <f t="shared" si="24"/>
        <v>0</v>
      </c>
      <c r="AB44" s="513"/>
      <c r="AC44" s="204"/>
      <c r="AD44" s="204">
        <f t="shared" si="25"/>
        <v>0</v>
      </c>
      <c r="AE44" s="204"/>
      <c r="AF44" s="606">
        <f t="shared" si="17"/>
        <v>0</v>
      </c>
      <c r="AG44" s="606">
        <f t="shared" si="17"/>
        <v>0</v>
      </c>
      <c r="AH44" s="606">
        <f t="shared" si="17"/>
        <v>0</v>
      </c>
      <c r="AI44" s="606">
        <f t="shared" si="18"/>
        <v>28199186</v>
      </c>
      <c r="AJ44" s="606">
        <f t="shared" si="18"/>
        <v>0</v>
      </c>
      <c r="AK44" s="606">
        <f t="shared" si="18"/>
        <v>28199186</v>
      </c>
      <c r="AL44" s="203"/>
      <c r="AM44" s="203"/>
      <c r="AN44" s="203">
        <f t="shared" si="27"/>
        <v>28199186</v>
      </c>
      <c r="AO44" s="508">
        <f t="shared" si="26"/>
        <v>28199186</v>
      </c>
    </row>
    <row r="45" spans="1:41" s="37" customFormat="1" ht="22.5">
      <c r="A45" s="520" t="s">
        <v>513</v>
      </c>
      <c r="B45" s="220">
        <v>2088000</v>
      </c>
      <c r="C45" s="220"/>
      <c r="D45" s="599">
        <f t="shared" si="4"/>
        <v>2088000</v>
      </c>
      <c r="E45" s="600">
        <v>365400</v>
      </c>
      <c r="F45" s="220"/>
      <c r="G45" s="601">
        <f t="shared" si="5"/>
        <v>365400</v>
      </c>
      <c r="H45" s="602">
        <v>2910430</v>
      </c>
      <c r="I45" s="220"/>
      <c r="J45" s="599">
        <f t="shared" si="6"/>
        <v>2910430</v>
      </c>
      <c r="K45" s="628"/>
      <c r="L45" s="220"/>
      <c r="M45" s="604">
        <f t="shared" si="7"/>
        <v>0</v>
      </c>
      <c r="N45" s="628"/>
      <c r="O45" s="220"/>
      <c r="P45" s="604">
        <f t="shared" si="8"/>
        <v>0</v>
      </c>
      <c r="Q45" s="628"/>
      <c r="R45" s="637"/>
      <c r="S45" s="605">
        <f t="shared" si="2"/>
        <v>5363830</v>
      </c>
      <c r="T45" s="606">
        <f t="shared" si="22"/>
        <v>0</v>
      </c>
      <c r="U45" s="607">
        <f t="shared" si="9"/>
        <v>5363830</v>
      </c>
      <c r="V45" s="628">
        <v>11430000</v>
      </c>
      <c r="W45" s="220"/>
      <c r="X45" s="640">
        <f t="shared" si="23"/>
        <v>11430000</v>
      </c>
      <c r="Y45" s="628"/>
      <c r="Z45" s="204"/>
      <c r="AA45" s="641">
        <f t="shared" si="24"/>
        <v>0</v>
      </c>
      <c r="AB45" s="513"/>
      <c r="AC45" s="204"/>
      <c r="AD45" s="204">
        <f t="shared" si="25"/>
        <v>0</v>
      </c>
      <c r="AE45" s="204"/>
      <c r="AF45" s="606">
        <f t="shared" si="17"/>
        <v>11430000</v>
      </c>
      <c r="AG45" s="606">
        <f t="shared" si="17"/>
        <v>0</v>
      </c>
      <c r="AH45" s="606">
        <f t="shared" si="17"/>
        <v>11430000</v>
      </c>
      <c r="AI45" s="606">
        <f t="shared" si="18"/>
        <v>16793830</v>
      </c>
      <c r="AJ45" s="606">
        <f t="shared" si="18"/>
        <v>0</v>
      </c>
      <c r="AK45" s="606">
        <f t="shared" si="18"/>
        <v>16793830</v>
      </c>
      <c r="AL45" s="203"/>
      <c r="AM45" s="203"/>
      <c r="AN45" s="203">
        <f t="shared" si="27"/>
        <v>16793830</v>
      </c>
      <c r="AO45" s="508">
        <f>SUM(AL45:AN45)</f>
        <v>16793830</v>
      </c>
    </row>
    <row r="46" spans="1:41" s="37" customFormat="1" ht="12.75">
      <c r="A46" s="520" t="s">
        <v>671</v>
      </c>
      <c r="B46" s="220"/>
      <c r="C46" s="220">
        <v>57600</v>
      </c>
      <c r="D46" s="599">
        <f t="shared" si="4"/>
        <v>57600</v>
      </c>
      <c r="E46" s="600"/>
      <c r="F46" s="220">
        <v>9360</v>
      </c>
      <c r="G46" s="601">
        <f t="shared" si="5"/>
        <v>9360</v>
      </c>
      <c r="H46" s="602"/>
      <c r="I46" s="220">
        <v>4203992</v>
      </c>
      <c r="J46" s="599">
        <f t="shared" si="6"/>
        <v>4203992</v>
      </c>
      <c r="K46" s="628"/>
      <c r="L46" s="220"/>
      <c r="M46" s="604">
        <f t="shared" si="7"/>
        <v>0</v>
      </c>
      <c r="N46" s="628"/>
      <c r="O46" s="220"/>
      <c r="P46" s="604">
        <f t="shared" si="8"/>
        <v>0</v>
      </c>
      <c r="Q46" s="628"/>
      <c r="R46" s="637"/>
      <c r="S46" s="605">
        <f t="shared" si="2"/>
        <v>0</v>
      </c>
      <c r="T46" s="606">
        <f t="shared" si="22"/>
        <v>4270952</v>
      </c>
      <c r="U46" s="607">
        <f t="shared" si="9"/>
        <v>4270952</v>
      </c>
      <c r="V46" s="628"/>
      <c r="W46" s="220"/>
      <c r="X46" s="640">
        <f t="shared" si="23"/>
        <v>0</v>
      </c>
      <c r="Y46" s="628"/>
      <c r="Z46" s="204"/>
      <c r="AA46" s="641">
        <f t="shared" si="24"/>
        <v>0</v>
      </c>
      <c r="AB46" s="513"/>
      <c r="AC46" s="204"/>
      <c r="AD46" s="204">
        <f t="shared" si="25"/>
        <v>0</v>
      </c>
      <c r="AE46" s="204"/>
      <c r="AF46" s="606">
        <f t="shared" si="17"/>
        <v>0</v>
      </c>
      <c r="AG46" s="606">
        <f t="shared" si="17"/>
        <v>0</v>
      </c>
      <c r="AH46" s="606">
        <f t="shared" si="17"/>
        <v>0</v>
      </c>
      <c r="AI46" s="606">
        <f t="shared" si="18"/>
        <v>0</v>
      </c>
      <c r="AJ46" s="606">
        <f t="shared" si="18"/>
        <v>4270952</v>
      </c>
      <c r="AK46" s="606">
        <f t="shared" si="18"/>
        <v>4270952</v>
      </c>
      <c r="AL46" s="203"/>
      <c r="AM46" s="203"/>
      <c r="AN46" s="203">
        <f t="shared" si="27"/>
        <v>4270952</v>
      </c>
      <c r="AO46" s="508">
        <f>SUM(AL46:AN46)</f>
        <v>4270952</v>
      </c>
    </row>
    <row r="47" spans="1:41" s="37" customFormat="1" ht="12.75">
      <c r="A47" s="520" t="s">
        <v>672</v>
      </c>
      <c r="B47" s="220"/>
      <c r="C47" s="220"/>
      <c r="D47" s="599">
        <f t="shared" si="4"/>
        <v>0</v>
      </c>
      <c r="E47" s="600"/>
      <c r="F47" s="220"/>
      <c r="G47" s="601">
        <f t="shared" si="5"/>
        <v>0</v>
      </c>
      <c r="H47" s="602"/>
      <c r="I47" s="220">
        <v>1200000</v>
      </c>
      <c r="J47" s="599">
        <f t="shared" si="6"/>
        <v>1200000</v>
      </c>
      <c r="K47" s="628"/>
      <c r="L47" s="220"/>
      <c r="M47" s="604">
        <f t="shared" si="7"/>
        <v>0</v>
      </c>
      <c r="N47" s="628"/>
      <c r="O47" s="220"/>
      <c r="P47" s="604">
        <f t="shared" si="8"/>
        <v>0</v>
      </c>
      <c r="Q47" s="628"/>
      <c r="R47" s="637"/>
      <c r="S47" s="605">
        <f t="shared" si="2"/>
        <v>0</v>
      </c>
      <c r="T47" s="606">
        <f t="shared" si="22"/>
        <v>1200000</v>
      </c>
      <c r="U47" s="607">
        <f t="shared" si="9"/>
        <v>1200000</v>
      </c>
      <c r="V47" s="628"/>
      <c r="W47" s="220">
        <v>1570000</v>
      </c>
      <c r="X47" s="640">
        <f t="shared" si="23"/>
        <v>1570000</v>
      </c>
      <c r="Y47" s="628"/>
      <c r="Z47" s="204"/>
      <c r="AA47" s="641">
        <f t="shared" si="24"/>
        <v>0</v>
      </c>
      <c r="AB47" s="513"/>
      <c r="AC47" s="204"/>
      <c r="AD47" s="204">
        <f t="shared" si="25"/>
        <v>0</v>
      </c>
      <c r="AE47" s="204"/>
      <c r="AF47" s="606">
        <f t="shared" si="17"/>
        <v>0</v>
      </c>
      <c r="AG47" s="606">
        <f t="shared" si="17"/>
        <v>1570000</v>
      </c>
      <c r="AH47" s="606">
        <f t="shared" si="17"/>
        <v>1570000</v>
      </c>
      <c r="AI47" s="606">
        <f t="shared" si="18"/>
        <v>0</v>
      </c>
      <c r="AJ47" s="606">
        <f t="shared" si="18"/>
        <v>2770000</v>
      </c>
      <c r="AK47" s="606">
        <f t="shared" si="18"/>
        <v>2770000</v>
      </c>
      <c r="AL47" s="203"/>
      <c r="AM47" s="203"/>
      <c r="AN47" s="203">
        <f t="shared" si="27"/>
        <v>2770000</v>
      </c>
      <c r="AO47" s="508">
        <f>SUM(AL47:AN47)</f>
        <v>2770000</v>
      </c>
    </row>
    <row r="48" spans="1:41" s="37" customFormat="1" ht="24.75" customHeight="1">
      <c r="A48" s="517" t="s">
        <v>387</v>
      </c>
      <c r="B48" s="620">
        <f aca="true" t="shared" si="28" ref="B48:I48">SUM(B35:B47)</f>
        <v>31909625</v>
      </c>
      <c r="C48" s="620">
        <f t="shared" si="28"/>
        <v>203600</v>
      </c>
      <c r="D48" s="615">
        <f t="shared" si="4"/>
        <v>32113225</v>
      </c>
      <c r="E48" s="622">
        <f t="shared" si="28"/>
        <v>5584185</v>
      </c>
      <c r="F48" s="620">
        <f t="shared" si="28"/>
        <v>9360</v>
      </c>
      <c r="G48" s="617">
        <f t="shared" si="5"/>
        <v>5593545</v>
      </c>
      <c r="H48" s="624">
        <f t="shared" si="28"/>
        <v>57607729</v>
      </c>
      <c r="I48" s="620">
        <f t="shared" si="28"/>
        <v>25937452</v>
      </c>
      <c r="J48" s="615">
        <f t="shared" si="6"/>
        <v>83545181</v>
      </c>
      <c r="K48" s="625">
        <f>SUM(K35:K47)</f>
        <v>0</v>
      </c>
      <c r="L48" s="620">
        <f>SUM(L35:L47)</f>
        <v>0</v>
      </c>
      <c r="M48" s="632">
        <f t="shared" si="7"/>
        <v>0</v>
      </c>
      <c r="N48" s="625">
        <f>SUM(N35:N47)</f>
        <v>0</v>
      </c>
      <c r="O48" s="620">
        <f>SUM(O35:O47)</f>
        <v>0</v>
      </c>
      <c r="P48" s="632">
        <f t="shared" si="8"/>
        <v>0</v>
      </c>
      <c r="Q48" s="625">
        <f>SUM(Q35:Q47)</f>
        <v>3672448</v>
      </c>
      <c r="R48" s="626">
        <f>SUM(R35:R47)</f>
        <v>3672448</v>
      </c>
      <c r="S48" s="597">
        <f t="shared" si="2"/>
        <v>98773987</v>
      </c>
      <c r="T48" s="535">
        <f>SUM(T35:T47)</f>
        <v>26150412</v>
      </c>
      <c r="U48" s="534">
        <f t="shared" si="9"/>
        <v>124924399</v>
      </c>
      <c r="V48" s="625">
        <f aca="true" t="shared" si="29" ref="V48:AD48">SUM(V35:V47)</f>
        <v>673405962</v>
      </c>
      <c r="W48" s="620">
        <f t="shared" si="29"/>
        <v>3112288</v>
      </c>
      <c r="X48" s="626">
        <f t="shared" si="29"/>
        <v>676518250</v>
      </c>
      <c r="Y48" s="625">
        <f t="shared" si="29"/>
        <v>0</v>
      </c>
      <c r="Z48" s="620">
        <f t="shared" si="29"/>
        <v>0</v>
      </c>
      <c r="AA48" s="626">
        <f t="shared" si="29"/>
        <v>0</v>
      </c>
      <c r="AB48" s="624">
        <f t="shared" si="29"/>
        <v>0</v>
      </c>
      <c r="AC48" s="620">
        <f t="shared" si="29"/>
        <v>0</v>
      </c>
      <c r="AD48" s="620">
        <f t="shared" si="29"/>
        <v>0</v>
      </c>
      <c r="AE48" s="620">
        <f>SUM(AE35:AE45)</f>
        <v>0</v>
      </c>
      <c r="AF48" s="620">
        <f>SUM(AF35:AF47)</f>
        <v>673405962</v>
      </c>
      <c r="AG48" s="620">
        <f>SUM(AG35:AG47)</f>
        <v>3112288</v>
      </c>
      <c r="AH48" s="620">
        <f>SUM(AH35:AH47)</f>
        <v>676518250</v>
      </c>
      <c r="AI48" s="535">
        <f t="shared" si="18"/>
        <v>772179949</v>
      </c>
      <c r="AJ48" s="535">
        <f>SUM(AJ35:AJ47)</f>
        <v>29262700</v>
      </c>
      <c r="AK48" s="535">
        <f t="shared" si="18"/>
        <v>801442649</v>
      </c>
      <c r="AL48" s="620">
        <f>SUM(AL35:AL47)</f>
        <v>0</v>
      </c>
      <c r="AM48" s="620">
        <f>SUM(AM35:AM47)</f>
        <v>162983457</v>
      </c>
      <c r="AN48" s="620">
        <f>SUM(AN35:AN47)</f>
        <v>638459192</v>
      </c>
      <c r="AO48" s="626">
        <f>SUM(AO35:AO47)</f>
        <v>801442649</v>
      </c>
    </row>
    <row r="49" spans="1:41" s="37" customFormat="1" ht="24.75" customHeight="1">
      <c r="A49" s="515" t="s">
        <v>514</v>
      </c>
      <c r="B49" s="639"/>
      <c r="C49" s="639"/>
      <c r="D49" s="599">
        <f t="shared" si="4"/>
        <v>0</v>
      </c>
      <c r="E49" s="642"/>
      <c r="F49" s="639"/>
      <c r="G49" s="601">
        <f t="shared" si="5"/>
        <v>0</v>
      </c>
      <c r="H49" s="602">
        <v>2999998</v>
      </c>
      <c r="I49" s="220">
        <f>63336-2911007</f>
        <v>-2847671</v>
      </c>
      <c r="J49" s="599">
        <f t="shared" si="6"/>
        <v>152327</v>
      </c>
      <c r="K49" s="638"/>
      <c r="L49" s="639"/>
      <c r="M49" s="604">
        <f t="shared" si="7"/>
        <v>0</v>
      </c>
      <c r="N49" s="638"/>
      <c r="O49" s="639"/>
      <c r="P49" s="604">
        <f t="shared" si="8"/>
        <v>0</v>
      </c>
      <c r="Q49" s="638"/>
      <c r="R49" s="640"/>
      <c r="S49" s="605">
        <f t="shared" si="2"/>
        <v>2999998</v>
      </c>
      <c r="T49" s="606">
        <f t="shared" si="3"/>
        <v>-2847671</v>
      </c>
      <c r="U49" s="607">
        <f t="shared" si="9"/>
        <v>152327</v>
      </c>
      <c r="V49" s="638"/>
      <c r="W49" s="639"/>
      <c r="X49" s="640">
        <f>V49+W49</f>
        <v>0</v>
      </c>
      <c r="Y49" s="638"/>
      <c r="Z49" s="639">
        <f>1823827+2911007+6640000+320857</f>
        <v>11695691</v>
      </c>
      <c r="AA49" s="640">
        <f>Y49+Z49</f>
        <v>11695691</v>
      </c>
      <c r="AB49" s="643"/>
      <c r="AC49" s="639"/>
      <c r="AD49" s="639">
        <f>AB49+AC49</f>
        <v>0</v>
      </c>
      <c r="AE49" s="639"/>
      <c r="AF49" s="606">
        <f t="shared" si="17"/>
        <v>0</v>
      </c>
      <c r="AG49" s="606">
        <f t="shared" si="17"/>
        <v>11695691</v>
      </c>
      <c r="AH49" s="606">
        <f t="shared" si="17"/>
        <v>11695691</v>
      </c>
      <c r="AI49" s="606">
        <f t="shared" si="18"/>
        <v>2999998</v>
      </c>
      <c r="AJ49" s="606">
        <f t="shared" si="18"/>
        <v>8848020</v>
      </c>
      <c r="AK49" s="606">
        <f t="shared" si="18"/>
        <v>11848018</v>
      </c>
      <c r="AL49" s="639"/>
      <c r="AM49" s="639">
        <f>AK49</f>
        <v>11848018</v>
      </c>
      <c r="AN49" s="220"/>
      <c r="AO49" s="640">
        <f>SUM(AL49:AN49)</f>
        <v>11848018</v>
      </c>
    </row>
    <row r="50" spans="1:41" s="37" customFormat="1" ht="33.75">
      <c r="A50" s="515" t="s">
        <v>515</v>
      </c>
      <c r="B50" s="639"/>
      <c r="C50" s="639"/>
      <c r="D50" s="599">
        <f t="shared" si="4"/>
        <v>0</v>
      </c>
      <c r="E50" s="642"/>
      <c r="F50" s="639"/>
      <c r="G50" s="601">
        <f t="shared" si="5"/>
        <v>0</v>
      </c>
      <c r="H50" s="602">
        <v>348966</v>
      </c>
      <c r="I50" s="220">
        <v>-198967</v>
      </c>
      <c r="J50" s="599">
        <f t="shared" si="6"/>
        <v>149999</v>
      </c>
      <c r="K50" s="638"/>
      <c r="L50" s="639"/>
      <c r="M50" s="604">
        <f t="shared" si="7"/>
        <v>0</v>
      </c>
      <c r="N50" s="638"/>
      <c r="O50" s="639"/>
      <c r="P50" s="604">
        <f t="shared" si="8"/>
        <v>0</v>
      </c>
      <c r="Q50" s="638"/>
      <c r="R50" s="640"/>
      <c r="S50" s="605">
        <f t="shared" si="2"/>
        <v>348966</v>
      </c>
      <c r="T50" s="606">
        <f t="shared" si="3"/>
        <v>-198967</v>
      </c>
      <c r="U50" s="607">
        <f t="shared" si="9"/>
        <v>149999</v>
      </c>
      <c r="V50" s="638"/>
      <c r="W50" s="639"/>
      <c r="X50" s="640">
        <f>V50+W50</f>
        <v>0</v>
      </c>
      <c r="Y50" s="638">
        <v>4651032</v>
      </c>
      <c r="Z50" s="639">
        <v>198967</v>
      </c>
      <c r="AA50" s="640">
        <f>Y50+Z50</f>
        <v>4849999</v>
      </c>
      <c r="AB50" s="643"/>
      <c r="AC50" s="639"/>
      <c r="AD50" s="639">
        <f>AB50+AC50</f>
        <v>0</v>
      </c>
      <c r="AE50" s="639"/>
      <c r="AF50" s="606">
        <f t="shared" si="17"/>
        <v>4651032</v>
      </c>
      <c r="AG50" s="606">
        <f t="shared" si="17"/>
        <v>198967</v>
      </c>
      <c r="AH50" s="606">
        <f t="shared" si="17"/>
        <v>4849999</v>
      </c>
      <c r="AI50" s="606">
        <f t="shared" si="18"/>
        <v>4999998</v>
      </c>
      <c r="AJ50" s="606">
        <f t="shared" si="18"/>
        <v>0</v>
      </c>
      <c r="AK50" s="606">
        <f t="shared" si="18"/>
        <v>4999998</v>
      </c>
      <c r="AL50" s="639"/>
      <c r="AM50" s="639">
        <f>AK50</f>
        <v>4999998</v>
      </c>
      <c r="AN50" s="220"/>
      <c r="AO50" s="640">
        <f>SUM(AL50:AN50)</f>
        <v>4999998</v>
      </c>
    </row>
    <row r="51" spans="1:41" s="37" customFormat="1" ht="22.5">
      <c r="A51" s="515" t="s">
        <v>516</v>
      </c>
      <c r="B51" s="639"/>
      <c r="C51" s="639"/>
      <c r="D51" s="599">
        <f t="shared" si="4"/>
        <v>0</v>
      </c>
      <c r="E51" s="642"/>
      <c r="F51" s="639"/>
      <c r="G51" s="601">
        <f t="shared" si="5"/>
        <v>0</v>
      </c>
      <c r="H51" s="602">
        <v>89192</v>
      </c>
      <c r="I51" s="220"/>
      <c r="J51" s="599">
        <f t="shared" si="6"/>
        <v>89192</v>
      </c>
      <c r="K51" s="638"/>
      <c r="L51" s="639"/>
      <c r="M51" s="604">
        <f t="shared" si="7"/>
        <v>0</v>
      </c>
      <c r="N51" s="638"/>
      <c r="O51" s="639"/>
      <c r="P51" s="604">
        <f t="shared" si="8"/>
        <v>0</v>
      </c>
      <c r="Q51" s="638"/>
      <c r="R51" s="640"/>
      <c r="S51" s="605">
        <f t="shared" si="2"/>
        <v>89192</v>
      </c>
      <c r="T51" s="606">
        <f t="shared" si="3"/>
        <v>0</v>
      </c>
      <c r="U51" s="607">
        <f t="shared" si="9"/>
        <v>89192</v>
      </c>
      <c r="V51" s="638">
        <v>2883916</v>
      </c>
      <c r="W51" s="639"/>
      <c r="X51" s="640">
        <f>V51+W51</f>
        <v>2883916</v>
      </c>
      <c r="Y51" s="638"/>
      <c r="Z51" s="639"/>
      <c r="AA51" s="640">
        <f>Y51+Z51</f>
        <v>0</v>
      </c>
      <c r="AB51" s="643"/>
      <c r="AC51" s="639"/>
      <c r="AD51" s="639">
        <f>AB51+AC51</f>
        <v>0</v>
      </c>
      <c r="AE51" s="639"/>
      <c r="AF51" s="606">
        <f t="shared" si="17"/>
        <v>2883916</v>
      </c>
      <c r="AG51" s="606">
        <f t="shared" si="17"/>
        <v>0</v>
      </c>
      <c r="AH51" s="606">
        <f t="shared" si="17"/>
        <v>2883916</v>
      </c>
      <c r="AI51" s="606">
        <f t="shared" si="18"/>
        <v>2973108</v>
      </c>
      <c r="AJ51" s="606">
        <f t="shared" si="18"/>
        <v>0</v>
      </c>
      <c r="AK51" s="606">
        <f t="shared" si="18"/>
        <v>2973108</v>
      </c>
      <c r="AL51" s="639"/>
      <c r="AM51" s="639">
        <f>AK51</f>
        <v>2973108</v>
      </c>
      <c r="AN51" s="220"/>
      <c r="AO51" s="640">
        <f>SUM(AL51:AN51)</f>
        <v>2973108</v>
      </c>
    </row>
    <row r="52" spans="1:41" s="37" customFormat="1" ht="21.75" thickBot="1">
      <c r="A52" s="507" t="s">
        <v>517</v>
      </c>
      <c r="B52" s="644">
        <f aca="true" t="shared" si="30" ref="B52:R52">B51+B50+B49</f>
        <v>0</v>
      </c>
      <c r="C52" s="644">
        <f t="shared" si="30"/>
        <v>0</v>
      </c>
      <c r="D52" s="615">
        <f t="shared" si="4"/>
        <v>0</v>
      </c>
      <c r="E52" s="645">
        <f t="shared" si="30"/>
        <v>0</v>
      </c>
      <c r="F52" s="644">
        <f t="shared" si="30"/>
        <v>0</v>
      </c>
      <c r="G52" s="617">
        <f t="shared" si="5"/>
        <v>0</v>
      </c>
      <c r="H52" s="646">
        <f t="shared" si="30"/>
        <v>3438156</v>
      </c>
      <c r="I52" s="644">
        <f t="shared" si="30"/>
        <v>-3046638</v>
      </c>
      <c r="J52" s="615">
        <f t="shared" si="6"/>
        <v>391518</v>
      </c>
      <c r="K52" s="647">
        <f t="shared" si="30"/>
        <v>0</v>
      </c>
      <c r="L52" s="644">
        <f t="shared" si="30"/>
        <v>0</v>
      </c>
      <c r="M52" s="632">
        <f t="shared" si="7"/>
        <v>0</v>
      </c>
      <c r="N52" s="647">
        <f t="shared" si="30"/>
        <v>0</v>
      </c>
      <c r="O52" s="644">
        <f t="shared" si="30"/>
        <v>0</v>
      </c>
      <c r="P52" s="632">
        <f t="shared" si="8"/>
        <v>0</v>
      </c>
      <c r="Q52" s="647">
        <f t="shared" si="30"/>
        <v>0</v>
      </c>
      <c r="R52" s="648">
        <f t="shared" si="30"/>
        <v>0</v>
      </c>
      <c r="S52" s="597">
        <f t="shared" si="2"/>
        <v>3438156</v>
      </c>
      <c r="T52" s="535">
        <f t="shared" si="3"/>
        <v>-3046638</v>
      </c>
      <c r="U52" s="534">
        <f t="shared" si="9"/>
        <v>391518</v>
      </c>
      <c r="V52" s="647">
        <f aca="true" t="shared" si="31" ref="V52:AH52">V51+V50+V49</f>
        <v>2883916</v>
      </c>
      <c r="W52" s="644">
        <f t="shared" si="31"/>
        <v>0</v>
      </c>
      <c r="X52" s="648">
        <f t="shared" si="31"/>
        <v>2883916</v>
      </c>
      <c r="Y52" s="647">
        <f>SUM(Y49:Y51)</f>
        <v>4651032</v>
      </c>
      <c r="Z52" s="644">
        <f t="shared" si="31"/>
        <v>11894658</v>
      </c>
      <c r="AA52" s="648">
        <f t="shared" si="31"/>
        <v>16545690</v>
      </c>
      <c r="AB52" s="646"/>
      <c r="AC52" s="644"/>
      <c r="AD52" s="644">
        <f t="shared" si="31"/>
        <v>0</v>
      </c>
      <c r="AE52" s="644">
        <f t="shared" si="31"/>
        <v>0</v>
      </c>
      <c r="AF52" s="644">
        <f t="shared" si="31"/>
        <v>7534948</v>
      </c>
      <c r="AG52" s="644">
        <f t="shared" si="31"/>
        <v>11894658</v>
      </c>
      <c r="AH52" s="644">
        <f t="shared" si="31"/>
        <v>19429606</v>
      </c>
      <c r="AI52" s="535">
        <f t="shared" si="18"/>
        <v>10973104</v>
      </c>
      <c r="AJ52" s="535">
        <f t="shared" si="18"/>
        <v>8848020</v>
      </c>
      <c r="AK52" s="535">
        <f t="shared" si="18"/>
        <v>19821124</v>
      </c>
      <c r="AL52" s="644"/>
      <c r="AM52" s="620">
        <f>AK52</f>
        <v>19821124</v>
      </c>
      <c r="AN52" s="644"/>
      <c r="AO52" s="648">
        <f>SUM(AO49:AO51)</f>
        <v>19821124</v>
      </c>
    </row>
    <row r="53" spans="1:41" s="7" customFormat="1" ht="26.25" customHeight="1" thickBot="1">
      <c r="A53" s="649" t="s">
        <v>97</v>
      </c>
      <c r="B53" s="650">
        <f aca="true" t="shared" si="32" ref="B53:AO53">B6+B16+B21+B27+B31+B32+B33+B34+B48+B52</f>
        <v>94548631</v>
      </c>
      <c r="C53" s="650">
        <f t="shared" si="32"/>
        <v>1563336</v>
      </c>
      <c r="D53" s="651">
        <f t="shared" si="4"/>
        <v>96111967</v>
      </c>
      <c r="E53" s="652">
        <f t="shared" si="32"/>
        <v>16660298</v>
      </c>
      <c r="F53" s="650">
        <f t="shared" si="32"/>
        <v>182224</v>
      </c>
      <c r="G53" s="653">
        <f t="shared" si="5"/>
        <v>16842522</v>
      </c>
      <c r="H53" s="654">
        <f>H6+H16+H21+H27+H31+H32+H33+H34+H48+H52</f>
        <v>99322076</v>
      </c>
      <c r="I53" s="650">
        <f t="shared" si="32"/>
        <v>20310342</v>
      </c>
      <c r="J53" s="651">
        <f t="shared" si="6"/>
        <v>119632418</v>
      </c>
      <c r="K53" s="655">
        <f t="shared" si="32"/>
        <v>7000000</v>
      </c>
      <c r="L53" s="650">
        <f t="shared" si="32"/>
        <v>-1700000</v>
      </c>
      <c r="M53" s="656">
        <f t="shared" si="7"/>
        <v>5300000</v>
      </c>
      <c r="N53" s="655">
        <f t="shared" si="32"/>
        <v>7028142</v>
      </c>
      <c r="O53" s="650">
        <f t="shared" si="32"/>
        <v>2770251</v>
      </c>
      <c r="P53" s="656">
        <f t="shared" si="8"/>
        <v>9798393</v>
      </c>
      <c r="Q53" s="655">
        <f t="shared" si="32"/>
        <v>3672448</v>
      </c>
      <c r="R53" s="657">
        <f t="shared" si="32"/>
        <v>3672448</v>
      </c>
      <c r="S53" s="658">
        <f t="shared" si="2"/>
        <v>228231595</v>
      </c>
      <c r="T53" s="659">
        <f>C53+F53+I53+L53+O53</f>
        <v>23126153</v>
      </c>
      <c r="U53" s="660">
        <f t="shared" si="9"/>
        <v>251357748</v>
      </c>
      <c r="V53" s="655">
        <f t="shared" si="32"/>
        <v>706302694</v>
      </c>
      <c r="W53" s="650">
        <f t="shared" si="32"/>
        <v>-15850040</v>
      </c>
      <c r="X53" s="657">
        <f t="shared" si="32"/>
        <v>690452654</v>
      </c>
      <c r="Y53" s="655">
        <f t="shared" si="32"/>
        <v>4651032</v>
      </c>
      <c r="Z53" s="650">
        <f t="shared" si="32"/>
        <v>14225521</v>
      </c>
      <c r="AA53" s="657">
        <f t="shared" si="32"/>
        <v>18876553</v>
      </c>
      <c r="AB53" s="654">
        <f t="shared" si="32"/>
        <v>1358080</v>
      </c>
      <c r="AC53" s="650">
        <f t="shared" si="32"/>
        <v>-1358080</v>
      </c>
      <c r="AD53" s="650">
        <f t="shared" si="32"/>
        <v>0</v>
      </c>
      <c r="AE53" s="650">
        <f t="shared" si="32"/>
        <v>0</v>
      </c>
      <c r="AF53" s="650">
        <f>AF6+AF16+AF21+AF27+AF31+AF32+AF33+AF34+AF48+AF52</f>
        <v>712311806</v>
      </c>
      <c r="AG53" s="650">
        <f t="shared" si="32"/>
        <v>-2982599</v>
      </c>
      <c r="AH53" s="650">
        <f t="shared" si="32"/>
        <v>709329207</v>
      </c>
      <c r="AI53" s="659">
        <f t="shared" si="18"/>
        <v>940543401</v>
      </c>
      <c r="AJ53" s="659">
        <f t="shared" si="18"/>
        <v>20143554</v>
      </c>
      <c r="AK53" s="659">
        <f t="shared" si="18"/>
        <v>960686955</v>
      </c>
      <c r="AL53" s="650">
        <f t="shared" si="32"/>
        <v>0</v>
      </c>
      <c r="AM53" s="650">
        <f t="shared" si="32"/>
        <v>319527763</v>
      </c>
      <c r="AN53" s="650">
        <f t="shared" si="32"/>
        <v>641159192</v>
      </c>
      <c r="AO53" s="657">
        <f t="shared" si="32"/>
        <v>960686955</v>
      </c>
    </row>
    <row r="54" spans="1:41" ht="15.75" customHeight="1">
      <c r="A54" s="502" t="s">
        <v>304</v>
      </c>
      <c r="B54" s="661">
        <v>27506600</v>
      </c>
      <c r="C54" s="661"/>
      <c r="D54" s="599">
        <f t="shared" si="4"/>
        <v>27506600</v>
      </c>
      <c r="E54" s="662">
        <v>5080355</v>
      </c>
      <c r="F54" s="661">
        <v>14759</v>
      </c>
      <c r="G54" s="601">
        <f t="shared" si="5"/>
        <v>5095114</v>
      </c>
      <c r="H54" s="500">
        <v>5556300</v>
      </c>
      <c r="I54" s="498">
        <v>-51213</v>
      </c>
      <c r="J54" s="599">
        <f t="shared" si="6"/>
        <v>5505087</v>
      </c>
      <c r="K54" s="663"/>
      <c r="L54" s="498"/>
      <c r="M54" s="604">
        <f t="shared" si="7"/>
        <v>0</v>
      </c>
      <c r="N54" s="663"/>
      <c r="O54" s="498"/>
      <c r="P54" s="604">
        <f t="shared" si="8"/>
        <v>0</v>
      </c>
      <c r="Q54" s="663"/>
      <c r="R54" s="664"/>
      <c r="S54" s="605">
        <f t="shared" si="2"/>
        <v>38143255</v>
      </c>
      <c r="T54" s="606">
        <f t="shared" si="3"/>
        <v>-36454</v>
      </c>
      <c r="U54" s="607">
        <f t="shared" si="9"/>
        <v>38106801</v>
      </c>
      <c r="V54" s="663">
        <v>1020000</v>
      </c>
      <c r="W54" s="498">
        <v>-400000</v>
      </c>
      <c r="X54" s="664">
        <f>V54+W54</f>
        <v>620000</v>
      </c>
      <c r="Y54" s="663"/>
      <c r="Z54" s="498"/>
      <c r="AA54" s="664"/>
      <c r="AB54" s="500"/>
      <c r="AC54" s="498"/>
      <c r="AD54" s="498"/>
      <c r="AE54" s="498"/>
      <c r="AF54" s="606">
        <f t="shared" si="17"/>
        <v>1020000</v>
      </c>
      <c r="AG54" s="606">
        <f t="shared" si="17"/>
        <v>-400000</v>
      </c>
      <c r="AH54" s="606">
        <f t="shared" si="17"/>
        <v>620000</v>
      </c>
      <c r="AI54" s="606">
        <f t="shared" si="18"/>
        <v>39163255</v>
      </c>
      <c r="AJ54" s="606">
        <f t="shared" si="18"/>
        <v>-436454</v>
      </c>
      <c r="AK54" s="606">
        <f t="shared" si="18"/>
        <v>38726801</v>
      </c>
      <c r="AL54" s="498"/>
      <c r="AM54" s="498">
        <f>AK54</f>
        <v>38726801</v>
      </c>
      <c r="AN54" s="498"/>
      <c r="AO54" s="497">
        <f>SUM(AL54:AN54)</f>
        <v>38726801</v>
      </c>
    </row>
    <row r="55" spans="1:41" ht="22.5">
      <c r="A55" s="515" t="s">
        <v>430</v>
      </c>
      <c r="B55" s="220">
        <v>880600</v>
      </c>
      <c r="C55" s="220">
        <v>97662</v>
      </c>
      <c r="D55" s="599">
        <f t="shared" si="4"/>
        <v>978262</v>
      </c>
      <c r="E55" s="600">
        <v>167366</v>
      </c>
      <c r="F55" s="220"/>
      <c r="G55" s="601">
        <f t="shared" si="5"/>
        <v>167366</v>
      </c>
      <c r="H55" s="518">
        <v>83880</v>
      </c>
      <c r="I55" s="203">
        <v>-37087</v>
      </c>
      <c r="J55" s="599">
        <f t="shared" si="6"/>
        <v>46793</v>
      </c>
      <c r="K55" s="603"/>
      <c r="L55" s="203"/>
      <c r="M55" s="604">
        <f t="shared" si="7"/>
        <v>0</v>
      </c>
      <c r="N55" s="603"/>
      <c r="O55" s="203"/>
      <c r="P55" s="604">
        <f t="shared" si="8"/>
        <v>0</v>
      </c>
      <c r="Q55" s="603"/>
      <c r="R55" s="604"/>
      <c r="S55" s="605">
        <f t="shared" si="2"/>
        <v>1131846</v>
      </c>
      <c r="T55" s="606">
        <f t="shared" si="3"/>
        <v>60575</v>
      </c>
      <c r="U55" s="607">
        <f t="shared" si="9"/>
        <v>1192421</v>
      </c>
      <c r="V55" s="603"/>
      <c r="W55" s="203"/>
      <c r="X55" s="604"/>
      <c r="Y55" s="603"/>
      <c r="Z55" s="203"/>
      <c r="AA55" s="604"/>
      <c r="AB55" s="518"/>
      <c r="AC55" s="203"/>
      <c r="AD55" s="203"/>
      <c r="AE55" s="203"/>
      <c r="AF55" s="606">
        <f t="shared" si="17"/>
        <v>0</v>
      </c>
      <c r="AG55" s="606">
        <f t="shared" si="17"/>
        <v>0</v>
      </c>
      <c r="AH55" s="606">
        <f t="shared" si="17"/>
        <v>0</v>
      </c>
      <c r="AI55" s="606">
        <f t="shared" si="18"/>
        <v>1131846</v>
      </c>
      <c r="AJ55" s="606">
        <f t="shared" si="18"/>
        <v>60575</v>
      </c>
      <c r="AK55" s="606">
        <f t="shared" si="18"/>
        <v>1192421</v>
      </c>
      <c r="AL55" s="203"/>
      <c r="AM55" s="203">
        <f>AK55</f>
        <v>1192421</v>
      </c>
      <c r="AN55" s="203"/>
      <c r="AO55" s="508">
        <f>SUM(AL55:AN55)</f>
        <v>1192421</v>
      </c>
    </row>
    <row r="56" spans="1:41" ht="11.25" customHeight="1" thickBot="1">
      <c r="A56" s="505"/>
      <c r="B56" s="665"/>
      <c r="C56" s="665"/>
      <c r="D56" s="599">
        <f t="shared" si="4"/>
        <v>0</v>
      </c>
      <c r="E56" s="666"/>
      <c r="F56" s="665"/>
      <c r="G56" s="601">
        <f t="shared" si="5"/>
        <v>0</v>
      </c>
      <c r="H56" s="494"/>
      <c r="I56" s="489"/>
      <c r="J56" s="599">
        <f t="shared" si="6"/>
        <v>0</v>
      </c>
      <c r="K56" s="667"/>
      <c r="L56" s="489"/>
      <c r="M56" s="604">
        <f t="shared" si="7"/>
        <v>0</v>
      </c>
      <c r="N56" s="667"/>
      <c r="O56" s="489"/>
      <c r="P56" s="604">
        <f t="shared" si="8"/>
        <v>0</v>
      </c>
      <c r="Q56" s="667"/>
      <c r="R56" s="668"/>
      <c r="S56" s="605"/>
      <c r="T56" s="606"/>
      <c r="U56" s="607">
        <f t="shared" si="9"/>
        <v>0</v>
      </c>
      <c r="V56" s="667"/>
      <c r="W56" s="489"/>
      <c r="X56" s="668"/>
      <c r="Y56" s="667"/>
      <c r="Z56" s="489"/>
      <c r="AA56" s="668"/>
      <c r="AB56" s="494"/>
      <c r="AC56" s="489"/>
      <c r="AD56" s="489"/>
      <c r="AE56" s="489"/>
      <c r="AF56" s="606">
        <f t="shared" si="17"/>
        <v>0</v>
      </c>
      <c r="AG56" s="606">
        <f t="shared" si="17"/>
        <v>0</v>
      </c>
      <c r="AH56" s="606">
        <f t="shared" si="17"/>
        <v>0</v>
      </c>
      <c r="AI56" s="606">
        <f t="shared" si="18"/>
        <v>0</v>
      </c>
      <c r="AJ56" s="606">
        <f t="shared" si="18"/>
        <v>0</v>
      </c>
      <c r="AK56" s="606">
        <f t="shared" si="18"/>
        <v>0</v>
      </c>
      <c r="AL56" s="489"/>
      <c r="AM56" s="489"/>
      <c r="AN56" s="489"/>
      <c r="AO56" s="488"/>
    </row>
    <row r="57" spans="1:41" s="7" customFormat="1" ht="29.25" customHeight="1" thickBot="1">
      <c r="A57" s="649" t="s">
        <v>305</v>
      </c>
      <c r="B57" s="650">
        <f>SUM(B54:B56)</f>
        <v>28387200</v>
      </c>
      <c r="C57" s="650">
        <f aca="true" t="shared" si="33" ref="C57:R57">SUM(C54:C56)</f>
        <v>97662</v>
      </c>
      <c r="D57" s="651">
        <f t="shared" si="4"/>
        <v>28484862</v>
      </c>
      <c r="E57" s="652">
        <f t="shared" si="33"/>
        <v>5247721</v>
      </c>
      <c r="F57" s="650">
        <f t="shared" si="33"/>
        <v>14759</v>
      </c>
      <c r="G57" s="653">
        <f t="shared" si="5"/>
        <v>5262480</v>
      </c>
      <c r="H57" s="654">
        <f t="shared" si="33"/>
        <v>5640180</v>
      </c>
      <c r="I57" s="650">
        <f t="shared" si="33"/>
        <v>-88300</v>
      </c>
      <c r="J57" s="651">
        <f t="shared" si="6"/>
        <v>5551880</v>
      </c>
      <c r="K57" s="655">
        <f t="shared" si="33"/>
        <v>0</v>
      </c>
      <c r="L57" s="650">
        <f t="shared" si="33"/>
        <v>0</v>
      </c>
      <c r="M57" s="656">
        <f t="shared" si="7"/>
        <v>0</v>
      </c>
      <c r="N57" s="655">
        <f t="shared" si="33"/>
        <v>0</v>
      </c>
      <c r="O57" s="650">
        <f t="shared" si="33"/>
        <v>0</v>
      </c>
      <c r="P57" s="656">
        <f t="shared" si="8"/>
        <v>0</v>
      </c>
      <c r="Q57" s="655">
        <f t="shared" si="33"/>
        <v>0</v>
      </c>
      <c r="R57" s="657">
        <f t="shared" si="33"/>
        <v>0</v>
      </c>
      <c r="S57" s="658">
        <f t="shared" si="2"/>
        <v>39275101</v>
      </c>
      <c r="T57" s="659">
        <f t="shared" si="3"/>
        <v>24121</v>
      </c>
      <c r="U57" s="660">
        <f t="shared" si="9"/>
        <v>39299222</v>
      </c>
      <c r="V57" s="655">
        <f aca="true" t="shared" si="34" ref="V57:AN57">SUM(V54:V56)</f>
        <v>1020000</v>
      </c>
      <c r="W57" s="650">
        <f t="shared" si="34"/>
        <v>-400000</v>
      </c>
      <c r="X57" s="657">
        <f t="shared" si="34"/>
        <v>620000</v>
      </c>
      <c r="Y57" s="655">
        <f t="shared" si="34"/>
        <v>0</v>
      </c>
      <c r="Z57" s="650">
        <f t="shared" si="34"/>
        <v>0</v>
      </c>
      <c r="AA57" s="657">
        <f t="shared" si="34"/>
        <v>0</v>
      </c>
      <c r="AB57" s="654">
        <f t="shared" si="34"/>
        <v>0</v>
      </c>
      <c r="AC57" s="650">
        <f t="shared" si="34"/>
        <v>0</v>
      </c>
      <c r="AD57" s="650">
        <f t="shared" si="34"/>
        <v>0</v>
      </c>
      <c r="AE57" s="650">
        <f t="shared" si="34"/>
        <v>0</v>
      </c>
      <c r="AF57" s="650">
        <f t="shared" si="34"/>
        <v>1020000</v>
      </c>
      <c r="AG57" s="650">
        <f t="shared" si="34"/>
        <v>-400000</v>
      </c>
      <c r="AH57" s="650">
        <f t="shared" si="34"/>
        <v>620000</v>
      </c>
      <c r="AI57" s="659">
        <f t="shared" si="18"/>
        <v>40295101</v>
      </c>
      <c r="AJ57" s="659">
        <f t="shared" si="18"/>
        <v>-375879</v>
      </c>
      <c r="AK57" s="659">
        <f t="shared" si="18"/>
        <v>39919222</v>
      </c>
      <c r="AL57" s="650">
        <f t="shared" si="34"/>
        <v>0</v>
      </c>
      <c r="AM57" s="650">
        <f t="shared" si="34"/>
        <v>39919222</v>
      </c>
      <c r="AN57" s="650">
        <f t="shared" si="34"/>
        <v>0</v>
      </c>
      <c r="AO57" s="657">
        <f>SUM(AO54:AO56)</f>
        <v>39919222</v>
      </c>
    </row>
    <row r="58" spans="1:41" ht="12.75">
      <c r="A58" s="502" t="s">
        <v>306</v>
      </c>
      <c r="B58" s="661">
        <v>52804160</v>
      </c>
      <c r="C58" s="661"/>
      <c r="D58" s="599">
        <f t="shared" si="4"/>
        <v>52804160</v>
      </c>
      <c r="E58" s="662">
        <v>9496463</v>
      </c>
      <c r="F58" s="661"/>
      <c r="G58" s="601">
        <f t="shared" si="5"/>
        <v>9496463</v>
      </c>
      <c r="H58" s="669">
        <v>5574502</v>
      </c>
      <c r="I58" s="661">
        <v>13490</v>
      </c>
      <c r="J58" s="599">
        <f t="shared" si="6"/>
        <v>5587992</v>
      </c>
      <c r="K58" s="670"/>
      <c r="L58" s="661"/>
      <c r="M58" s="604">
        <f t="shared" si="7"/>
        <v>0</v>
      </c>
      <c r="N58" s="670">
        <v>150000</v>
      </c>
      <c r="O58" s="661"/>
      <c r="P58" s="604">
        <f t="shared" si="8"/>
        <v>150000</v>
      </c>
      <c r="Q58" s="670"/>
      <c r="R58" s="671"/>
      <c r="S58" s="605">
        <f t="shared" si="2"/>
        <v>68025125</v>
      </c>
      <c r="T58" s="606">
        <f t="shared" si="3"/>
        <v>13490</v>
      </c>
      <c r="U58" s="607">
        <f t="shared" si="9"/>
        <v>68038615</v>
      </c>
      <c r="V58" s="670"/>
      <c r="W58" s="661"/>
      <c r="X58" s="672">
        <f>V58+W58</f>
        <v>0</v>
      </c>
      <c r="Y58" s="670"/>
      <c r="Z58" s="498"/>
      <c r="AA58" s="664"/>
      <c r="AB58" s="500"/>
      <c r="AC58" s="498"/>
      <c r="AD58" s="498"/>
      <c r="AE58" s="498"/>
      <c r="AF58" s="606">
        <f t="shared" si="17"/>
        <v>0</v>
      </c>
      <c r="AG58" s="606">
        <f t="shared" si="17"/>
        <v>0</v>
      </c>
      <c r="AH58" s="606">
        <f t="shared" si="17"/>
        <v>0</v>
      </c>
      <c r="AI58" s="606">
        <f t="shared" si="18"/>
        <v>68025125</v>
      </c>
      <c r="AJ58" s="606">
        <f t="shared" si="18"/>
        <v>13490</v>
      </c>
      <c r="AK58" s="606">
        <f t="shared" si="18"/>
        <v>68038615</v>
      </c>
      <c r="AL58" s="498"/>
      <c r="AM58" s="498">
        <f>AK58</f>
        <v>68038615</v>
      </c>
      <c r="AN58" s="498"/>
      <c r="AO58" s="497">
        <f>SUM(AL58:AN58)</f>
        <v>68038615</v>
      </c>
    </row>
    <row r="59" spans="1:41" ht="12.75">
      <c r="A59" s="530" t="s">
        <v>307</v>
      </c>
      <c r="B59" s="220">
        <f>15943200+900000</f>
        <v>16843200</v>
      </c>
      <c r="C59" s="220"/>
      <c r="D59" s="599">
        <f t="shared" si="4"/>
        <v>16843200</v>
      </c>
      <c r="E59" s="600">
        <f>2790000+292500</f>
        <v>3082500</v>
      </c>
      <c r="F59" s="220"/>
      <c r="G59" s="601">
        <f t="shared" si="5"/>
        <v>3082500</v>
      </c>
      <c r="H59" s="602">
        <v>34243371</v>
      </c>
      <c r="I59" s="220"/>
      <c r="J59" s="599">
        <f t="shared" si="6"/>
        <v>34243371</v>
      </c>
      <c r="K59" s="628"/>
      <c r="L59" s="220"/>
      <c r="M59" s="604">
        <f t="shared" si="7"/>
        <v>0</v>
      </c>
      <c r="N59" s="628"/>
      <c r="O59" s="220"/>
      <c r="P59" s="604">
        <f t="shared" si="8"/>
        <v>0</v>
      </c>
      <c r="Q59" s="628"/>
      <c r="R59" s="604"/>
      <c r="S59" s="605">
        <f t="shared" si="2"/>
        <v>54169071</v>
      </c>
      <c r="T59" s="606">
        <f t="shared" si="3"/>
        <v>0</v>
      </c>
      <c r="U59" s="607">
        <f t="shared" si="9"/>
        <v>54169071</v>
      </c>
      <c r="V59" s="628">
        <v>869432</v>
      </c>
      <c r="W59" s="220"/>
      <c r="X59" s="672">
        <f>V59+W59</f>
        <v>869432</v>
      </c>
      <c r="Y59" s="628"/>
      <c r="Z59" s="203"/>
      <c r="AA59" s="604"/>
      <c r="AB59" s="518"/>
      <c r="AC59" s="203"/>
      <c r="AD59" s="203"/>
      <c r="AE59" s="203"/>
      <c r="AF59" s="606">
        <f t="shared" si="17"/>
        <v>869432</v>
      </c>
      <c r="AG59" s="606">
        <f t="shared" si="17"/>
        <v>0</v>
      </c>
      <c r="AH59" s="606">
        <f t="shared" si="17"/>
        <v>869432</v>
      </c>
      <c r="AI59" s="606">
        <f t="shared" si="18"/>
        <v>55038503</v>
      </c>
      <c r="AJ59" s="606">
        <f t="shared" si="18"/>
        <v>0</v>
      </c>
      <c r="AK59" s="606">
        <f t="shared" si="18"/>
        <v>55038503</v>
      </c>
      <c r="AL59" s="203"/>
      <c r="AM59" s="203">
        <f>AK59*0.9</f>
        <v>49534652.7</v>
      </c>
      <c r="AN59" s="203">
        <f>AK59*0.1</f>
        <v>5503850.300000001</v>
      </c>
      <c r="AO59" s="508">
        <f>SUM(AL59:AN59)</f>
        <v>55038503</v>
      </c>
    </row>
    <row r="60" spans="1:41" ht="12.75" customHeight="1" thickBot="1">
      <c r="A60" s="496"/>
      <c r="B60" s="665"/>
      <c r="C60" s="665"/>
      <c r="D60" s="599">
        <f t="shared" si="4"/>
        <v>0</v>
      </c>
      <c r="E60" s="666"/>
      <c r="F60" s="665"/>
      <c r="G60" s="601">
        <f t="shared" si="5"/>
        <v>0</v>
      </c>
      <c r="H60" s="673"/>
      <c r="I60" s="665"/>
      <c r="J60" s="599">
        <f t="shared" si="6"/>
        <v>0</v>
      </c>
      <c r="K60" s="674"/>
      <c r="L60" s="665"/>
      <c r="M60" s="604">
        <f t="shared" si="7"/>
        <v>0</v>
      </c>
      <c r="N60" s="674"/>
      <c r="O60" s="665"/>
      <c r="P60" s="604">
        <f t="shared" si="8"/>
        <v>0</v>
      </c>
      <c r="Q60" s="674"/>
      <c r="R60" s="668"/>
      <c r="S60" s="605">
        <f t="shared" si="2"/>
        <v>0</v>
      </c>
      <c r="T60" s="606">
        <f t="shared" si="3"/>
        <v>0</v>
      </c>
      <c r="U60" s="607">
        <f t="shared" si="9"/>
        <v>0</v>
      </c>
      <c r="V60" s="667"/>
      <c r="W60" s="489"/>
      <c r="X60" s="672">
        <f>V60+W60</f>
        <v>0</v>
      </c>
      <c r="Y60" s="667"/>
      <c r="Z60" s="489"/>
      <c r="AA60" s="668"/>
      <c r="AB60" s="494"/>
      <c r="AC60" s="489"/>
      <c r="AD60" s="489"/>
      <c r="AE60" s="489"/>
      <c r="AF60" s="606">
        <f t="shared" si="17"/>
        <v>0</v>
      </c>
      <c r="AG60" s="606">
        <f t="shared" si="17"/>
        <v>0</v>
      </c>
      <c r="AH60" s="606">
        <f t="shared" si="17"/>
        <v>0</v>
      </c>
      <c r="AI60" s="606">
        <f t="shared" si="18"/>
        <v>0</v>
      </c>
      <c r="AJ60" s="606">
        <f t="shared" si="18"/>
        <v>0</v>
      </c>
      <c r="AK60" s="606">
        <f t="shared" si="18"/>
        <v>0</v>
      </c>
      <c r="AL60" s="489"/>
      <c r="AM60" s="489"/>
      <c r="AN60" s="489"/>
      <c r="AO60" s="488"/>
    </row>
    <row r="61" spans="1:41" s="7" customFormat="1" ht="26.25" thickBot="1">
      <c r="A61" s="649" t="s">
        <v>553</v>
      </c>
      <c r="B61" s="650">
        <f>SUM(B58:B60)</f>
        <v>69647360</v>
      </c>
      <c r="C61" s="650">
        <f>SUM(C58:C60)</f>
        <v>0</v>
      </c>
      <c r="D61" s="651">
        <f t="shared" si="4"/>
        <v>69647360</v>
      </c>
      <c r="E61" s="652">
        <f aca="true" t="shared" si="35" ref="E61:AO61">SUM(E58:E60)</f>
        <v>12578963</v>
      </c>
      <c r="F61" s="650">
        <f t="shared" si="35"/>
        <v>0</v>
      </c>
      <c r="G61" s="653">
        <f t="shared" si="5"/>
        <v>12578963</v>
      </c>
      <c r="H61" s="654">
        <f t="shared" si="35"/>
        <v>39817873</v>
      </c>
      <c r="I61" s="650">
        <f t="shared" si="35"/>
        <v>13490</v>
      </c>
      <c r="J61" s="651">
        <f t="shared" si="6"/>
        <v>39831363</v>
      </c>
      <c r="K61" s="655">
        <f t="shared" si="35"/>
        <v>0</v>
      </c>
      <c r="L61" s="650">
        <f t="shared" si="35"/>
        <v>0</v>
      </c>
      <c r="M61" s="656">
        <f t="shared" si="7"/>
        <v>0</v>
      </c>
      <c r="N61" s="655">
        <f t="shared" si="35"/>
        <v>150000</v>
      </c>
      <c r="O61" s="650">
        <f t="shared" si="35"/>
        <v>0</v>
      </c>
      <c r="P61" s="656">
        <f t="shared" si="8"/>
        <v>150000</v>
      </c>
      <c r="Q61" s="655">
        <f t="shared" si="35"/>
        <v>0</v>
      </c>
      <c r="R61" s="657">
        <f t="shared" si="35"/>
        <v>0</v>
      </c>
      <c r="S61" s="658">
        <f t="shared" si="2"/>
        <v>122194196</v>
      </c>
      <c r="T61" s="659">
        <f t="shared" si="3"/>
        <v>13490</v>
      </c>
      <c r="U61" s="660">
        <f t="shared" si="9"/>
        <v>122207686</v>
      </c>
      <c r="V61" s="655">
        <f t="shared" si="35"/>
        <v>869432</v>
      </c>
      <c r="W61" s="650">
        <f t="shared" si="35"/>
        <v>0</v>
      </c>
      <c r="X61" s="657">
        <f t="shared" si="35"/>
        <v>869432</v>
      </c>
      <c r="Y61" s="655">
        <f t="shared" si="35"/>
        <v>0</v>
      </c>
      <c r="Z61" s="650">
        <f t="shared" si="35"/>
        <v>0</v>
      </c>
      <c r="AA61" s="657">
        <f t="shared" si="35"/>
        <v>0</v>
      </c>
      <c r="AB61" s="654">
        <f t="shared" si="35"/>
        <v>0</v>
      </c>
      <c r="AC61" s="650">
        <f t="shared" si="35"/>
        <v>0</v>
      </c>
      <c r="AD61" s="650">
        <f t="shared" si="35"/>
        <v>0</v>
      </c>
      <c r="AE61" s="650">
        <f t="shared" si="35"/>
        <v>0</v>
      </c>
      <c r="AF61" s="650">
        <f t="shared" si="35"/>
        <v>869432</v>
      </c>
      <c r="AG61" s="650">
        <f t="shared" si="35"/>
        <v>0</v>
      </c>
      <c r="AH61" s="650">
        <f t="shared" si="35"/>
        <v>869432</v>
      </c>
      <c r="AI61" s="659">
        <f t="shared" si="18"/>
        <v>123063628</v>
      </c>
      <c r="AJ61" s="659">
        <f t="shared" si="18"/>
        <v>13490</v>
      </c>
      <c r="AK61" s="659">
        <f t="shared" si="18"/>
        <v>123077118</v>
      </c>
      <c r="AL61" s="650">
        <f t="shared" si="35"/>
        <v>0</v>
      </c>
      <c r="AM61" s="650">
        <f t="shared" si="35"/>
        <v>117573267.7</v>
      </c>
      <c r="AN61" s="650">
        <f t="shared" si="35"/>
        <v>5503850.300000001</v>
      </c>
      <c r="AO61" s="657">
        <f t="shared" si="35"/>
        <v>123077118</v>
      </c>
    </row>
    <row r="62" spans="1:41" ht="13.5" thickBot="1">
      <c r="A62" s="486"/>
      <c r="B62" s="477"/>
      <c r="C62" s="477"/>
      <c r="D62" s="599">
        <f t="shared" si="4"/>
        <v>0</v>
      </c>
      <c r="E62" s="675"/>
      <c r="F62" s="477"/>
      <c r="G62" s="601">
        <f t="shared" si="5"/>
        <v>0</v>
      </c>
      <c r="H62" s="483"/>
      <c r="I62" s="477"/>
      <c r="J62" s="599">
        <f t="shared" si="6"/>
        <v>0</v>
      </c>
      <c r="K62" s="676"/>
      <c r="L62" s="477"/>
      <c r="M62" s="604">
        <f t="shared" si="7"/>
        <v>0</v>
      </c>
      <c r="N62" s="676"/>
      <c r="O62" s="477"/>
      <c r="P62" s="604">
        <f t="shared" si="8"/>
        <v>0</v>
      </c>
      <c r="Q62" s="676"/>
      <c r="R62" s="677"/>
      <c r="S62" s="605"/>
      <c r="T62" s="606"/>
      <c r="U62" s="607">
        <f t="shared" si="9"/>
        <v>0</v>
      </c>
      <c r="V62" s="676"/>
      <c r="W62" s="477"/>
      <c r="X62" s="677"/>
      <c r="Y62" s="676"/>
      <c r="Z62" s="477"/>
      <c r="AA62" s="677"/>
      <c r="AB62" s="483"/>
      <c r="AC62" s="477"/>
      <c r="AD62" s="477"/>
      <c r="AE62" s="477"/>
      <c r="AF62" s="606">
        <f t="shared" si="17"/>
        <v>0</v>
      </c>
      <c r="AG62" s="606">
        <f t="shared" si="17"/>
        <v>0</v>
      </c>
      <c r="AH62" s="606">
        <f t="shared" si="17"/>
        <v>0</v>
      </c>
      <c r="AI62" s="606">
        <f t="shared" si="18"/>
        <v>0</v>
      </c>
      <c r="AJ62" s="606">
        <f t="shared" si="18"/>
        <v>0</v>
      </c>
      <c r="AK62" s="606">
        <f t="shared" si="18"/>
        <v>0</v>
      </c>
      <c r="AL62" s="477"/>
      <c r="AM62" s="477"/>
      <c r="AN62" s="477"/>
      <c r="AO62" s="476"/>
    </row>
    <row r="63" spans="1:41" s="7" customFormat="1" ht="19.5" customHeight="1" thickBot="1">
      <c r="A63" s="649" t="s">
        <v>99</v>
      </c>
      <c r="B63" s="650">
        <f>B53+B57+B61</f>
        <v>192583191</v>
      </c>
      <c r="C63" s="650">
        <f>C53+C57+C61</f>
        <v>1660998</v>
      </c>
      <c r="D63" s="651">
        <f t="shared" si="4"/>
        <v>194244189</v>
      </c>
      <c r="E63" s="652">
        <f aca="true" t="shared" si="36" ref="E63:AN63">E53+E57+E61</f>
        <v>34486982</v>
      </c>
      <c r="F63" s="650">
        <f t="shared" si="36"/>
        <v>196983</v>
      </c>
      <c r="G63" s="653">
        <f t="shared" si="5"/>
        <v>34683965</v>
      </c>
      <c r="H63" s="654">
        <f>H53+H57+H61</f>
        <v>144780129</v>
      </c>
      <c r="I63" s="650">
        <f>I53+I57+I61</f>
        <v>20235532</v>
      </c>
      <c r="J63" s="651">
        <f t="shared" si="6"/>
        <v>165015661</v>
      </c>
      <c r="K63" s="655">
        <f t="shared" si="36"/>
        <v>7000000</v>
      </c>
      <c r="L63" s="650">
        <f t="shared" si="36"/>
        <v>-1700000</v>
      </c>
      <c r="M63" s="678">
        <f t="shared" si="7"/>
        <v>5300000</v>
      </c>
      <c r="N63" s="655">
        <f t="shared" si="36"/>
        <v>7178142</v>
      </c>
      <c r="O63" s="650">
        <f t="shared" si="36"/>
        <v>2770251</v>
      </c>
      <c r="P63" s="657">
        <f t="shared" si="36"/>
        <v>9948393</v>
      </c>
      <c r="Q63" s="655">
        <f t="shared" si="36"/>
        <v>3672448</v>
      </c>
      <c r="R63" s="657">
        <f t="shared" si="36"/>
        <v>3672448</v>
      </c>
      <c r="S63" s="679">
        <f t="shared" si="2"/>
        <v>389700892</v>
      </c>
      <c r="T63" s="680">
        <f>C63+F63+I63+L63+O63</f>
        <v>23163764</v>
      </c>
      <c r="U63" s="681">
        <f t="shared" si="9"/>
        <v>412864656</v>
      </c>
      <c r="V63" s="655">
        <f t="shared" si="36"/>
        <v>708192126</v>
      </c>
      <c r="W63" s="650">
        <f t="shared" si="36"/>
        <v>-16250040</v>
      </c>
      <c r="X63" s="657">
        <f t="shared" si="36"/>
        <v>691942086</v>
      </c>
      <c r="Y63" s="655">
        <f t="shared" si="36"/>
        <v>4651032</v>
      </c>
      <c r="Z63" s="650">
        <f t="shared" si="36"/>
        <v>14225521</v>
      </c>
      <c r="AA63" s="657">
        <f t="shared" si="36"/>
        <v>18876553</v>
      </c>
      <c r="AB63" s="654">
        <f t="shared" si="36"/>
        <v>1358080</v>
      </c>
      <c r="AC63" s="650">
        <f t="shared" si="36"/>
        <v>-1358080</v>
      </c>
      <c r="AD63" s="650">
        <f t="shared" si="36"/>
        <v>0</v>
      </c>
      <c r="AE63" s="650">
        <f t="shared" si="36"/>
        <v>0</v>
      </c>
      <c r="AF63" s="650">
        <f t="shared" si="36"/>
        <v>714201238</v>
      </c>
      <c r="AG63" s="650">
        <f t="shared" si="36"/>
        <v>-3382599</v>
      </c>
      <c r="AH63" s="650">
        <f t="shared" si="36"/>
        <v>710818639</v>
      </c>
      <c r="AI63" s="659">
        <f t="shared" si="18"/>
        <v>1103902130</v>
      </c>
      <c r="AJ63" s="659">
        <f t="shared" si="18"/>
        <v>19781165</v>
      </c>
      <c r="AK63" s="659">
        <f t="shared" si="18"/>
        <v>1123683295</v>
      </c>
      <c r="AL63" s="650">
        <f t="shared" si="36"/>
        <v>0</v>
      </c>
      <c r="AM63" s="650">
        <f t="shared" si="36"/>
        <v>477020252.7</v>
      </c>
      <c r="AN63" s="650">
        <f t="shared" si="36"/>
        <v>646663042.3</v>
      </c>
      <c r="AO63" s="657">
        <f>AO53+AO57+AO61</f>
        <v>1123683295</v>
      </c>
    </row>
    <row r="64" spans="2:41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10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10"/>
      <c r="AI64" s="10"/>
      <c r="AJ64" s="10"/>
      <c r="AK64" s="10"/>
      <c r="AL64" s="9"/>
      <c r="AM64" s="9"/>
      <c r="AN64" s="9"/>
      <c r="AO64" s="10"/>
    </row>
    <row r="65" spans="2:41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10"/>
    </row>
    <row r="66" spans="1:41" s="12" customFormat="1" ht="12" customHeight="1">
      <c r="A66" s="682"/>
      <c r="B66" s="682"/>
      <c r="C66" s="682"/>
      <c r="D66" s="682"/>
      <c r="E66" s="682"/>
      <c r="F66" s="682"/>
      <c r="G66" s="682"/>
      <c r="H66" s="682"/>
      <c r="I66" s="682"/>
      <c r="J66" s="682"/>
      <c r="K66" s="682"/>
      <c r="L66" s="683"/>
      <c r="M66" s="683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</row>
    <row r="67" spans="35:37" ht="12.75">
      <c r="AI67" s="10"/>
      <c r="AJ67" s="10"/>
      <c r="AK67" s="10"/>
    </row>
  </sheetData>
  <sheetProtection selectLockedCells="1" selectUnlockedCells="1"/>
  <mergeCells count="5">
    <mergeCell ref="A1:K1"/>
    <mergeCell ref="AN1:AO1"/>
    <mergeCell ref="A2:K2"/>
    <mergeCell ref="H3:AO3"/>
    <mergeCell ref="A66:K66"/>
  </mergeCells>
  <printOptions/>
  <pageMargins left="0.8267716535433072" right="0.5118110236220472" top="0.5118110236220472" bottom="0.984251968503937" header="0.31496062992125984" footer="0.5118110236220472"/>
  <pageSetup horizontalDpi="300" verticalDpi="300" orientation="landscape" paperSize="8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2">
      <selection activeCell="I6" sqref="I6"/>
    </sheetView>
  </sheetViews>
  <sheetFormatPr defaultColWidth="9.00390625" defaultRowHeight="12.75"/>
  <cols>
    <col min="1" max="1" width="58.00390625" style="0" customWidth="1"/>
    <col min="2" max="2" width="16.125" style="0" customWidth="1"/>
    <col min="3" max="3" width="12.75390625" style="0" customWidth="1"/>
    <col min="4" max="4" width="15.625" style="0" customWidth="1"/>
    <col min="7" max="7" width="10.125" style="0" bestFit="1" customWidth="1"/>
  </cols>
  <sheetData>
    <row r="1" ht="12.75" hidden="1">
      <c r="A1" t="s">
        <v>673</v>
      </c>
    </row>
    <row r="2" spans="1:6" ht="12.75" customHeight="1">
      <c r="A2" s="549" t="s">
        <v>563</v>
      </c>
      <c r="B2" s="549"/>
      <c r="C2" s="549"/>
      <c r="D2" s="549"/>
      <c r="E2" s="549"/>
      <c r="F2" s="549"/>
    </row>
    <row r="3" spans="1:6" ht="21" customHeight="1">
      <c r="A3" s="684" t="s">
        <v>523</v>
      </c>
      <c r="B3" s="684"/>
      <c r="C3" s="141"/>
      <c r="D3" s="21"/>
      <c r="E3" s="21"/>
      <c r="F3" s="21"/>
    </row>
    <row r="4" spans="1:6" ht="11.25" customHeight="1">
      <c r="A4" s="359" t="s">
        <v>123</v>
      </c>
      <c r="B4" s="359"/>
      <c r="C4" s="23"/>
      <c r="D4" s="21"/>
      <c r="E4" s="21"/>
      <c r="F4" s="21"/>
    </row>
    <row r="5" spans="1:6" ht="13.5" thickBot="1">
      <c r="A5" s="552" t="s">
        <v>394</v>
      </c>
      <c r="B5" s="552"/>
      <c r="C5" s="55"/>
      <c r="D5" s="21"/>
      <c r="E5" s="21"/>
      <c r="F5" s="21"/>
    </row>
    <row r="6" spans="1:6" ht="51" customHeight="1">
      <c r="A6" s="685" t="s">
        <v>124</v>
      </c>
      <c r="B6" s="686" t="s">
        <v>674</v>
      </c>
      <c r="C6" s="686" t="s">
        <v>675</v>
      </c>
      <c r="D6" s="686" t="s">
        <v>676</v>
      </c>
      <c r="E6" s="21"/>
      <c r="F6" s="21"/>
    </row>
    <row r="7" spans="1:6" ht="15" customHeight="1">
      <c r="A7" s="687" t="s">
        <v>125</v>
      </c>
      <c r="B7" s="419"/>
      <c r="C7" s="419"/>
      <c r="D7" s="688"/>
      <c r="E7" s="21"/>
      <c r="F7" s="21"/>
    </row>
    <row r="8" spans="1:6" ht="28.5" customHeight="1">
      <c r="A8" s="689" t="s">
        <v>437</v>
      </c>
      <c r="B8" s="690">
        <v>4062000</v>
      </c>
      <c r="C8" s="690">
        <v>0</v>
      </c>
      <c r="D8" s="691">
        <f>B8+C8</f>
        <v>4062000</v>
      </c>
      <c r="E8" s="21"/>
      <c r="F8" s="21"/>
    </row>
    <row r="9" spans="1:6" ht="15" customHeight="1">
      <c r="A9" s="689" t="s">
        <v>493</v>
      </c>
      <c r="B9" s="690">
        <v>11430000</v>
      </c>
      <c r="C9" s="690">
        <v>0</v>
      </c>
      <c r="D9" s="691">
        <f aca="true" t="shared" si="0" ref="D9:D20">B9+C9</f>
        <v>11430000</v>
      </c>
      <c r="E9" s="21"/>
      <c r="F9" s="21"/>
    </row>
    <row r="10" spans="1:6" ht="15" customHeight="1">
      <c r="A10" s="692" t="s">
        <v>391</v>
      </c>
      <c r="B10" s="690">
        <v>35711962</v>
      </c>
      <c r="C10" s="690">
        <v>0</v>
      </c>
      <c r="D10" s="691">
        <f t="shared" si="0"/>
        <v>35711962</v>
      </c>
      <c r="E10" s="21"/>
      <c r="F10" s="21"/>
    </row>
    <row r="11" spans="1:7" ht="15" customHeight="1">
      <c r="A11" s="692" t="s">
        <v>438</v>
      </c>
      <c r="B11" s="690">
        <v>92449375</v>
      </c>
      <c r="C11" s="690">
        <f>2712223</f>
        <v>2712223</v>
      </c>
      <c r="D11" s="691">
        <f t="shared" si="0"/>
        <v>95161598</v>
      </c>
      <c r="E11" s="21"/>
      <c r="F11" s="21"/>
      <c r="G11" s="198"/>
    </row>
    <row r="12" spans="1:6" ht="15" customHeight="1">
      <c r="A12" s="692" t="s">
        <v>438</v>
      </c>
      <c r="B12" s="690">
        <v>20000000</v>
      </c>
      <c r="C12" s="690">
        <v>-20000000</v>
      </c>
      <c r="D12" s="691">
        <f t="shared" si="0"/>
        <v>0</v>
      </c>
      <c r="E12" s="21"/>
      <c r="F12" s="21"/>
    </row>
    <row r="13" spans="1:7" ht="15" customHeight="1">
      <c r="A13" s="692" t="s">
        <v>439</v>
      </c>
      <c r="B13" s="690">
        <v>135436000</v>
      </c>
      <c r="C13" s="690">
        <v>-1169935</v>
      </c>
      <c r="D13" s="691">
        <f t="shared" si="0"/>
        <v>134266065</v>
      </c>
      <c r="E13" s="21"/>
      <c r="F13" s="21"/>
      <c r="G13" s="9"/>
    </row>
    <row r="14" spans="1:6" ht="15" customHeight="1">
      <c r="A14" s="692" t="s">
        <v>440</v>
      </c>
      <c r="B14" s="690">
        <v>271378625</v>
      </c>
      <c r="C14" s="690"/>
      <c r="D14" s="691">
        <f t="shared" si="0"/>
        <v>271378625</v>
      </c>
      <c r="E14" s="21"/>
      <c r="F14" s="21"/>
    </row>
    <row r="15" spans="1:6" ht="15" customHeight="1">
      <c r="A15" s="692" t="s">
        <v>494</v>
      </c>
      <c r="B15" s="690">
        <v>127000000</v>
      </c>
      <c r="C15" s="690"/>
      <c r="D15" s="691">
        <f t="shared" si="0"/>
        <v>127000000</v>
      </c>
      <c r="E15" s="21"/>
      <c r="F15" s="21"/>
    </row>
    <row r="16" spans="1:6" ht="15" customHeight="1">
      <c r="A16" s="692" t="s">
        <v>495</v>
      </c>
      <c r="B16" s="690">
        <v>5950816</v>
      </c>
      <c r="C16" s="690"/>
      <c r="D16" s="691">
        <f t="shared" si="0"/>
        <v>5950816</v>
      </c>
      <c r="E16" s="21"/>
      <c r="F16" s="21"/>
    </row>
    <row r="17" spans="1:6" ht="15" customHeight="1">
      <c r="A17" s="692" t="s">
        <v>554</v>
      </c>
      <c r="B17" s="690">
        <v>2883916</v>
      </c>
      <c r="C17" s="690"/>
      <c r="D17" s="691">
        <f t="shared" si="0"/>
        <v>2883916</v>
      </c>
      <c r="E17" s="21"/>
      <c r="F17" s="21"/>
    </row>
    <row r="18" spans="1:6" ht="15" customHeight="1">
      <c r="A18" s="693" t="s">
        <v>677</v>
      </c>
      <c r="B18" s="690"/>
      <c r="C18" s="690">
        <v>1570000</v>
      </c>
      <c r="D18" s="691">
        <f t="shared" si="0"/>
        <v>1570000</v>
      </c>
      <c r="E18" s="21"/>
      <c r="F18" s="21"/>
    </row>
    <row r="19" spans="1:6" ht="15" customHeight="1">
      <c r="A19" s="693" t="s">
        <v>678</v>
      </c>
      <c r="B19" s="690"/>
      <c r="C19" s="690">
        <f>274052+400000</f>
        <v>674052</v>
      </c>
      <c r="D19" s="691">
        <f t="shared" si="0"/>
        <v>674052</v>
      </c>
      <c r="E19" s="21"/>
      <c r="F19" s="21"/>
    </row>
    <row r="20" spans="1:6" ht="15" customHeight="1" thickBot="1">
      <c r="A20" s="694" t="s">
        <v>679</v>
      </c>
      <c r="B20" s="695"/>
      <c r="C20" s="695">
        <f>249620+114000</f>
        <v>363620</v>
      </c>
      <c r="D20" s="691">
        <f t="shared" si="0"/>
        <v>363620</v>
      </c>
      <c r="E20" s="21"/>
      <c r="F20" s="21"/>
    </row>
    <row r="21" spans="1:6" ht="15" customHeight="1" thickBot="1">
      <c r="A21" s="696" t="s">
        <v>537</v>
      </c>
      <c r="B21" s="697">
        <f>SUM(B8:B20)</f>
        <v>706302694</v>
      </c>
      <c r="C21" s="697">
        <f>SUM(C8:C20)</f>
        <v>-15850040</v>
      </c>
      <c r="D21" s="698">
        <f>SUM(D8:D20)</f>
        <v>690452654</v>
      </c>
      <c r="E21" s="21"/>
      <c r="F21" s="21"/>
    </row>
    <row r="22" spans="1:6" ht="15" customHeight="1">
      <c r="A22" s="699"/>
      <c r="B22" s="700"/>
      <c r="C22" s="700"/>
      <c r="D22" s="701"/>
      <c r="E22" s="21"/>
      <c r="F22" s="21"/>
    </row>
    <row r="23" spans="1:6" s="7" customFormat="1" ht="15" customHeight="1">
      <c r="A23" s="687" t="s">
        <v>555</v>
      </c>
      <c r="B23" s="702"/>
      <c r="C23" s="702"/>
      <c r="D23" s="703"/>
      <c r="E23" s="105"/>
      <c r="F23" s="105"/>
    </row>
    <row r="24" spans="1:6" ht="15" customHeight="1">
      <c r="A24" s="692" t="s">
        <v>436</v>
      </c>
      <c r="B24" s="690">
        <v>869432</v>
      </c>
      <c r="C24" s="690"/>
      <c r="D24" s="691">
        <f>B24+C24</f>
        <v>869432</v>
      </c>
      <c r="E24" s="21"/>
      <c r="F24" s="21"/>
    </row>
    <row r="25" spans="1:6" ht="15" customHeight="1" thickBot="1">
      <c r="A25" s="693"/>
      <c r="B25" s="695"/>
      <c r="C25" s="695"/>
      <c r="D25" s="704"/>
      <c r="E25" s="21"/>
      <c r="F25" s="21"/>
    </row>
    <row r="26" spans="1:6" ht="15" customHeight="1" thickBot="1">
      <c r="A26" s="696" t="s">
        <v>556</v>
      </c>
      <c r="B26" s="697">
        <f>SUM(B24:B25)</f>
        <v>869432</v>
      </c>
      <c r="C26" s="697">
        <f>SUM(C24:C25)</f>
        <v>0</v>
      </c>
      <c r="D26" s="698">
        <f>SUM(D24:D25)</f>
        <v>869432</v>
      </c>
      <c r="E26" s="21"/>
      <c r="F26" s="21"/>
    </row>
    <row r="27" spans="1:6" ht="15" customHeight="1">
      <c r="A27" s="699"/>
      <c r="B27" s="700"/>
      <c r="C27" s="700"/>
      <c r="D27" s="701"/>
      <c r="E27" s="21"/>
      <c r="F27" s="21"/>
    </row>
    <row r="28" spans="1:6" ht="15" customHeight="1">
      <c r="A28" s="687" t="s">
        <v>44</v>
      </c>
      <c r="B28" s="702"/>
      <c r="C28" s="702"/>
      <c r="D28" s="691"/>
      <c r="E28" s="21"/>
      <c r="F28" s="21"/>
    </row>
    <row r="29" spans="1:6" ht="15" customHeight="1">
      <c r="A29" s="692" t="s">
        <v>418</v>
      </c>
      <c r="B29" s="690">
        <v>1020000</v>
      </c>
      <c r="C29" s="690">
        <v>-400000</v>
      </c>
      <c r="D29" s="691">
        <f>B29+C29</f>
        <v>620000</v>
      </c>
      <c r="E29" s="21"/>
      <c r="F29" s="21"/>
    </row>
    <row r="30" spans="1:6" ht="15" customHeight="1" thickBot="1">
      <c r="A30" s="693"/>
      <c r="B30" s="695"/>
      <c r="C30" s="695"/>
      <c r="D30" s="704"/>
      <c r="E30" s="21"/>
      <c r="F30" s="21"/>
    </row>
    <row r="31" spans="1:6" ht="15" customHeight="1" thickBot="1">
      <c r="A31" s="696" t="s">
        <v>538</v>
      </c>
      <c r="B31" s="697">
        <f>SUM(B29)</f>
        <v>1020000</v>
      </c>
      <c r="C31" s="697">
        <f>SUM(C29)</f>
        <v>-400000</v>
      </c>
      <c r="D31" s="698">
        <f>SUM(D29)</f>
        <v>620000</v>
      </c>
      <c r="E31" s="21"/>
      <c r="F31" s="21"/>
    </row>
    <row r="32" spans="1:6" ht="15" customHeight="1" thickBot="1">
      <c r="A32" s="705"/>
      <c r="B32" s="706"/>
      <c r="C32" s="706"/>
      <c r="D32" s="707"/>
      <c r="E32" s="21"/>
      <c r="F32" s="21"/>
    </row>
    <row r="33" spans="1:6" ht="20.25" customHeight="1" thickBot="1">
      <c r="A33" s="708" t="s">
        <v>539</v>
      </c>
      <c r="B33" s="709">
        <f>B21+B26+B31</f>
        <v>708192126</v>
      </c>
      <c r="C33" s="709">
        <f>C21+C26+C31</f>
        <v>-16250040</v>
      </c>
      <c r="D33" s="710">
        <f>D21+D26+D31</f>
        <v>691942086</v>
      </c>
      <c r="E33" s="21"/>
      <c r="F33" s="21"/>
    </row>
    <row r="34" spans="1:6" ht="15" customHeight="1">
      <c r="A34" s="21"/>
      <c r="B34" s="21"/>
      <c r="C34" s="21"/>
      <c r="D34" s="198"/>
      <c r="E34" s="21"/>
      <c r="F34" s="21"/>
    </row>
    <row r="35" spans="1:6" ht="12.75">
      <c r="A35" s="359" t="s">
        <v>126</v>
      </c>
      <c r="B35" s="359"/>
      <c r="C35" s="23"/>
      <c r="D35" s="198"/>
      <c r="E35" s="21"/>
      <c r="F35" s="21"/>
    </row>
    <row r="36" spans="1:6" ht="13.5" thickBot="1">
      <c r="A36" s="552" t="s">
        <v>394</v>
      </c>
      <c r="B36" s="552"/>
      <c r="C36" s="55"/>
      <c r="D36" s="198"/>
      <c r="E36" s="21"/>
      <c r="F36" s="21"/>
    </row>
    <row r="37" spans="1:6" ht="38.25">
      <c r="A37" s="711" t="s">
        <v>127</v>
      </c>
      <c r="B37" s="686" t="s">
        <v>674</v>
      </c>
      <c r="C37" s="686" t="s">
        <v>675</v>
      </c>
      <c r="D37" s="686" t="s">
        <v>676</v>
      </c>
      <c r="E37" s="21"/>
      <c r="F37" s="21"/>
    </row>
    <row r="38" spans="1:6" ht="12.75">
      <c r="A38" s="687"/>
      <c r="B38" s="419"/>
      <c r="C38" s="419"/>
      <c r="D38" s="691"/>
      <c r="E38" s="21"/>
      <c r="F38" s="21"/>
    </row>
    <row r="39" spans="1:6" ht="12.75">
      <c r="A39" s="689" t="s">
        <v>496</v>
      </c>
      <c r="B39" s="690">
        <v>4651032</v>
      </c>
      <c r="C39" s="690">
        <v>198967</v>
      </c>
      <c r="D39" s="691">
        <f>B39+C39</f>
        <v>4849999</v>
      </c>
      <c r="E39" s="21"/>
      <c r="F39" s="21"/>
    </row>
    <row r="40" spans="1:6" ht="12.75">
      <c r="A40" s="712" t="s">
        <v>680</v>
      </c>
      <c r="B40" s="168"/>
      <c r="C40" s="713">
        <v>2330863</v>
      </c>
      <c r="D40" s="691">
        <f>B40+C40</f>
        <v>2330863</v>
      </c>
      <c r="E40" s="21"/>
      <c r="F40" s="21"/>
    </row>
    <row r="41" spans="1:6" ht="13.5" thickBot="1">
      <c r="A41" s="714" t="s">
        <v>681</v>
      </c>
      <c r="B41" s="168"/>
      <c r="C41" s="713">
        <f>320857+6640000+1823827+2911007</f>
        <v>11695691</v>
      </c>
      <c r="D41" s="691">
        <f>B41+C41</f>
        <v>11695691</v>
      </c>
      <c r="E41" s="21"/>
      <c r="F41" s="21"/>
    </row>
    <row r="42" spans="1:6" ht="13.5" thickBot="1">
      <c r="A42" s="715" t="s">
        <v>540</v>
      </c>
      <c r="B42" s="716">
        <f>SUM(B39:B41)</f>
        <v>4651032</v>
      </c>
      <c r="C42" s="716">
        <f>SUM(C39:C41)</f>
        <v>14225521</v>
      </c>
      <c r="D42" s="717">
        <f>SUM(D39:D41)</f>
        <v>18876553</v>
      </c>
      <c r="E42" s="21"/>
      <c r="F42" s="21"/>
    </row>
    <row r="43" spans="1:6" ht="12.75">
      <c r="A43" s="21"/>
      <c r="B43" s="21"/>
      <c r="C43" s="21"/>
      <c r="D43" s="21"/>
      <c r="E43" s="21"/>
      <c r="F43" s="21"/>
    </row>
    <row r="44" spans="1:6" ht="12.75">
      <c r="A44" s="359" t="s">
        <v>128</v>
      </c>
      <c r="B44" s="359"/>
      <c r="C44" s="23"/>
      <c r="D44" s="21"/>
      <c r="E44" s="21"/>
      <c r="F44" s="21"/>
    </row>
    <row r="45" spans="1:6" ht="13.5" thickBot="1">
      <c r="A45" s="552" t="s">
        <v>394</v>
      </c>
      <c r="B45" s="552"/>
      <c r="C45" s="55"/>
      <c r="D45" s="21"/>
      <c r="E45" s="21"/>
      <c r="F45" s="21"/>
    </row>
    <row r="46" spans="1:6" ht="38.25">
      <c r="A46" s="718"/>
      <c r="B46" s="686" t="s">
        <v>674</v>
      </c>
      <c r="C46" s="686" t="s">
        <v>675</v>
      </c>
      <c r="D46" s="686" t="s">
        <v>676</v>
      </c>
      <c r="E46" s="21"/>
      <c r="F46" s="21"/>
    </row>
    <row r="47" spans="1:6" ht="12.75">
      <c r="A47" s="719"/>
      <c r="B47" s="125"/>
      <c r="C47" s="419"/>
      <c r="D47" s="688"/>
      <c r="E47" s="21"/>
      <c r="F47" s="21"/>
    </row>
    <row r="48" spans="1:6" ht="13.5" thickBot="1">
      <c r="A48" s="720" t="s">
        <v>541</v>
      </c>
      <c r="B48" s="721">
        <v>1358080</v>
      </c>
      <c r="C48" s="721">
        <v>-1358080</v>
      </c>
      <c r="D48" s="722">
        <f>B48+C48</f>
        <v>0</v>
      </c>
      <c r="E48" s="21"/>
      <c r="F48" s="21"/>
    </row>
    <row r="49" spans="1:6" ht="13.5" thickBot="1">
      <c r="A49" s="723"/>
      <c r="B49" s="723"/>
      <c r="C49" s="724"/>
      <c r="D49" s="723"/>
      <c r="E49" s="21"/>
      <c r="F49" s="21"/>
    </row>
    <row r="50" spans="1:6" s="7" customFormat="1" ht="14.25" thickBot="1" thickTop="1">
      <c r="A50" s="725" t="s">
        <v>542</v>
      </c>
      <c r="B50" s="726">
        <f>B33+B42+B48</f>
        <v>714201238</v>
      </c>
      <c r="C50" s="726">
        <f>C33+C42+C48</f>
        <v>-3382599</v>
      </c>
      <c r="D50" s="726">
        <f>D33+D42+D48</f>
        <v>710818639</v>
      </c>
      <c r="E50" s="105"/>
      <c r="F50" s="105"/>
    </row>
    <row r="51" spans="1:6" ht="13.5" thickTop="1">
      <c r="A51" s="21"/>
      <c r="B51" s="21"/>
      <c r="C51" s="21"/>
      <c r="D51" s="21"/>
      <c r="E51" s="21"/>
      <c r="F51" s="21"/>
    </row>
  </sheetData>
  <sheetProtection selectLockedCells="1" selectUnlockedCells="1"/>
  <mergeCells count="8">
    <mergeCell ref="A44:B44"/>
    <mergeCell ref="A45:B45"/>
    <mergeCell ref="A2:F2"/>
    <mergeCell ref="A3:B3"/>
    <mergeCell ref="A4:B4"/>
    <mergeCell ref="A5:B5"/>
    <mergeCell ref="A35:B35"/>
    <mergeCell ref="A36:B36"/>
  </mergeCells>
  <printOptions horizontalCentered="1" verticalCentered="1"/>
  <pageMargins left="0.7875" right="0.7875" top="0.3798611111111111" bottom="0.5097222222222222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7.75390625" style="22" customWidth="1"/>
    <col min="2" max="2" width="37.00390625" style="0" customWidth="1"/>
    <col min="3" max="3" width="14.375" style="0" customWidth="1"/>
    <col min="4" max="4" width="12.625" style="0" customWidth="1"/>
    <col min="5" max="6" width="13.375" style="0" customWidth="1"/>
    <col min="7" max="7" width="16.375" style="0" customWidth="1"/>
  </cols>
  <sheetData>
    <row r="1" spans="1:7" ht="12.75">
      <c r="A1" s="24"/>
      <c r="B1" s="21" t="s">
        <v>564</v>
      </c>
      <c r="C1" s="21"/>
      <c r="D1" s="21"/>
      <c r="E1" s="21"/>
      <c r="F1" s="21"/>
      <c r="G1" s="69"/>
    </row>
    <row r="2" spans="1:7" ht="15.75">
      <c r="A2" s="24"/>
      <c r="B2" s="21"/>
      <c r="C2" s="21"/>
      <c r="D2" s="21"/>
      <c r="E2" s="224"/>
      <c r="F2" s="224"/>
      <c r="G2" s="21"/>
    </row>
    <row r="3" spans="1:7" ht="12.75">
      <c r="A3" s="24"/>
      <c r="B3" s="21"/>
      <c r="C3" s="21"/>
      <c r="D3" s="21"/>
      <c r="E3" s="21"/>
      <c r="F3" s="21"/>
      <c r="G3" s="21"/>
    </row>
    <row r="4" spans="1:7" ht="12.75" customHeight="1">
      <c r="A4" s="24"/>
      <c r="B4" s="275" t="s">
        <v>129</v>
      </c>
      <c r="C4" s="275"/>
      <c r="D4" s="275"/>
      <c r="E4" s="275"/>
      <c r="F4" s="275"/>
      <c r="G4" s="275"/>
    </row>
    <row r="5" spans="1:7" ht="12.75" customHeight="1">
      <c r="A5" s="24"/>
      <c r="B5" s="275"/>
      <c r="C5" s="275"/>
      <c r="D5" s="275"/>
      <c r="E5" s="275"/>
      <c r="F5" s="275"/>
      <c r="G5" s="275"/>
    </row>
    <row r="6" spans="1:7" ht="12.75">
      <c r="A6" s="24"/>
      <c r="B6" s="21"/>
      <c r="C6" s="21"/>
      <c r="D6" s="21"/>
      <c r="E6" s="21"/>
      <c r="F6" s="21"/>
      <c r="G6" s="55"/>
    </row>
    <row r="7" spans="1:7" ht="9.75" customHeight="1">
      <c r="A7" s="24"/>
      <c r="B7" s="21"/>
      <c r="C7" s="21"/>
      <c r="D7" s="21"/>
      <c r="E7" s="21"/>
      <c r="F7" s="21"/>
      <c r="G7" s="71" t="s">
        <v>130</v>
      </c>
    </row>
    <row r="8" spans="1:7" ht="24" customHeight="1">
      <c r="A8" s="121" t="s">
        <v>131</v>
      </c>
      <c r="B8" s="99" t="s">
        <v>3</v>
      </c>
      <c r="C8" s="100" t="s">
        <v>526</v>
      </c>
      <c r="D8" s="99">
        <v>2020</v>
      </c>
      <c r="E8" s="99">
        <v>2021</v>
      </c>
      <c r="F8" s="99">
        <v>2022</v>
      </c>
      <c r="G8" s="99" t="s">
        <v>132</v>
      </c>
    </row>
    <row r="9" spans="1:7" ht="12.75">
      <c r="A9" s="52">
        <v>1</v>
      </c>
      <c r="B9" s="17" t="s">
        <v>396</v>
      </c>
      <c r="C9" s="203">
        <f>45497432+12037252</f>
        <v>57534684</v>
      </c>
      <c r="D9" s="203"/>
      <c r="E9" s="203"/>
      <c r="F9" s="203"/>
      <c r="G9" s="203">
        <f aca="true" t="shared" si="0" ref="G9:G19">SUM(C9:F9)</f>
        <v>57534684</v>
      </c>
    </row>
    <row r="10" spans="1:7" ht="12.75">
      <c r="A10" s="52">
        <v>2</v>
      </c>
      <c r="B10" s="17" t="s">
        <v>410</v>
      </c>
      <c r="C10" s="203">
        <v>97306192</v>
      </c>
      <c r="D10" s="203">
        <v>366552</v>
      </c>
      <c r="E10" s="203"/>
      <c r="F10" s="203"/>
      <c r="G10" s="203">
        <f t="shared" si="0"/>
        <v>97672744</v>
      </c>
    </row>
    <row r="11" spans="1:7" ht="12.75">
      <c r="A11" s="52">
        <v>3</v>
      </c>
      <c r="B11" s="17" t="s">
        <v>411</v>
      </c>
      <c r="C11" s="203">
        <v>24348600</v>
      </c>
      <c r="D11" s="203">
        <v>651400</v>
      </c>
      <c r="E11" s="203"/>
      <c r="F11" s="203"/>
      <c r="G11" s="203">
        <f t="shared" si="0"/>
        <v>25000000</v>
      </c>
    </row>
    <row r="12" spans="1:7" ht="25.5">
      <c r="A12" s="52">
        <v>4</v>
      </c>
      <c r="B12" s="17" t="s">
        <v>412</v>
      </c>
      <c r="C12" s="203">
        <f>140195598+7128185</f>
        <v>147323783</v>
      </c>
      <c r="D12" s="203">
        <v>3732322</v>
      </c>
      <c r="E12" s="203">
        <v>709395</v>
      </c>
      <c r="F12" s="203"/>
      <c r="G12" s="203">
        <f t="shared" si="0"/>
        <v>151765500</v>
      </c>
    </row>
    <row r="13" spans="1:7" ht="25.5">
      <c r="A13" s="52">
        <v>5</v>
      </c>
      <c r="B13" s="17" t="s">
        <v>413</v>
      </c>
      <c r="C13" s="203">
        <v>271378625</v>
      </c>
      <c r="D13" s="203"/>
      <c r="E13" s="203"/>
      <c r="F13" s="203"/>
      <c r="G13" s="203">
        <f t="shared" si="0"/>
        <v>271378625</v>
      </c>
    </row>
    <row r="14" spans="1:7" ht="25.5">
      <c r="A14" s="52">
        <v>6</v>
      </c>
      <c r="B14" s="17" t="s">
        <v>525</v>
      </c>
      <c r="C14" s="203">
        <v>127000000</v>
      </c>
      <c r="D14" s="203"/>
      <c r="E14" s="203"/>
      <c r="F14" s="203"/>
      <c r="G14" s="203">
        <f t="shared" si="0"/>
        <v>127000000</v>
      </c>
    </row>
    <row r="15" spans="1:7" ht="12.75">
      <c r="A15" s="52">
        <v>7</v>
      </c>
      <c r="B15" s="17" t="s">
        <v>406</v>
      </c>
      <c r="C15" s="203">
        <f>22471868+13442739</f>
        <v>35914607</v>
      </c>
      <c r="D15" s="203">
        <v>18101169</v>
      </c>
      <c r="E15" s="203">
        <v>13841876</v>
      </c>
      <c r="F15" s="203"/>
      <c r="G15" s="203">
        <f t="shared" si="0"/>
        <v>67857652</v>
      </c>
    </row>
    <row r="16" spans="1:7" ht="25.5">
      <c r="A16" s="52">
        <v>8</v>
      </c>
      <c r="B16" s="17" t="s">
        <v>408</v>
      </c>
      <c r="C16" s="203">
        <v>5769039</v>
      </c>
      <c r="D16" s="203">
        <v>12914304</v>
      </c>
      <c r="E16" s="203"/>
      <c r="F16" s="203"/>
      <c r="G16" s="203">
        <f t="shared" si="0"/>
        <v>18683343</v>
      </c>
    </row>
    <row r="17" spans="1:7" ht="12.75">
      <c r="A17" s="52">
        <v>9</v>
      </c>
      <c r="B17" s="17" t="s">
        <v>426</v>
      </c>
      <c r="C17" s="203">
        <f>2858476+1235605</f>
        <v>4094081</v>
      </c>
      <c r="D17" s="203">
        <v>2707746</v>
      </c>
      <c r="E17" s="203">
        <v>2661184</v>
      </c>
      <c r="F17" s="203">
        <v>301869</v>
      </c>
      <c r="G17" s="203">
        <f t="shared" si="0"/>
        <v>9764880</v>
      </c>
    </row>
    <row r="18" spans="1:7" ht="12.75">
      <c r="A18" s="52">
        <v>10</v>
      </c>
      <c r="B18" s="17" t="s">
        <v>487</v>
      </c>
      <c r="C18" s="203">
        <f>64561932+8310568</f>
        <v>72872500</v>
      </c>
      <c r="D18" s="203">
        <v>27421402</v>
      </c>
      <c r="E18" s="203"/>
      <c r="F18" s="203"/>
      <c r="G18" s="203">
        <f t="shared" si="0"/>
        <v>100293902</v>
      </c>
    </row>
    <row r="19" spans="1:7" ht="15" customHeight="1">
      <c r="A19" s="52">
        <v>11</v>
      </c>
      <c r="B19" s="53" t="s">
        <v>498</v>
      </c>
      <c r="C19" s="203">
        <v>17816680</v>
      </c>
      <c r="D19" s="203"/>
      <c r="E19" s="203"/>
      <c r="F19" s="203"/>
      <c r="G19" s="203">
        <f t="shared" si="0"/>
        <v>17816680</v>
      </c>
    </row>
    <row r="20" spans="1:7" s="37" customFormat="1" ht="12.75">
      <c r="A20" s="25"/>
      <c r="B20" s="54" t="s">
        <v>48</v>
      </c>
      <c r="C20" s="204">
        <f>SUM(C9:C18)</f>
        <v>843542111</v>
      </c>
      <c r="D20" s="204">
        <f>SUM(D9:D18)</f>
        <v>65894895</v>
      </c>
      <c r="E20" s="204">
        <f>SUM(E9:E18)</f>
        <v>17212455</v>
      </c>
      <c r="F20" s="204">
        <f>SUM(F9:F18)</f>
        <v>301869</v>
      </c>
      <c r="G20" s="204">
        <f>SUM(G9:G18)</f>
        <v>926951330</v>
      </c>
    </row>
    <row r="21" spans="1:7" ht="12.75">
      <c r="A21" s="24"/>
      <c r="B21" s="21"/>
      <c r="C21" s="21"/>
      <c r="D21" s="21"/>
      <c r="E21" s="21"/>
      <c r="F21" s="21"/>
      <c r="G21" s="21"/>
    </row>
    <row r="22" spans="1:7" ht="12.75">
      <c r="A22" s="24"/>
      <c r="B22" s="21" t="s">
        <v>488</v>
      </c>
      <c r="C22" s="21"/>
      <c r="D22" s="21"/>
      <c r="E22" s="21"/>
      <c r="F22" s="21"/>
      <c r="G22" s="198"/>
    </row>
    <row r="23" spans="1:7" ht="12.75">
      <c r="A23" s="24"/>
      <c r="B23" s="21" t="s">
        <v>489</v>
      </c>
      <c r="C23" s="21"/>
      <c r="D23" s="21"/>
      <c r="E23" s="21"/>
      <c r="F23" s="21"/>
      <c r="G23" s="21"/>
    </row>
    <row r="24" spans="1:7" ht="12.75">
      <c r="A24" s="24"/>
      <c r="B24" s="21" t="s">
        <v>490</v>
      </c>
      <c r="C24" s="21"/>
      <c r="D24" s="21"/>
      <c r="E24" s="21"/>
      <c r="F24" s="21"/>
      <c r="G24" s="21"/>
    </row>
  </sheetData>
  <sheetProtection selectLockedCells="1" selectUnlockedCells="1"/>
  <mergeCells count="2">
    <mergeCell ref="B4:G4"/>
    <mergeCell ref="B5:G5"/>
  </mergeCells>
  <printOptions/>
  <pageMargins left="0.7875" right="0.43333333333333335" top="0.5118055555555555" bottom="0.511805555555555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1032540</dc:creator>
  <cp:keywords/>
  <dc:description/>
  <cp:lastModifiedBy>PENZUGY-01</cp:lastModifiedBy>
  <cp:lastPrinted>2020-03-02T09:59:35Z</cp:lastPrinted>
  <dcterms:created xsi:type="dcterms:W3CDTF">2014-03-14T06:45:59Z</dcterms:created>
  <dcterms:modified xsi:type="dcterms:W3CDTF">2020-09-29T13:32:19Z</dcterms:modified>
  <cp:category/>
  <cp:version/>
  <cp:contentType/>
  <cp:contentStatus/>
</cp:coreProperties>
</file>