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9" activeTab="13"/>
  </bookViews>
  <sheets>
    <sheet name="bor." sheetId="1" r:id="rId1"/>
    <sheet name="1.mell. -mérleg" sheetId="2" r:id="rId2"/>
    <sheet name="2.mell - bevétel" sheetId="3" r:id="rId3"/>
    <sheet name="3.mell. - bevét.Köá (1)" sheetId="4" r:id="rId4"/>
    <sheet name="4.mell. - kiadás" sheetId="5" r:id="rId5"/>
    <sheet name="5.mell. - kiadás.köá." sheetId="6" r:id="rId6"/>
    <sheet name="6.mell - átadások" sheetId="7" r:id="rId7"/>
    <sheet name="7.beruházások" sheetId="8" r:id="rId8"/>
    <sheet name="8.Felújítások" sheetId="9" r:id="rId9"/>
    <sheet name="9.mell. - közgazd.mérleg" sheetId="10" r:id="rId10"/>
    <sheet name="10.mell. -ei.felh.ütemt." sheetId="11" r:id="rId11"/>
    <sheet name="11.mell.tartalék" sheetId="12" r:id="rId12"/>
    <sheet name="12.mell.bevétel+" sheetId="13" r:id="rId13"/>
    <sheet name="13.mell.ktgvszerv tám." sheetId="14" r:id="rId14"/>
    <sheet name="Munka1" sheetId="15" r:id="rId15"/>
  </sheets>
  <definedNames>
    <definedName name="_xlnm.Print_Titles" localSheetId="2">'2.mell - bevétel'!$12:$14</definedName>
    <definedName name="_xlnm.Print_Area" localSheetId="2">'2.mell - bevétel'!$A$3:$I$132</definedName>
  </definedNames>
  <calcPr fullCalcOnLoad="1"/>
</workbook>
</file>

<file path=xl/sharedStrings.xml><?xml version="1.0" encoding="utf-8"?>
<sst xmlns="http://schemas.openxmlformats.org/spreadsheetml/2006/main" count="1074" uniqueCount="616">
  <si>
    <t>Megnevezés</t>
  </si>
  <si>
    <t>Ft</t>
  </si>
  <si>
    <t>Összesen:</t>
  </si>
  <si>
    <t>létszám</t>
  </si>
  <si>
    <t>Sitke község Önkormányzata</t>
  </si>
  <si>
    <t>e Ft</t>
  </si>
  <si>
    <t>TÁMOGATÁSOK ÖSSZESEN:</t>
  </si>
  <si>
    <t>állandó</t>
  </si>
  <si>
    <t>előirányzat</t>
  </si>
  <si>
    <t>tervezett 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</si>
  <si>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</si>
  <si>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</si>
  <si>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</si>
  <si>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</si>
  <si>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</si>
  <si>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</si>
  <si>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</si>
  <si>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</si>
  <si>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Citerazenekar támogatása</t>
  </si>
  <si>
    <t>Hímzőszakkör támogatása</t>
  </si>
  <si>
    <t>2.</t>
  </si>
  <si>
    <t>Kistérségi tagsági díj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</si>
  <si>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</si>
  <si>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</si>
  <si>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</si>
  <si>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</si>
  <si>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</si>
  <si>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</si>
  <si>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</si>
  <si>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</si>
  <si>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</si>
  <si>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</si>
  <si>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</si>
  <si>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</si>
  <si>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</si>
  <si>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</si>
  <si>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</si>
  <si>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</si>
  <si>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</si>
  <si>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</si>
  <si>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</si>
  <si>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</si>
  <si>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</si>
  <si>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</si>
  <si>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</si>
  <si>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</si>
  <si>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</si>
  <si>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</si>
  <si>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</si>
  <si>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</si>
  <si>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</si>
  <si>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</si>
  <si>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</si>
  <si>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</si>
  <si>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</si>
  <si>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</si>
  <si>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</si>
  <si>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       - egyéb működési kiadások</t>
  </si>
  <si>
    <t xml:space="preserve">       - egyéb felhalmozási kiadások</t>
  </si>
  <si>
    <t>szociális étkeztetés térítési díja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</si>
  <si>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</si>
  <si>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</si>
  <si>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</si>
  <si>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</si>
  <si>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</si>
  <si>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</si>
  <si>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</si>
  <si>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</si>
  <si>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</si>
  <si>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</si>
  <si>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</si>
  <si>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</si>
  <si>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</si>
  <si>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</si>
  <si>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</si>
  <si>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</si>
  <si>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</si>
  <si>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</si>
  <si>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</si>
  <si>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</si>
  <si>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</si>
  <si>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</si>
  <si>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</si>
  <si>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</si>
  <si>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</si>
  <si>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</si>
  <si>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</si>
  <si>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</si>
  <si>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</si>
  <si>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</si>
  <si>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</si>
  <si>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</si>
  <si>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</si>
  <si>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</si>
  <si>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</si>
  <si>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</si>
  <si>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</si>
  <si>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</si>
  <si>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</si>
  <si>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</si>
  <si>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</si>
  <si>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</si>
  <si>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</si>
  <si>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</si>
  <si>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</si>
  <si>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</si>
  <si>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</si>
  <si>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</si>
  <si>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</si>
  <si>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</si>
  <si>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</si>
  <si>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</si>
  <si>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</si>
  <si>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</si>
  <si>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</si>
  <si>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</si>
  <si>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</si>
  <si>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</si>
  <si>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</si>
  <si>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</si>
  <si>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</si>
  <si>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</si>
  <si>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</si>
  <si>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</si>
  <si>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</si>
  <si>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</si>
  <si>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</si>
  <si>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</si>
  <si>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</si>
  <si>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</si>
  <si>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</si>
  <si>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</si>
  <si>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</si>
  <si>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</si>
  <si>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</si>
  <si>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</si>
  <si>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</si>
  <si>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</si>
  <si>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</si>
  <si>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</si>
  <si>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</si>
  <si>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</si>
  <si>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</si>
  <si>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</si>
  <si>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</si>
  <si>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</si>
  <si>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</si>
  <si>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</si>
  <si>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</si>
  <si>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</si>
  <si>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</si>
  <si>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</si>
  <si>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</si>
  <si>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</si>
  <si>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</si>
  <si>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</si>
  <si>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</si>
  <si>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</si>
  <si>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</si>
  <si>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</si>
  <si>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</si>
  <si>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</si>
  <si>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</si>
  <si>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</si>
  <si>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</si>
  <si>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</si>
  <si>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</si>
  <si>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</si>
  <si>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</si>
  <si>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</si>
  <si>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</si>
  <si>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</si>
  <si>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</si>
  <si>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</si>
  <si>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</si>
  <si>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</si>
  <si>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</si>
  <si>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</si>
  <si>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</si>
  <si>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</si>
  <si>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</si>
  <si>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</si>
  <si>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</si>
  <si>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</si>
  <si>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</si>
  <si>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</si>
  <si>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</si>
  <si>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</si>
  <si>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</si>
  <si>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</si>
  <si>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</si>
  <si>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</si>
  <si>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</si>
  <si>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</si>
  <si>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</si>
  <si>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</si>
  <si>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</si>
  <si>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</si>
  <si>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</si>
  <si>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</si>
  <si>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</si>
  <si>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</si>
  <si>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</si>
  <si>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</si>
  <si>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</si>
  <si>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</si>
  <si>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</si>
  <si>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</si>
  <si>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</si>
  <si>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</si>
  <si>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</si>
  <si>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</si>
  <si>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</si>
  <si>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</si>
  <si>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</si>
  <si>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</si>
  <si>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</si>
  <si>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</si>
  <si>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</si>
  <si>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</si>
  <si>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</si>
  <si>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</si>
  <si>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</si>
  <si>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</si>
  <si>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</si>
  <si>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</si>
  <si>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</si>
  <si>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</si>
  <si>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</si>
  <si>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</si>
  <si>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</si>
  <si>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</si>
  <si>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</si>
  <si>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</si>
  <si>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</si>
  <si>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</si>
  <si>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</si>
  <si>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</si>
  <si>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</si>
  <si>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</si>
  <si>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</si>
  <si>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</si>
  <si>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</si>
  <si>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</si>
  <si>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</si>
  <si>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</si>
  <si>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</si>
  <si>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</si>
  <si>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</si>
  <si>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</si>
  <si>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</si>
  <si>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</si>
  <si>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</si>
  <si>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</si>
  <si>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</si>
  <si>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</si>
  <si>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</si>
  <si>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</si>
  <si>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</si>
  <si>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</si>
  <si>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</si>
  <si>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</si>
  <si>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</si>
  <si>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</si>
  <si>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</si>
  <si>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</si>
  <si>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</si>
  <si>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</si>
  <si>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</si>
  <si>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</si>
  <si>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</si>
  <si>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</si>
  <si>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</si>
  <si>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</si>
  <si>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</si>
  <si>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</si>
  <si>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</si>
  <si>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</si>
  <si>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</si>
  <si>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</si>
  <si>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</si>
  <si>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</si>
  <si>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</si>
  <si>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</si>
  <si>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</si>
  <si>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M e g n e v e z é s: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</si>
  <si>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</si>
  <si>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</si>
  <si>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</si>
  <si>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</si>
  <si>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</si>
  <si>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</si>
  <si>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</si>
  <si>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</si>
  <si>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</si>
  <si>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</si>
  <si>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</si>
  <si>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</si>
  <si>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</si>
  <si>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</si>
  <si>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</si>
  <si>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</si>
  <si>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</si>
  <si>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</si>
  <si>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</si>
  <si>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</si>
  <si>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</si>
  <si>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</si>
  <si>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</si>
  <si>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</si>
  <si>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</si>
  <si>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</si>
  <si>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</si>
  <si>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</si>
  <si>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</si>
  <si>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</si>
  <si>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</si>
  <si>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</si>
  <si>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</si>
  <si>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</si>
  <si>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</si>
  <si>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</si>
  <si>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</si>
  <si>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</si>
  <si>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</si>
  <si>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</si>
  <si>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</si>
  <si>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</si>
  <si>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</si>
  <si>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Rendszeres gyermekvédelmi kedvezményben részesülők Erzsébet utalványa támogatása</t>
  </si>
  <si>
    <t>költségvetése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</si>
  <si>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</si>
  <si>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</si>
  <si>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</si>
  <si>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</si>
  <si>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</si>
  <si>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</si>
  <si>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</si>
  <si>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</si>
  <si>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</si>
  <si>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</si>
  <si>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</si>
  <si>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</si>
  <si>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</si>
  <si>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Munkahelyi étkeztetés köznevelési int.(562920) (vendég)</t>
  </si>
  <si>
    <t xml:space="preserve"> egyéb működési és felhalmozási kiadásai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</si>
  <si>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</si>
  <si>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</si>
  <si>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</si>
  <si>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2017. év</t>
  </si>
  <si>
    <t>( Ft-ban)</t>
  </si>
  <si>
    <t>2016. évről áthúzódó bérkompenzáció támogatása</t>
  </si>
  <si>
    <t>kiegészítés - I.1. jogcímhez kapcsolódóan</t>
  </si>
  <si>
    <t xml:space="preserve">2017. évi </t>
  </si>
  <si>
    <t>2017. évre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</si>
  <si>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</si>
  <si>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</si>
  <si>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</si>
  <si>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</si>
  <si>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</si>
  <si>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</si>
  <si>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</si>
  <si>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2016.ÉVBEN MEGELŐLEGEZETT ÁLLAMI TÁMOGATÁS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</si>
  <si>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</si>
  <si>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</si>
  <si>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</si>
  <si>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</si>
  <si>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</si>
  <si>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</si>
  <si>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</si>
  <si>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</si>
  <si>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</si>
  <si>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2017.évre</t>
  </si>
  <si>
    <t>adósságkonszolidációban nem részerült település önkormányzatok támogatása 2016. évről</t>
  </si>
  <si>
    <t>megelőlegezett állami támogatás igénybevétele</t>
  </si>
  <si>
    <t>ADÓSSÁGKONSZOLIDÁCIÓBAN NEM RÉSZESÜLT TELEPÜLÉSI ÖNKORMÁNYZATOK 2016. ÉVRŐL ÁTHÚZÓDÓ TÁMOGATA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</si>
  <si>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</si>
  <si>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</si>
  <si>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</si>
  <si>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</si>
  <si>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</si>
  <si>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</si>
  <si>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</si>
  <si>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</si>
  <si>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</si>
  <si>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</si>
  <si>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</si>
  <si>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</si>
  <si>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</si>
  <si>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</si>
  <si>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</si>
  <si>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</si>
  <si>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</si>
  <si>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</si>
  <si>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</si>
  <si>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</si>
  <si>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</si>
  <si>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</si>
  <si>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</si>
  <si>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</si>
  <si>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</si>
  <si>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</si>
  <si>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</si>
  <si>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1.1</t>
  </si>
  <si>
    <t>(  Ft-ban )</t>
  </si>
  <si>
    <t>ÁLTALÁNOS TARTALÉKOK ELŐIRÁNYZATA</t>
  </si>
  <si>
    <t xml:space="preserve">Általános tartalék összege </t>
  </si>
  <si>
    <t xml:space="preserve">       - Általános tartalék</t>
  </si>
  <si>
    <t>3.1.6.</t>
  </si>
  <si>
    <t>1. melléklet  a  2/2017. (II.14.)  önkormányzati rendelethez</t>
  </si>
  <si>
    <t>2. melléklet  a  2/2017. (II.14.)  önkormányzati rendelethez</t>
  </si>
  <si>
    <t>3. melléklet  a  2/2017. (II.14.)  önkormányzati rendelethez</t>
  </si>
  <si>
    <t>4. melléklet  a  2/2017. (II.14.)  önkormányzati rendelethez</t>
  </si>
  <si>
    <t>5. melléklet  a 2/2017. (II.14.)  önkormányzati rendelethez</t>
  </si>
  <si>
    <t>6. melléklet  a  2/2017. (II.14.)  önkormányzati rendelethez</t>
  </si>
  <si>
    <t>10. melléklet a 2/2017. (II.14.)  önkormányzati rendelethez</t>
  </si>
  <si>
    <t>11. melléklet a 2/2017. (II.14.)  önkormányzati rendelethez</t>
  </si>
  <si>
    <t>17. melléklet a 2/2017. (II.14.)  önkormányzati rendelethez</t>
  </si>
  <si>
    <t>ÖSSZESEN:</t>
  </si>
  <si>
    <t>Sitkei Önkormányzati Konyha összesen:</t>
  </si>
  <si>
    <t>Sitke község Önkormányzata összesen:</t>
  </si>
  <si>
    <t>34.</t>
  </si>
  <si>
    <t>33.</t>
  </si>
  <si>
    <t>32.</t>
  </si>
  <si>
    <t>31.</t>
  </si>
  <si>
    <t>30.</t>
  </si>
  <si>
    <t>29.</t>
  </si>
  <si>
    <t>Sitkei önkormányzati Konyha</t>
  </si>
  <si>
    <t>Sitke Község Önkormányzata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</si>
  <si>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</si>
  <si>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</si>
  <si>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</si>
  <si>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pénzeszközök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</si>
  <si>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</si>
  <si>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</si>
  <si>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</si>
  <si>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</si>
  <si>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</si>
  <si>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</si>
  <si>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</si>
  <si>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</si>
  <si>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</si>
  <si>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SORSZÁM</t>
  </si>
  <si>
    <t xml:space="preserve"> Ft-ban </t>
  </si>
  <si>
    <t>BEVÉTELEINEK KÖLTSÉGVETÉSI SZERVENKÉNTI ALAKULÁSA</t>
  </si>
  <si>
    <t xml:space="preserve">SITKE KÖZSÉG ÖNKORMÁNYZATA  </t>
  </si>
  <si>
    <t xml:space="preserve"> 18. melléklet a 2/2017. (II. 14.) önkormányzati rendelethez </t>
  </si>
  <si>
    <t>Sitkei Önkormányzati Konyha</t>
  </si>
  <si>
    <t>megoszlás %-a</t>
  </si>
  <si>
    <t xml:space="preserve">  Ft </t>
  </si>
  <si>
    <t>megoszlás    %-a</t>
  </si>
  <si>
    <t>megnevezése:</t>
  </si>
  <si>
    <t xml:space="preserve"> összes támogatás </t>
  </si>
  <si>
    <t>önkormányzati támogatás</t>
  </si>
  <si>
    <t>központi költségvetési támogatás</t>
  </si>
  <si>
    <t>Intézmény</t>
  </si>
  <si>
    <t xml:space="preserve"> (  Ft-ban ) </t>
  </si>
  <si>
    <t>KÖLTSÉGVETÉSI SZERVEK KÖZPONTI KÖLTSÉGVETÉSI ÉS ÖNKORMÁNYZATI TÁMOGATÁSA</t>
  </si>
  <si>
    <t xml:space="preserve"> 19. melléklet a 2/2017.(II. 14.) önkormányzati rendelethez </t>
  </si>
  <si>
    <t>TERVEZET</t>
  </si>
  <si>
    <t>2.1</t>
  </si>
  <si>
    <t>2.2</t>
  </si>
  <si>
    <t>2.3</t>
  </si>
  <si>
    <t>2.4</t>
  </si>
  <si>
    <t>2.5</t>
  </si>
  <si>
    <t>3</t>
  </si>
  <si>
    <t>041233</t>
  </si>
  <si>
    <t>Hosszabb időtartamú közfoglalkoztatás</t>
  </si>
  <si>
    <t>4.1</t>
  </si>
  <si>
    <t>4.2</t>
  </si>
  <si>
    <t>4.3</t>
  </si>
  <si>
    <t>"4.4</t>
  </si>
  <si>
    <t>6..</t>
  </si>
  <si>
    <t>35.</t>
  </si>
  <si>
    <t>Sárvár Város Önkormányzatának a házi segítségnyújtás feladatainak ellátásáért működési támogatás ( Megállapodás alapján)</t>
  </si>
  <si>
    <t>- orvosi rendelő felújításával kapcsolatos fordított ÁFA visszatérülése</t>
  </si>
  <si>
    <t xml:space="preserve">előző év költségvetési maradvány igénybevétele </t>
  </si>
  <si>
    <t xml:space="preserve">ELŐZŐ ÉVEK KÖLTSÉGVETÉSI MARADVÁNY IGÉNYBEVÉTELE </t>
  </si>
  <si>
    <t>1.2</t>
  </si>
  <si>
    <t>1.3</t>
  </si>
  <si>
    <t>1.3.b</t>
  </si>
  <si>
    <t>1.3.c</t>
  </si>
  <si>
    <t>3.3</t>
  </si>
  <si>
    <t>3.1</t>
  </si>
  <si>
    <t>3.5</t>
  </si>
  <si>
    <t>3.6</t>
  </si>
  <si>
    <t>4.4</t>
  </si>
  <si>
    <t>4.5</t>
  </si>
  <si>
    <t>4.6</t>
  </si>
  <si>
    <t>Szent László Katolikus Általános Iskola táborozás támogatására</t>
  </si>
  <si>
    <t>Nyári diákmunka támogatása</t>
  </si>
  <si>
    <t xml:space="preserve">6. </t>
  </si>
  <si>
    <t>Közfoglalkoztatás támogatása</t>
  </si>
  <si>
    <t>Működési célú költségvetési és kiegészítő támogatás</t>
  </si>
  <si>
    <t>2017.évi bérkompenzációs támogatás</t>
  </si>
  <si>
    <t>Minimálbér és a garantált bérminimum emelés kompenzálására</t>
  </si>
  <si>
    <t>Polgármesteri béremelés különbözetének támogatására</t>
  </si>
  <si>
    <t>Működési célú költségvetési és kiegészítő támogatás összesen:</t>
  </si>
  <si>
    <t>6. Elszámolásból származó bevételek</t>
  </si>
  <si>
    <t>2016.évi ébes beszámoló 11/C űrlap alapján</t>
  </si>
  <si>
    <t xml:space="preserve"> Elszámolásból származó bevételek összesen:</t>
  </si>
  <si>
    <t>Vas megyei Közgyűlés elnökének támogatása ( napközistáborra)</t>
  </si>
  <si>
    <t>Honvédelmi Minisztérium Hadtörténeti Intézet és Múzeum támogatása (hadisírok felújítására)</t>
  </si>
  <si>
    <t>Zene Háza Sárvár TOP pályázatból Sitke Önkormányzatra jutó támogatás</t>
  </si>
  <si>
    <t>-  tartalék</t>
  </si>
  <si>
    <t>BERUHÁZÁSOK ÉS FELHALMOZÁSI KIADÁSOK</t>
  </si>
  <si>
    <t xml:space="preserve"> 011130 Önkormányzatok és önk. hivatalok jogalkotó és ált. igaztatási tevékenysége</t>
  </si>
  <si>
    <t>Egyéb gép, berendezés, felszerelés beszerzése</t>
  </si>
  <si>
    <t>Előzetesen felszámított általános forgalmi adó</t>
  </si>
  <si>
    <t>Könyvtári infrastruktúra fejlesztés támogatása, eszközbeszerzés</t>
  </si>
  <si>
    <t>096015 Gyermekétkeztetés köznevelési intézményben</t>
  </si>
  <si>
    <t>Egyéb gép, berendezés,felszerelés, 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</si>
  <si>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</si>
  <si>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</si>
  <si>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</si>
  <si>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BERUHÁZÁSOK ÖSSZESEN:</t>
  </si>
  <si>
    <t>M e g n e v e z é s</t>
  </si>
  <si>
    <t>082044 Könyvtári szolgáltatások</t>
  </si>
  <si>
    <t xml:space="preserve"> 066020 Város- és községgazdálkodási egyéb szolgáltatások</t>
  </si>
  <si>
    <t>Arculati kézikönyv elkésztése</t>
  </si>
  <si>
    <t>013350 Önkormányzati vagyonnal való gazdálkodással kapcsolatos feladatok</t>
  </si>
  <si>
    <t>Telekvásárlás</t>
  </si>
  <si>
    <t>8. melléklet  a  2/2017. (II.14.)  önkormányzati rendelethez</t>
  </si>
  <si>
    <t>Települési arculati kézikönyv elkészítésének támogatása</t>
  </si>
  <si>
    <t>4.sz.módosítás</t>
  </si>
  <si>
    <t>5/1.1.a</t>
  </si>
  <si>
    <t>5/1.1.b</t>
  </si>
  <si>
    <t>5/1.1.c</t>
  </si>
  <si>
    <t>5/1.1.d</t>
  </si>
  <si>
    <t>5/1.2.a.</t>
  </si>
  <si>
    <t>5/1.2.b.</t>
  </si>
  <si>
    <t>5/2.1</t>
  </si>
  <si>
    <t>5/2.2</t>
  </si>
  <si>
    <t>5/2.3</t>
  </si>
  <si>
    <t>5/2.4</t>
  </si>
  <si>
    <t>5/2.5</t>
  </si>
  <si>
    <t>5/3.1</t>
  </si>
  <si>
    <t>5/3.2</t>
  </si>
  <si>
    <t>5/3.3</t>
  </si>
  <si>
    <t>5/3.4</t>
  </si>
  <si>
    <t>5/3.5</t>
  </si>
  <si>
    <t>5/4.1</t>
  </si>
  <si>
    <t>5/4.2</t>
  </si>
  <si>
    <t>5/4.2.a</t>
  </si>
  <si>
    <t>5/4.2.b</t>
  </si>
  <si>
    <t>5/4.2.c</t>
  </si>
  <si>
    <t xml:space="preserve">9. </t>
  </si>
  <si>
    <t>Sárvári Sakk Club SE Petanque Szakosztály</t>
  </si>
  <si>
    <t>9. melléklet a 2/2017. (II.14.)  sz. önkormányzati rendelethez</t>
  </si>
  <si>
    <t>FELÚJÍTÁSI KIADÁSOK</t>
  </si>
  <si>
    <t>045160 Közutak, hidak, alagutak üzemeltetése, fenntartása</t>
  </si>
  <si>
    <t>Egyéb építmény felújítása</t>
  </si>
  <si>
    <t>Kertészkert utca burkolatának felújítása (adósságkonszolidációban nem részesült települési önkormányzatok 2016.évi támogatásának felhasználása)</t>
  </si>
  <si>
    <t>Felújítási célú előzetesen felszámított le nem vonható általános forgalmi adóra</t>
  </si>
  <si>
    <t xml:space="preserve">Összesen: </t>
  </si>
  <si>
    <t>013350 Önkormányzati vagyonnal való gazdálodással kapcsolatos feladatok</t>
  </si>
  <si>
    <t>Konyha korszerűsítésének tervezési kiadásaira</t>
  </si>
  <si>
    <t>FELÚJÍTÁSOK ÖSSZESEN:</t>
  </si>
  <si>
    <t>1.1.3.</t>
  </si>
  <si>
    <t>2.1.</t>
  </si>
  <si>
    <t>2.2.</t>
  </si>
  <si>
    <t>1.1.4</t>
  </si>
  <si>
    <t>1.1.5.</t>
  </si>
  <si>
    <t>1.1.6.</t>
  </si>
  <si>
    <t>1.1.7.</t>
  </si>
  <si>
    <t>1.1.8.</t>
  </si>
  <si>
    <t>1.1.9.</t>
  </si>
  <si>
    <t>Vadkert utca burkolatának felújítása</t>
  </si>
  <si>
    <t>Hunyadi utca burkolatának felújítása</t>
  </si>
  <si>
    <t xml:space="preserve"> előirányzat    ( Ft)</t>
  </si>
  <si>
    <t>072111 Háziorvosi alapellátás</t>
  </si>
  <si>
    <t>082092 Közművelődés - Hagyományos közösségi, kulturális értékek gondozása</t>
  </si>
  <si>
    <t>5/1.1</t>
  </si>
  <si>
    <t>Egyéb gép, berendezés,felszerelés, kisértékű eszközbeszerzés ( router)</t>
  </si>
  <si>
    <t>Egyéb gép, berendezés,felszerelés, kisértékű  eszközbeszerzés ( tárolószekrény)</t>
  </si>
  <si>
    <t xml:space="preserve">4. </t>
  </si>
  <si>
    <t>Szociális célú tűzifavásárlás támogatása</t>
  </si>
  <si>
    <t>Önkormányzatok feladatellátást szolgáló fejlsztések támogatása</t>
  </si>
  <si>
    <t>1717/2017.(X.3.) Korm.hat. alapján Egyedi költségvetési támogatás</t>
  </si>
  <si>
    <t>FELHALMOZÁSI CÉLÚ TÁMOGATÁSOK ÁLLAMHÁZTARTÁSON BELÜLRŐL ÖSSZESEN:</t>
  </si>
  <si>
    <t>9.1</t>
  </si>
  <si>
    <t>2.3.</t>
  </si>
  <si>
    <t>3.2.</t>
  </si>
  <si>
    <t>3.3.</t>
  </si>
  <si>
    <t>5.1.</t>
  </si>
  <si>
    <t>5.3.</t>
  </si>
  <si>
    <t>6.1.</t>
  </si>
  <si>
    <t>6.2.</t>
  </si>
  <si>
    <t>6.3.</t>
  </si>
  <si>
    <t>7.2</t>
  </si>
  <si>
    <t>7.3</t>
  </si>
  <si>
    <t>8.2.</t>
  </si>
  <si>
    <t>8.3.</t>
  </si>
  <si>
    <t>8.1.</t>
  </si>
  <si>
    <t>7.1.</t>
  </si>
  <si>
    <t>9.2.</t>
  </si>
  <si>
    <t>9.3.</t>
  </si>
  <si>
    <t>10.1.</t>
  </si>
  <si>
    <t>10.2.</t>
  </si>
  <si>
    <t>10.3.</t>
  </si>
  <si>
    <t>5.2.</t>
  </si>
  <si>
    <t>Felhelmozási célú támogatások államháztatrtáson belülről</t>
  </si>
  <si>
    <t>Felhalmozási bevételek</t>
  </si>
  <si>
    <t>1. melléklet  a  12/2017. (XII.01.)  önkormányzati rendelethez</t>
  </si>
  <si>
    <t>2. melléklet  a  12/2017. (XII.01.)  önkormányzati rendelethez</t>
  </si>
  <si>
    <t>3. melléklet  a  12/2017. (XII.01.)  önkormányzati rendelethez</t>
  </si>
  <si>
    <t>4. melléklet  a  12/2017. (XII.01.)  önkormányzati rendelethez</t>
  </si>
  <si>
    <t>5. melléklet  a 12/2017. (XII.01.)  önkormányzati rendelethez</t>
  </si>
  <si>
    <t>6. melléklet  a  12/2017. (XII.01.)  önkormányzati rendelethez</t>
  </si>
  <si>
    <t>7. melléklet a 12/2017. (XII.01.) önkormányzati rendelethez</t>
  </si>
  <si>
    <t>8. melléklet a 12/2017. (XII.01.)  sz. önkormányzati rendelethez</t>
  </si>
  <si>
    <t>9. melléklet a 12/2017. (XII.01.)  önkormányzati rendelethez</t>
  </si>
  <si>
    <t>10. melléklet a 12/2017. (XII.01.)  önkormányzati rendelethez</t>
  </si>
  <si>
    <t>11. melléklet a 12/2017. (XII.01.)  önkormányzati rendelethez</t>
  </si>
  <si>
    <t xml:space="preserve"> 12. melléklet a 12/2017. (XII.01.) önkormányzati rendelethez </t>
  </si>
  <si>
    <t xml:space="preserve"> 13. melléklet a 12/2017.(XII.01.) önkormányzati rendelethez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</si>
</sst>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  <numFmt numFmtId="181" formatCode="#,##0\ _F_t"/>
  </numFmts>
  <fonts count="6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0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0" fontId="12" fillId="0" borderId="10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7" fillId="0" borderId="0" xfId="57" applyFont="1">
      <alignment/>
      <protection/>
    </xf>
    <xf numFmtId="0" fontId="4" fillId="0" borderId="0" xfId="57" applyFont="1">
      <alignment/>
      <protection/>
    </xf>
    <xf numFmtId="168" fontId="11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2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14" xfId="59" applyFont="1" applyBorder="1" applyAlignment="1">
      <alignment horizontal="left" wrapText="1"/>
      <protection/>
    </xf>
    <xf numFmtId="0" fontId="11" fillId="0" borderId="15" xfId="59" applyFont="1" applyBorder="1" applyAlignment="1" quotePrefix="1">
      <alignment horizontal="center" vertical="center" wrapText="1"/>
      <protection/>
    </xf>
    <xf numFmtId="0" fontId="11" fillId="0" borderId="16" xfId="60" applyFont="1" applyBorder="1">
      <alignment/>
      <protection/>
    </xf>
    <xf numFmtId="0" fontId="11" fillId="0" borderId="14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17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4" fillId="0" borderId="0" xfId="57" applyFont="1">
      <alignment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17" xfId="57" applyFont="1" applyBorder="1" applyAlignment="1">
      <alignment horizontal="right"/>
      <protection/>
    </xf>
    <xf numFmtId="0" fontId="12" fillId="0" borderId="17" xfId="57" applyFont="1" applyBorder="1" applyAlignment="1">
      <alignment/>
      <protection/>
    </xf>
    <xf numFmtId="168" fontId="12" fillId="0" borderId="17" xfId="4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8" xfId="57" applyFont="1" applyBorder="1" applyAlignment="1">
      <alignment horizontal="right"/>
      <protection/>
    </xf>
    <xf numFmtId="0" fontId="6" fillId="0" borderId="18" xfId="57" applyFont="1" applyBorder="1">
      <alignment/>
      <protection/>
    </xf>
    <xf numFmtId="168" fontId="6" fillId="0" borderId="18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1" fillId="0" borderId="17" xfId="0" applyFont="1" applyBorder="1" applyAlignment="1">
      <alignment/>
    </xf>
    <xf numFmtId="168" fontId="6" fillId="0" borderId="17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8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9" fillId="0" borderId="18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0" fontId="4" fillId="0" borderId="18" xfId="0" applyFont="1" applyBorder="1" applyAlignment="1">
      <alignment/>
    </xf>
    <xf numFmtId="0" fontId="10" fillId="0" borderId="18" xfId="59" applyFont="1" applyBorder="1">
      <alignment/>
      <protection/>
    </xf>
    <xf numFmtId="0" fontId="6" fillId="0" borderId="0" xfId="60" applyFont="1" applyAlignment="1">
      <alignment horizontal="centerContinuous"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0" xfId="40" applyNumberFormat="1" applyFont="1" applyBorder="1" applyAlignment="1">
      <alignment/>
    </xf>
    <xf numFmtId="168" fontId="6" fillId="0" borderId="21" xfId="40" applyNumberFormat="1" applyFont="1" applyBorder="1" applyAlignment="1">
      <alignment/>
    </xf>
    <xf numFmtId="168" fontId="6" fillId="0" borderId="22" xfId="40" applyNumberFormat="1" applyFont="1" applyBorder="1" applyAlignment="1">
      <alignment/>
    </xf>
    <xf numFmtId="168" fontId="12" fillId="0" borderId="22" xfId="40" applyNumberFormat="1" applyFont="1" applyBorder="1" applyAlignment="1">
      <alignment/>
    </xf>
    <xf numFmtId="168" fontId="12" fillId="0" borderId="21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 horizontal="center"/>
    </xf>
    <xf numFmtId="168" fontId="12" fillId="0" borderId="24" xfId="40" applyNumberFormat="1" applyFont="1" applyBorder="1" applyAlignment="1">
      <alignment horizontal="center"/>
    </xf>
    <xf numFmtId="168" fontId="12" fillId="0" borderId="25" xfId="40" applyNumberFormat="1" applyFont="1" applyBorder="1" applyAlignment="1">
      <alignment horizontal="center"/>
    </xf>
    <xf numFmtId="168" fontId="12" fillId="0" borderId="26" xfId="4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27" xfId="0" applyFont="1" applyBorder="1" applyAlignment="1">
      <alignment/>
    </xf>
    <xf numFmtId="168" fontId="12" fillId="0" borderId="13" xfId="40" applyNumberFormat="1" applyFont="1" applyBorder="1" applyAlignment="1">
      <alignment/>
    </xf>
    <xf numFmtId="168" fontId="12" fillId="0" borderId="28" xfId="40" applyNumberFormat="1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12" fillId="0" borderId="30" xfId="4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168" fontId="12" fillId="0" borderId="17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0" fontId="12" fillId="0" borderId="17" xfId="0" applyFont="1" applyBorder="1" applyAlignment="1">
      <alignment/>
    </xf>
    <xf numFmtId="168" fontId="12" fillId="0" borderId="17" xfId="40" applyNumberFormat="1" applyFont="1" applyBorder="1" applyAlignment="1">
      <alignment/>
    </xf>
    <xf numFmtId="168" fontId="24" fillId="0" borderId="17" xfId="40" applyNumberFormat="1" applyFont="1" applyFill="1" applyBorder="1" applyAlignment="1">
      <alignment/>
    </xf>
    <xf numFmtId="168" fontId="24" fillId="0" borderId="32" xfId="40" applyNumberFormat="1" applyFont="1" applyFill="1" applyBorder="1" applyAlignment="1">
      <alignment/>
    </xf>
    <xf numFmtId="168" fontId="12" fillId="0" borderId="17" xfId="40" applyNumberFormat="1" applyFont="1" applyFill="1" applyBorder="1" applyAlignment="1">
      <alignment/>
    </xf>
    <xf numFmtId="168" fontId="12" fillId="0" borderId="32" xfId="40" applyNumberFormat="1" applyFont="1" applyFill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6" fillId="0" borderId="18" xfId="0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12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168" fontId="12" fillId="0" borderId="38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8" xfId="0" applyFont="1" applyBorder="1" applyAlignment="1">
      <alignment/>
    </xf>
    <xf numFmtId="0" fontId="6" fillId="0" borderId="39" xfId="0" applyFont="1" applyBorder="1" applyAlignment="1">
      <alignment/>
    </xf>
    <xf numFmtId="168" fontId="12" fillId="0" borderId="40" xfId="40" applyNumberFormat="1" applyFont="1" applyBorder="1" applyAlignment="1">
      <alignment/>
    </xf>
    <xf numFmtId="168" fontId="12" fillId="0" borderId="41" xfId="4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42" xfId="57" applyFont="1" applyBorder="1">
      <alignment/>
      <protection/>
    </xf>
    <xf numFmtId="0" fontId="6" fillId="0" borderId="42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17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4" fillId="0" borderId="0" xfId="57" applyNumberFormat="1" applyFont="1" applyAlignment="1">
      <alignment horizontal="right"/>
      <protection/>
    </xf>
    <xf numFmtId="3" fontId="14" fillId="0" borderId="0" xfId="40" applyNumberFormat="1" applyFont="1" applyAlignment="1">
      <alignment horizontal="right" wrapText="1"/>
    </xf>
    <xf numFmtId="3" fontId="14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7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3" xfId="59" applyFont="1" applyBorder="1" applyAlignment="1" quotePrefix="1">
      <alignment horizontal="center" vertical="center" wrapText="1"/>
      <protection/>
    </xf>
    <xf numFmtId="0" fontId="11" fillId="0" borderId="44" xfId="59" applyFont="1" applyBorder="1" applyAlignment="1" quotePrefix="1">
      <alignment horizontal="center" vertical="center" wrapText="1"/>
      <protection/>
    </xf>
    <xf numFmtId="0" fontId="11" fillId="0" borderId="45" xfId="59" applyFont="1" applyBorder="1" applyAlignment="1" quotePrefix="1">
      <alignment horizontal="center" vertical="center" wrapText="1"/>
      <protection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7" xfId="0" applyFont="1" applyBorder="1" applyAlignment="1">
      <alignment/>
    </xf>
    <xf numFmtId="3" fontId="11" fillId="0" borderId="16" xfId="59" applyNumberFormat="1" applyFont="1" applyBorder="1" applyAlignment="1">
      <alignment horizontal="right"/>
      <protection/>
    </xf>
    <xf numFmtId="3" fontId="11" fillId="0" borderId="17" xfId="59" applyNumberFormat="1" applyFont="1" applyBorder="1" applyAlignment="1">
      <alignment horizontal="right"/>
      <protection/>
    </xf>
    <xf numFmtId="3" fontId="18" fillId="0" borderId="17" xfId="59" applyNumberFormat="1" applyFont="1" applyBorder="1">
      <alignment/>
      <protection/>
    </xf>
    <xf numFmtId="3" fontId="11" fillId="0" borderId="17" xfId="59" applyNumberFormat="1" applyFont="1" applyBorder="1">
      <alignment/>
      <protection/>
    </xf>
    <xf numFmtId="3" fontId="18" fillId="0" borderId="32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1" fillId="0" borderId="31" xfId="59" applyNumberFormat="1" applyFont="1" applyBorder="1">
      <alignment/>
      <protection/>
    </xf>
    <xf numFmtId="3" fontId="10" fillId="0" borderId="39" xfId="59" applyNumberFormat="1" applyFont="1" applyBorder="1" applyAlignment="1">
      <alignment horizontal="right"/>
      <protection/>
    </xf>
    <xf numFmtId="3" fontId="10" fillId="0" borderId="48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49" xfId="60" applyFont="1" applyBorder="1">
      <alignment/>
      <protection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3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31" xfId="59" applyFont="1" applyBorder="1" applyAlignment="1">
      <alignment horizontal="right"/>
      <protection/>
    </xf>
    <xf numFmtId="0" fontId="4" fillId="0" borderId="50" xfId="0" applyFont="1" applyBorder="1" applyAlignment="1">
      <alignment/>
    </xf>
    <xf numFmtId="0" fontId="11" fillId="0" borderId="51" xfId="60" applyFont="1" applyBorder="1">
      <alignment/>
      <protection/>
    </xf>
    <xf numFmtId="0" fontId="10" fillId="0" borderId="39" xfId="60" applyFont="1" applyBorder="1">
      <alignment/>
      <protection/>
    </xf>
    <xf numFmtId="168" fontId="4" fillId="0" borderId="52" xfId="59" applyNumberFormat="1" applyFont="1" applyBorder="1" applyAlignment="1">
      <alignment/>
      <protection/>
    </xf>
    <xf numFmtId="168" fontId="4" fillId="0" borderId="52" xfId="59" applyNumberFormat="1" applyFont="1" applyBorder="1" applyAlignment="1">
      <alignment horizontal="right"/>
      <protection/>
    </xf>
    <xf numFmtId="0" fontId="6" fillId="0" borderId="17" xfId="57" applyFont="1" applyBorder="1" applyAlignment="1">
      <alignment horizontal="right"/>
      <protection/>
    </xf>
    <xf numFmtId="0" fontId="6" fillId="0" borderId="17" xfId="57" applyFont="1" applyBorder="1" applyAlignment="1">
      <alignment/>
      <protection/>
    </xf>
    <xf numFmtId="0" fontId="6" fillId="0" borderId="18" xfId="58" applyFont="1" applyBorder="1" applyAlignment="1">
      <alignment vertical="center"/>
      <protection/>
    </xf>
    <xf numFmtId="168" fontId="6" fillId="0" borderId="18" xfId="58" applyNumberFormat="1" applyFont="1" applyBorder="1" applyAlignment="1">
      <alignment vertical="center"/>
      <protection/>
    </xf>
    <xf numFmtId="0" fontId="6" fillId="0" borderId="12" xfId="60" applyFont="1" applyBorder="1">
      <alignment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0" fillId="0" borderId="49" xfId="59" applyFont="1" applyBorder="1">
      <alignment/>
      <protection/>
    </xf>
    <xf numFmtId="0" fontId="11" fillId="0" borderId="17" xfId="60" applyFont="1" applyBorder="1">
      <alignment/>
      <protection/>
    </xf>
    <xf numFmtId="0" fontId="4" fillId="0" borderId="17" xfId="60" applyFont="1" applyBorder="1">
      <alignment/>
      <protection/>
    </xf>
    <xf numFmtId="4" fontId="11" fillId="0" borderId="48" xfId="60" applyNumberFormat="1" applyFont="1" applyBorder="1">
      <alignment/>
      <protection/>
    </xf>
    <xf numFmtId="4" fontId="11" fillId="0" borderId="37" xfId="60" applyNumberFormat="1" applyFont="1" applyBorder="1">
      <alignment/>
      <protection/>
    </xf>
    <xf numFmtId="4" fontId="11" fillId="0" borderId="54" xfId="60" applyNumberFormat="1" applyFont="1" applyBorder="1">
      <alignment/>
      <protection/>
    </xf>
    <xf numFmtId="4" fontId="11" fillId="0" borderId="17" xfId="60" applyNumberFormat="1" applyFont="1" applyBorder="1">
      <alignment/>
      <protection/>
    </xf>
    <xf numFmtId="4" fontId="11" fillId="0" borderId="32" xfId="60" applyNumberFormat="1" applyFont="1" applyBorder="1">
      <alignment/>
      <protection/>
    </xf>
    <xf numFmtId="4" fontId="10" fillId="0" borderId="18" xfId="60" applyNumberFormat="1" applyFont="1" applyBorder="1">
      <alignment/>
      <protection/>
    </xf>
    <xf numFmtId="168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55" xfId="42" applyNumberFormat="1" applyFont="1" applyBorder="1" applyAlignment="1">
      <alignment/>
    </xf>
    <xf numFmtId="168" fontId="4" fillId="0" borderId="34" xfId="42" applyNumberFormat="1" applyFont="1" applyBorder="1" applyAlignment="1">
      <alignment/>
    </xf>
    <xf numFmtId="0" fontId="11" fillId="0" borderId="33" xfId="60" applyFont="1" applyBorder="1">
      <alignment/>
      <protection/>
    </xf>
    <xf numFmtId="0" fontId="11" fillId="0" borderId="56" xfId="59" applyFont="1" applyBorder="1" applyAlignment="1" quotePrefix="1">
      <alignment horizontal="center" vertical="center" wrapText="1"/>
      <protection/>
    </xf>
    <xf numFmtId="168" fontId="4" fillId="0" borderId="31" xfId="42" applyNumberFormat="1" applyFont="1" applyBorder="1" applyAlignment="1">
      <alignment/>
    </xf>
    <xf numFmtId="168" fontId="4" fillId="0" borderId="17" xfId="42" applyNumberFormat="1" applyFont="1" applyBorder="1" applyAlignment="1">
      <alignment/>
    </xf>
    <xf numFmtId="0" fontId="11" fillId="0" borderId="57" xfId="59" applyFont="1" applyBorder="1" applyAlignment="1" quotePrefix="1">
      <alignment horizontal="center" vertical="center" wrapText="1"/>
      <protection/>
    </xf>
    <xf numFmtId="0" fontId="4" fillId="0" borderId="57" xfId="0" applyFont="1" applyBorder="1" applyAlignment="1">
      <alignment/>
    </xf>
    <xf numFmtId="168" fontId="7" fillId="0" borderId="18" xfId="42" applyNumberFormat="1" applyFont="1" applyBorder="1" applyAlignment="1">
      <alignment/>
    </xf>
    <xf numFmtId="0" fontId="4" fillId="0" borderId="56" xfId="0" applyFont="1" applyBorder="1" applyAlignment="1">
      <alignment/>
    </xf>
    <xf numFmtId="168" fontId="4" fillId="0" borderId="58" xfId="42" applyNumberFormat="1" applyFont="1" applyBorder="1" applyAlignment="1">
      <alignment/>
    </xf>
    <xf numFmtId="168" fontId="4" fillId="0" borderId="37" xfId="42" applyNumberFormat="1" applyFont="1" applyBorder="1" applyAlignment="1">
      <alignment/>
    </xf>
    <xf numFmtId="168" fontId="19" fillId="0" borderId="59" xfId="42" applyNumberFormat="1" applyFont="1" applyBorder="1" applyAlignment="1">
      <alignment horizontal="center" vertical="center"/>
    </xf>
    <xf numFmtId="168" fontId="19" fillId="0" borderId="11" xfId="42" applyNumberFormat="1" applyFont="1" applyBorder="1" applyAlignment="1">
      <alignment horizontal="center" vertical="center" wrapText="1"/>
    </xf>
    <xf numFmtId="168" fontId="19" fillId="0" borderId="11" xfId="42" applyNumberFormat="1" applyFont="1" applyBorder="1" applyAlignment="1">
      <alignment horizontal="center" vertical="center"/>
    </xf>
    <xf numFmtId="168" fontId="19" fillId="0" borderId="0" xfId="42" applyNumberFormat="1" applyFont="1" applyAlignment="1">
      <alignment/>
    </xf>
    <xf numFmtId="168" fontId="19" fillId="0" borderId="0" xfId="42" applyNumberFormat="1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10" fillId="0" borderId="18" xfId="60" applyNumberFormat="1" applyFont="1" applyBorder="1">
      <alignment/>
      <protection/>
    </xf>
    <xf numFmtId="3" fontId="10" fillId="0" borderId="18" xfId="60" applyNumberFormat="1" applyFont="1" applyBorder="1">
      <alignment/>
      <protection/>
    </xf>
    <xf numFmtId="0" fontId="10" fillId="0" borderId="18" xfId="60" applyFont="1" applyBorder="1">
      <alignment/>
      <protection/>
    </xf>
    <xf numFmtId="0" fontId="4" fillId="0" borderId="46" xfId="60" applyFont="1" applyBorder="1">
      <alignment/>
      <protection/>
    </xf>
    <xf numFmtId="4" fontId="11" fillId="0" borderId="34" xfId="60" applyNumberFormat="1" applyFont="1" applyBorder="1">
      <alignment/>
      <protection/>
    </xf>
    <xf numFmtId="3" fontId="11" fillId="0" borderId="55" xfId="59" applyNumberFormat="1" applyFont="1" applyBorder="1">
      <alignment/>
      <protection/>
    </xf>
    <xf numFmtId="3" fontId="11" fillId="0" borderId="54" xfId="59" applyNumberFormat="1" applyFont="1" applyBorder="1">
      <alignment/>
      <protection/>
    </xf>
    <xf numFmtId="3" fontId="18" fillId="0" borderId="54" xfId="59" applyNumberFormat="1" applyFont="1" applyBorder="1">
      <alignment/>
      <protection/>
    </xf>
    <xf numFmtId="3" fontId="11" fillId="0" borderId="34" xfId="59" applyNumberFormat="1" applyFont="1" applyBorder="1">
      <alignment/>
      <protection/>
    </xf>
    <xf numFmtId="3" fontId="18" fillId="0" borderId="34" xfId="59" applyNumberFormat="1" applyFont="1" applyBorder="1">
      <alignment/>
      <protection/>
    </xf>
    <xf numFmtId="3" fontId="11" fillId="0" borderId="34" xfId="59" applyNumberFormat="1" applyFont="1" applyBorder="1" applyAlignment="1">
      <alignment horizontal="right"/>
      <protection/>
    </xf>
    <xf numFmtId="3" fontId="11" fillId="0" borderId="33" xfId="59" applyNumberFormat="1" applyFont="1" applyBorder="1" applyAlignment="1">
      <alignment horizontal="right"/>
      <protection/>
    </xf>
    <xf numFmtId="3" fontId="10" fillId="0" borderId="25" xfId="59" applyNumberFormat="1" applyFont="1" applyBorder="1" applyAlignment="1">
      <alignment horizontal="right"/>
      <protection/>
    </xf>
    <xf numFmtId="168" fontId="4" fillId="0" borderId="0" xfId="0" applyNumberFormat="1" applyFont="1" applyAlignment="1">
      <alignment/>
    </xf>
    <xf numFmtId="168" fontId="4" fillId="0" borderId="60" xfId="0" applyNumberFormat="1" applyFont="1" applyBorder="1" applyAlignment="1">
      <alignment/>
    </xf>
    <xf numFmtId="168" fontId="4" fillId="0" borderId="61" xfId="0" applyNumberFormat="1" applyFont="1" applyBorder="1" applyAlignment="1">
      <alignment/>
    </xf>
    <xf numFmtId="168" fontId="4" fillId="0" borderId="62" xfId="0" applyNumberFormat="1" applyFont="1" applyBorder="1" applyAlignment="1">
      <alignment/>
    </xf>
    <xf numFmtId="168" fontId="7" fillId="0" borderId="15" xfId="42" applyNumberFormat="1" applyFont="1" applyBorder="1" applyAlignment="1">
      <alignment/>
    </xf>
    <xf numFmtId="0" fontId="11" fillId="0" borderId="63" xfId="60" applyFont="1" applyBorder="1">
      <alignment/>
      <protection/>
    </xf>
    <xf numFmtId="168" fontId="4" fillId="0" borderId="55" xfId="0" applyNumberFormat="1" applyFont="1" applyBorder="1" applyAlignment="1">
      <alignment/>
    </xf>
    <xf numFmtId="168" fontId="4" fillId="0" borderId="34" xfId="0" applyNumberFormat="1" applyFont="1" applyBorder="1" applyAlignment="1">
      <alignment/>
    </xf>
    <xf numFmtId="168" fontId="4" fillId="0" borderId="64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52" xfId="0" applyNumberFormat="1" applyFont="1" applyBorder="1" applyAlignment="1">
      <alignment/>
    </xf>
    <xf numFmtId="168" fontId="4" fillId="0" borderId="65" xfId="0" applyNumberFormat="1" applyFont="1" applyBorder="1" applyAlignment="1">
      <alignment/>
    </xf>
    <xf numFmtId="168" fontId="4" fillId="0" borderId="66" xfId="0" applyNumberFormat="1" applyFont="1" applyBorder="1" applyAlignment="1">
      <alignment/>
    </xf>
    <xf numFmtId="168" fontId="4" fillId="0" borderId="67" xfId="0" applyNumberFormat="1" applyFont="1" applyBorder="1" applyAlignment="1">
      <alignment horizontal="right"/>
    </xf>
    <xf numFmtId="168" fontId="4" fillId="0" borderId="18" xfId="42" applyNumberFormat="1" applyFont="1" applyBorder="1" applyAlignment="1">
      <alignment/>
    </xf>
    <xf numFmtId="168" fontId="4" fillId="0" borderId="46" xfId="42" applyNumberFormat="1" applyFont="1" applyBorder="1" applyAlignment="1">
      <alignment/>
    </xf>
    <xf numFmtId="168" fontId="4" fillId="0" borderId="52" xfId="42" applyNumberFormat="1" applyFont="1" applyBorder="1" applyAlignment="1">
      <alignment/>
    </xf>
    <xf numFmtId="168" fontId="4" fillId="0" borderId="68" xfId="42" applyNumberFormat="1" applyFont="1" applyBorder="1" applyAlignment="1">
      <alignment/>
    </xf>
    <xf numFmtId="168" fontId="7" fillId="0" borderId="47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55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3" fontId="26" fillId="0" borderId="18" xfId="0" applyNumberFormat="1" applyFont="1" applyBorder="1" applyAlignment="1">
      <alignment/>
    </xf>
    <xf numFmtId="179" fontId="26" fillId="0" borderId="18" xfId="0" applyNumberFormat="1" applyFont="1" applyBorder="1" applyAlignment="1">
      <alignment/>
    </xf>
    <xf numFmtId="0" fontId="26" fillId="0" borderId="18" xfId="0" applyFont="1" applyBorder="1" applyAlignment="1">
      <alignment horizontal="left"/>
    </xf>
    <xf numFmtId="179" fontId="0" fillId="0" borderId="18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6" fillId="0" borderId="59" xfId="60" applyNumberFormat="1" applyFont="1" applyBorder="1" applyAlignment="1">
      <alignment horizontal="center" vertical="center"/>
      <protection/>
    </xf>
    <xf numFmtId="0" fontId="0" fillId="0" borderId="0" xfId="0" applyAlignment="1" quotePrefix="1">
      <alignment/>
    </xf>
    <xf numFmtId="0" fontId="11" fillId="0" borderId="70" xfId="59" applyFont="1" applyBorder="1" applyAlignment="1">
      <alignment horizontal="left" wrapText="1"/>
      <protection/>
    </xf>
    <xf numFmtId="168" fontId="7" fillId="0" borderId="57" xfId="42" applyNumberFormat="1" applyFont="1" applyBorder="1" applyAlignment="1">
      <alignment/>
    </xf>
    <xf numFmtId="168" fontId="4" fillId="0" borderId="67" xfId="42" applyNumberFormat="1" applyFont="1" applyBorder="1" applyAlignment="1">
      <alignment/>
    </xf>
    <xf numFmtId="168" fontId="4" fillId="0" borderId="66" xfId="42" applyNumberFormat="1" applyFont="1" applyBorder="1" applyAlignment="1">
      <alignment/>
    </xf>
    <xf numFmtId="168" fontId="4" fillId="0" borderId="65" xfId="42" applyNumberFormat="1" applyFont="1" applyBorder="1" applyAlignment="1">
      <alignment/>
    </xf>
    <xf numFmtId="0" fontId="6" fillId="0" borderId="57" xfId="60" applyFont="1" applyBorder="1" applyAlignment="1">
      <alignment horizontal="center" vertical="center"/>
      <protection/>
    </xf>
    <xf numFmtId="0" fontId="0" fillId="0" borderId="15" xfId="0" applyBorder="1" applyAlignment="1" quotePrefix="1">
      <alignment horizontal="left" wrapText="1"/>
    </xf>
    <xf numFmtId="0" fontId="0" fillId="0" borderId="50" xfId="0" applyBorder="1" applyAlignment="1" quotePrefix="1">
      <alignment horizontal="left" wrapText="1"/>
    </xf>
    <xf numFmtId="3" fontId="12" fillId="0" borderId="57" xfId="60" applyNumberFormat="1" applyFont="1" applyBorder="1" applyAlignment="1">
      <alignment horizontal="center" vertical="center"/>
      <protection/>
    </xf>
    <xf numFmtId="3" fontId="12" fillId="0" borderId="50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3" fontId="4" fillId="0" borderId="0" xfId="60" applyNumberFormat="1" applyFont="1">
      <alignment/>
      <protection/>
    </xf>
    <xf numFmtId="168" fontId="12" fillId="0" borderId="17" xfId="40" applyNumberFormat="1" applyFont="1" applyBorder="1" applyAlignment="1">
      <alignment/>
    </xf>
    <xf numFmtId="0" fontId="17" fillId="0" borderId="0" xfId="0" applyFont="1" applyAlignment="1">
      <alignment horizontal="left" wrapText="1"/>
    </xf>
    <xf numFmtId="16" fontId="0" fillId="0" borderId="0" xfId="0" applyNumberFormat="1" applyAlignment="1" quotePrefix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2" fillId="0" borderId="0" xfId="59" applyFont="1" applyBorder="1" applyAlignment="1">
      <alignment horizontal="center"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left"/>
      <protection/>
    </xf>
    <xf numFmtId="0" fontId="14" fillId="0" borderId="0" xfId="57" applyFont="1" applyAlignment="1">
      <alignment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14" fontId="0" fillId="0" borderId="0" xfId="0" applyNumberFormat="1" applyAlignment="1" quotePrefix="1">
      <alignment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59" applyFont="1" applyBorder="1" applyAlignment="1">
      <alignment horizontal="left" wrapText="1"/>
      <protection/>
    </xf>
    <xf numFmtId="0" fontId="12" fillId="0" borderId="0" xfId="59" applyFont="1" applyBorder="1" applyAlignment="1">
      <alignment horizontal="left" wrapText="1"/>
      <protection/>
    </xf>
    <xf numFmtId="3" fontId="30" fillId="0" borderId="0" xfId="0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12" fillId="0" borderId="71" xfId="0" applyNumberFormat="1" applyFont="1" applyBorder="1" applyAlignment="1">
      <alignment/>
    </xf>
    <xf numFmtId="16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2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/>
    </xf>
    <xf numFmtId="14" fontId="12" fillId="0" borderId="0" xfId="0" applyNumberFormat="1" applyFont="1" applyAlignment="1" quotePrefix="1">
      <alignment horizontal="right"/>
    </xf>
    <xf numFmtId="16" fontId="12" fillId="0" borderId="0" xfId="0" applyNumberFormat="1" applyFont="1" applyAlignment="1" quotePrefix="1">
      <alignment horizontal="right"/>
    </xf>
    <xf numFmtId="0" fontId="12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57" applyFont="1" applyAlignment="1">
      <alignment horizontal="center"/>
      <protection/>
    </xf>
    <xf numFmtId="0" fontId="17" fillId="0" borderId="0" xfId="0" applyFont="1" applyAlignment="1">
      <alignment horizontal="left"/>
    </xf>
    <xf numFmtId="0" fontId="12" fillId="0" borderId="0" xfId="57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0" xfId="57" applyFont="1" applyAlignment="1">
      <alignment horizont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42" xfId="57" applyFont="1" applyBorder="1" applyAlignment="1">
      <alignment horizontal="center" vertical="center"/>
      <protection/>
    </xf>
    <xf numFmtId="0" fontId="6" fillId="0" borderId="59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73" xfId="57" applyFont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10" fillId="0" borderId="0" xfId="0" applyFont="1" applyAlignment="1">
      <alignment horizontal="left" wrapText="1"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57" applyFont="1" applyAlignment="1">
      <alignment horizontal="center"/>
      <protection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2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11" fillId="0" borderId="59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73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168" fontId="19" fillId="0" borderId="49" xfId="42" applyNumberFormat="1" applyFont="1" applyBorder="1" applyAlignment="1">
      <alignment horizontal="center" vertical="center"/>
    </xf>
    <xf numFmtId="168" fontId="19" fillId="0" borderId="46" xfId="42" applyNumberFormat="1" applyFont="1" applyBorder="1" applyAlignment="1">
      <alignment horizontal="center" vertical="center"/>
    </xf>
    <xf numFmtId="168" fontId="19" fillId="0" borderId="19" xfId="42" applyNumberFormat="1" applyFont="1" applyBorder="1" applyAlignment="1">
      <alignment horizontal="center" vertical="center"/>
    </xf>
    <xf numFmtId="168" fontId="19" fillId="0" borderId="42" xfId="42" applyNumberFormat="1" applyFont="1" applyBorder="1" applyAlignment="1">
      <alignment horizontal="center" vertical="center"/>
    </xf>
    <xf numFmtId="168" fontId="19" fillId="0" borderId="59" xfId="42" applyNumberFormat="1" applyFont="1" applyBorder="1" applyAlignment="1">
      <alignment horizontal="center" vertical="center"/>
    </xf>
    <xf numFmtId="168" fontId="19" fillId="0" borderId="27" xfId="42" applyNumberFormat="1" applyFont="1" applyBorder="1" applyAlignment="1">
      <alignment horizontal="center" vertical="center"/>
    </xf>
    <xf numFmtId="168" fontId="19" fillId="0" borderId="10" xfId="42" applyNumberFormat="1" applyFont="1" applyBorder="1" applyAlignment="1">
      <alignment horizontal="center" vertical="center"/>
    </xf>
    <xf numFmtId="168" fontId="19" fillId="0" borderId="73" xfId="42" applyNumberFormat="1" applyFont="1" applyBorder="1" applyAlignment="1">
      <alignment horizontal="center" vertical="center"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0" xfId="60" applyFont="1" applyAlignment="1">
      <alignment horizontal="left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2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right"/>
      <protection/>
    </xf>
    <xf numFmtId="0" fontId="7" fillId="0" borderId="39" xfId="57" applyFont="1" applyBorder="1" applyAlignment="1">
      <alignment horizontal="center"/>
      <protection/>
    </xf>
    <xf numFmtId="0" fontId="7" fillId="0" borderId="46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horizontal="center"/>
      <protection/>
    </xf>
    <xf numFmtId="0" fontId="11" fillId="0" borderId="49" xfId="57" applyFont="1" applyBorder="1" applyAlignment="1">
      <alignment horizontal="center"/>
      <protection/>
    </xf>
    <xf numFmtId="0" fontId="11" fillId="0" borderId="46" xfId="57" applyFont="1" applyBorder="1" applyAlignment="1">
      <alignment horizontal="center"/>
      <protection/>
    </xf>
    <xf numFmtId="0" fontId="11" fillId="0" borderId="39" xfId="57" applyFont="1" applyBorder="1" applyAlignment="1">
      <alignment horizontal="center" vertical="center"/>
      <protection/>
    </xf>
    <xf numFmtId="0" fontId="11" fillId="0" borderId="49" xfId="57" applyFont="1" applyBorder="1" applyAlignment="1">
      <alignment horizontal="center" vertical="center"/>
      <protection/>
    </xf>
    <xf numFmtId="0" fontId="11" fillId="0" borderId="46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/>
      <protection/>
    </xf>
    <xf numFmtId="0" fontId="7" fillId="0" borderId="72" xfId="57" applyFont="1" applyBorder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0" fontId="7" fillId="0" borderId="73" xfId="57" applyFont="1" applyBorder="1" applyAlignment="1">
      <alignment horizontal="center"/>
      <protection/>
    </xf>
    <xf numFmtId="0" fontId="11" fillId="0" borderId="39" xfId="57" applyFont="1" applyBorder="1" applyAlignment="1">
      <alignment horizontal="center" vertical="center" wrapText="1"/>
      <protection/>
    </xf>
    <xf numFmtId="0" fontId="11" fillId="0" borderId="49" xfId="57" applyFont="1" applyBorder="1" applyAlignment="1">
      <alignment horizontal="center" vertical="center" wrapText="1"/>
      <protection/>
    </xf>
    <xf numFmtId="0" fontId="11" fillId="0" borderId="46" xfId="57" applyFont="1" applyBorder="1" applyAlignment="1">
      <alignment horizontal="center" vertical="center" wrapText="1"/>
      <protection/>
    </xf>
    <xf numFmtId="44" fontId="11" fillId="0" borderId="39" xfId="64" applyFont="1" applyBorder="1" applyAlignment="1">
      <alignment horizontal="center" vertical="center"/>
    </xf>
    <xf numFmtId="44" fontId="11" fillId="0" borderId="49" xfId="64" applyFont="1" applyBorder="1" applyAlignment="1">
      <alignment horizontal="center" vertical="center"/>
    </xf>
    <xf numFmtId="44" fontId="11" fillId="0" borderId="46" xfId="6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1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59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73" xfId="59" applyFont="1" applyBorder="1" applyAlignment="1">
      <alignment horizontal="center" vertical="center" wrapText="1"/>
      <protection/>
    </xf>
    <xf numFmtId="0" fontId="11" fillId="0" borderId="34" xfId="57" applyFont="1" applyBorder="1" applyAlignment="1">
      <alignment horizontal="center" vertical="center" textRotation="180"/>
      <protection/>
    </xf>
    <xf numFmtId="0" fontId="11" fillId="0" borderId="26" xfId="57" applyFont="1" applyBorder="1" applyAlignment="1">
      <alignment horizontal="center" vertical="center" textRotation="180"/>
      <protection/>
    </xf>
    <xf numFmtId="0" fontId="11" fillId="0" borderId="37" xfId="57" applyFont="1" applyBorder="1" applyAlignment="1">
      <alignment horizontal="center" vertical="center" textRotation="180"/>
      <protection/>
    </xf>
    <xf numFmtId="0" fontId="0" fillId="0" borderId="0" xfId="0" applyAlignment="1">
      <alignment/>
    </xf>
    <xf numFmtId="0" fontId="22" fillId="0" borderId="11" xfId="57" applyFont="1" applyBorder="1" applyAlignment="1">
      <alignment horizontal="center" textRotation="255"/>
      <protection/>
    </xf>
    <xf numFmtId="0" fontId="22" fillId="0" borderId="12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168" fontId="19" fillId="0" borderId="23" xfId="42" applyNumberFormat="1" applyFont="1" applyBorder="1" applyAlignment="1">
      <alignment horizontal="center" vertical="center"/>
    </xf>
    <xf numFmtId="168" fontId="19" fillId="0" borderId="0" xfId="42" applyNumberFormat="1" applyFont="1" applyBorder="1" applyAlignment="1">
      <alignment horizontal="center" vertical="center"/>
    </xf>
    <xf numFmtId="168" fontId="19" fillId="0" borderId="72" xfId="42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0" xfId="0" applyFont="1" applyAlignment="1">
      <alignment horizontal="center" vertical="center"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8" xfId="0" applyBorder="1" applyAlignment="1">
      <alignment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Pénznem 2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38:U63"/>
  <sheetViews>
    <sheetView zoomScalePageLayoutView="0" workbookViewId="0" topLeftCell="C28">
      <selection activeCell="N46" sqref="N46:R46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36"/>
      <c r="J39" s="2"/>
      <c r="L39" s="402" t="s">
        <v>4</v>
      </c>
      <c r="M39" s="402"/>
      <c r="N39" s="402"/>
      <c r="O39" s="402"/>
      <c r="P39" s="402"/>
      <c r="Q39" s="402"/>
      <c r="R39" s="402"/>
      <c r="S39" s="402"/>
      <c r="T39" s="402"/>
      <c r="U39" s="3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31"/>
      <c r="J41" s="2"/>
      <c r="L41" s="402" t="s">
        <v>353</v>
      </c>
      <c r="M41" s="402"/>
      <c r="N41" s="402"/>
      <c r="O41" s="402"/>
      <c r="P41" s="402"/>
      <c r="Q41" s="402"/>
      <c r="R41" s="402"/>
      <c r="S41" s="402"/>
      <c r="T41" s="402"/>
      <c r="U41" s="3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31"/>
      <c r="J43" s="2"/>
      <c r="L43" s="402" t="s">
        <v>330</v>
      </c>
      <c r="M43" s="402"/>
      <c r="N43" s="402"/>
      <c r="O43" s="402"/>
      <c r="P43" s="402"/>
      <c r="Q43" s="402"/>
      <c r="R43" s="402"/>
      <c r="S43" s="402"/>
      <c r="T43" s="402"/>
      <c r="U43" s="36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03" t="s">
        <v>524</v>
      </c>
      <c r="M45" s="403"/>
      <c r="N45" s="403"/>
      <c r="O45" s="403"/>
      <c r="P45" s="403"/>
      <c r="Q45" s="403"/>
      <c r="R45" s="403"/>
      <c r="S45" s="403"/>
      <c r="T45" s="403"/>
    </row>
    <row r="46" spans="2:18" ht="27.75">
      <c r="B46" s="2"/>
      <c r="C46" s="2"/>
      <c r="D46" s="2"/>
      <c r="E46" s="2"/>
      <c r="F46" s="2"/>
      <c r="G46" s="2"/>
      <c r="H46" s="2"/>
      <c r="I46" s="2"/>
      <c r="J46" s="2"/>
      <c r="L46" s="37"/>
      <c r="M46" s="191"/>
      <c r="N46" s="404"/>
      <c r="O46" s="405"/>
      <c r="P46" s="405"/>
      <c r="Q46" s="405"/>
      <c r="R46" s="405"/>
    </row>
    <row r="47" spans="1:10" ht="27.75">
      <c r="A47" s="37"/>
      <c r="B47" s="38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L39:T39"/>
    <mergeCell ref="L41:T41"/>
    <mergeCell ref="L43:T43"/>
    <mergeCell ref="L45:T45"/>
    <mergeCell ref="N46:R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view="pageBreakPreview" zoomScale="60" zoomScalePageLayoutView="0" workbookViewId="0" topLeftCell="A1">
      <selection activeCell="A4" sqref="A4:C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6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06" t="s">
        <v>611</v>
      </c>
      <c r="B1" s="406"/>
      <c r="C1" s="406"/>
    </row>
    <row r="2" spans="1:3" s="91" customFormat="1" ht="15.75">
      <c r="A2" s="411" t="s">
        <v>415</v>
      </c>
      <c r="B2" s="411"/>
      <c r="C2" s="411"/>
    </row>
    <row r="3" spans="1:3" s="82" customFormat="1" ht="15">
      <c r="A3" s="538"/>
      <c r="B3" s="538"/>
      <c r="C3" s="538"/>
    </row>
    <row r="4" spans="1:3" s="82" customFormat="1" ht="16.5" customHeight="1">
      <c r="A4" s="538"/>
      <c r="B4" s="504"/>
      <c r="C4" s="504"/>
    </row>
    <row r="5" spans="1:3" ht="15.75">
      <c r="A5" s="420" t="s">
        <v>4</v>
      </c>
      <c r="B5" s="420"/>
      <c r="C5" s="420"/>
    </row>
    <row r="6" spans="1:3" ht="15.75">
      <c r="A6" s="416" t="s">
        <v>263</v>
      </c>
      <c r="B6" s="416"/>
      <c r="C6" s="416"/>
    </row>
    <row r="7" spans="1:3" ht="15.75">
      <c r="A7" s="416" t="s">
        <v>209</v>
      </c>
      <c r="B7" s="416"/>
      <c r="C7" s="416"/>
    </row>
    <row r="8" spans="1:3" ht="15.75">
      <c r="A8" s="416" t="s">
        <v>349</v>
      </c>
      <c r="B8" s="416"/>
      <c r="C8" s="416"/>
    </row>
    <row r="9" ht="16.5" thickBot="1"/>
    <row r="10" spans="1:3" ht="15.75">
      <c r="A10" s="98" t="s">
        <v>28</v>
      </c>
      <c r="B10" s="92"/>
      <c r="C10" s="99" t="s">
        <v>13</v>
      </c>
    </row>
    <row r="11" spans="1:3" ht="15.75">
      <c r="A11" s="93"/>
      <c r="B11" s="94" t="s">
        <v>0</v>
      </c>
      <c r="C11" s="100" t="s">
        <v>8</v>
      </c>
    </row>
    <row r="12" spans="1:4" ht="18" customHeight="1" thickBot="1">
      <c r="A12" s="95" t="s">
        <v>29</v>
      </c>
      <c r="B12" s="101"/>
      <c r="C12" s="102" t="s">
        <v>1</v>
      </c>
      <c r="D12" s="236"/>
    </row>
    <row r="13" spans="2:4" ht="8.25" customHeight="1">
      <c r="B13" s="194"/>
      <c r="C13" s="195"/>
      <c r="D13" s="128"/>
    </row>
    <row r="14" spans="1:3" ht="20.25" customHeight="1">
      <c r="A14" s="540" t="s">
        <v>210</v>
      </c>
      <c r="B14" s="540"/>
      <c r="C14" s="540"/>
    </row>
    <row r="15" spans="1:3" ht="20.25" customHeight="1">
      <c r="A15" s="103" t="s">
        <v>30</v>
      </c>
      <c r="B15" s="104" t="s">
        <v>211</v>
      </c>
      <c r="C15" s="105"/>
    </row>
    <row r="16" spans="1:3" ht="20.25" customHeight="1">
      <c r="A16" s="103"/>
      <c r="B16" s="20" t="s">
        <v>212</v>
      </c>
      <c r="C16" s="105">
        <f>'2.mell - bevétel'!H61</f>
        <v>36624556</v>
      </c>
    </row>
    <row r="17" spans="1:5" ht="20.25" customHeight="1">
      <c r="A17" s="103"/>
      <c r="B17" s="60" t="s">
        <v>213</v>
      </c>
      <c r="C17" s="105">
        <f>'2.mell - bevétel'!H69</f>
        <v>2052058</v>
      </c>
      <c r="D17" s="57"/>
      <c r="E17" s="57"/>
    </row>
    <row r="18" spans="1:3" ht="20.25" customHeight="1">
      <c r="A18" s="103" t="s">
        <v>20</v>
      </c>
      <c r="B18" s="104" t="s">
        <v>214</v>
      </c>
      <c r="C18" s="105">
        <v>7813000</v>
      </c>
    </row>
    <row r="19" spans="1:3" ht="20.25" customHeight="1">
      <c r="A19" s="103" t="s">
        <v>31</v>
      </c>
      <c r="B19" s="104" t="s">
        <v>215</v>
      </c>
      <c r="C19" s="105">
        <v>15503474</v>
      </c>
    </row>
    <row r="20" spans="1:3" ht="20.25" customHeight="1">
      <c r="A20" s="103" t="s">
        <v>79</v>
      </c>
      <c r="B20" s="106" t="s">
        <v>216</v>
      </c>
      <c r="C20" s="105"/>
    </row>
    <row r="21" spans="1:5" ht="36" customHeight="1">
      <c r="A21" s="103"/>
      <c r="B21" s="60" t="s">
        <v>217</v>
      </c>
      <c r="C21" s="105"/>
      <c r="D21" s="60"/>
      <c r="E21" s="60"/>
    </row>
    <row r="22" spans="1:3" ht="20.25" customHeight="1">
      <c r="A22" s="103"/>
      <c r="B22" s="20" t="s">
        <v>218</v>
      </c>
      <c r="C22" s="105"/>
    </row>
    <row r="23" spans="1:3" ht="30" customHeight="1">
      <c r="A23" s="250"/>
      <c r="B23" s="251" t="s">
        <v>219</v>
      </c>
      <c r="C23" s="123">
        <f>SUM(C16:C22)</f>
        <v>61993088</v>
      </c>
    </row>
    <row r="24" spans="1:3" ht="21" customHeight="1">
      <c r="A24" s="97" t="s">
        <v>80</v>
      </c>
      <c r="B24" s="104" t="s">
        <v>220</v>
      </c>
      <c r="C24" s="23">
        <f>'4.mell. - kiadás'!E48</f>
        <v>23250139</v>
      </c>
    </row>
    <row r="25" spans="1:3" ht="21" customHeight="1">
      <c r="A25" s="97" t="s">
        <v>86</v>
      </c>
      <c r="B25" s="104" t="s">
        <v>221</v>
      </c>
      <c r="C25" s="23">
        <f>'4.mell. - kiadás'!F48</f>
        <v>5216303</v>
      </c>
    </row>
    <row r="26" spans="1:3" ht="21" customHeight="1">
      <c r="A26" s="97" t="s">
        <v>222</v>
      </c>
      <c r="B26" s="110" t="s">
        <v>223</v>
      </c>
      <c r="C26" s="23">
        <f>'4.mell. - kiadás'!G48</f>
        <v>31437209</v>
      </c>
    </row>
    <row r="27" spans="1:3" ht="21" customHeight="1">
      <c r="A27" s="97" t="s">
        <v>224</v>
      </c>
      <c r="B27" s="110" t="s">
        <v>225</v>
      </c>
      <c r="C27" s="23">
        <f>'4.mell. - kiadás'!H48</f>
        <v>2911400</v>
      </c>
    </row>
    <row r="28" spans="1:3" ht="21" customHeight="1">
      <c r="A28" s="97" t="s">
        <v>226</v>
      </c>
      <c r="B28" s="110" t="s">
        <v>227</v>
      </c>
      <c r="C28" s="23"/>
    </row>
    <row r="29" spans="1:3" ht="32.25" customHeight="1">
      <c r="A29" s="97"/>
      <c r="B29" s="60" t="s">
        <v>228</v>
      </c>
      <c r="C29" s="112"/>
    </row>
    <row r="30" spans="1:3" ht="15.75">
      <c r="A30" s="97"/>
      <c r="B30" s="111" t="s">
        <v>229</v>
      </c>
      <c r="C30" s="112">
        <f>'4.mell. - kiadás'!I48-4825255-37245921</f>
        <v>2033800</v>
      </c>
    </row>
    <row r="31" spans="1:5" ht="15.75">
      <c r="A31" s="97"/>
      <c r="B31" s="111" t="s">
        <v>230</v>
      </c>
      <c r="C31" s="96">
        <f>4825255+37245921</f>
        <v>42071176</v>
      </c>
      <c r="E31" s="62"/>
    </row>
    <row r="32" spans="1:6" ht="33.75" customHeight="1">
      <c r="A32" s="250"/>
      <c r="B32" s="251" t="s">
        <v>231</v>
      </c>
      <c r="C32" s="123">
        <f>SUM(C24:C31)</f>
        <v>106920027</v>
      </c>
      <c r="E32" s="62"/>
      <c r="F32" s="62"/>
    </row>
    <row r="33" spans="1:6" ht="86.25" customHeight="1">
      <c r="A33" s="103"/>
      <c r="B33" s="104"/>
      <c r="C33" s="105"/>
      <c r="E33" s="62"/>
      <c r="F33" s="62"/>
    </row>
    <row r="34" spans="1:3" ht="15.75">
      <c r="A34" s="541">
        <v>2</v>
      </c>
      <c r="B34" s="541"/>
      <c r="C34" s="541"/>
    </row>
    <row r="35" spans="1:3" ht="16.5" thickBot="1">
      <c r="A35" s="192"/>
      <c r="B35" s="192"/>
      <c r="C35" s="192"/>
    </row>
    <row r="36" spans="1:3" ht="15.75">
      <c r="A36" s="98" t="s">
        <v>28</v>
      </c>
      <c r="B36" s="92"/>
      <c r="C36" s="99" t="s">
        <v>13</v>
      </c>
    </row>
    <row r="37" spans="1:3" ht="12.75" customHeight="1">
      <c r="A37" s="93"/>
      <c r="B37" s="94" t="s">
        <v>0</v>
      </c>
      <c r="C37" s="100"/>
    </row>
    <row r="38" spans="1:3" ht="21.75" customHeight="1" thickBot="1">
      <c r="A38" s="95" t="s">
        <v>29</v>
      </c>
      <c r="B38" s="101"/>
      <c r="C38" s="102" t="s">
        <v>8</v>
      </c>
    </row>
    <row r="39" spans="1:3" ht="12" customHeight="1">
      <c r="A39" s="118"/>
      <c r="B39" s="193"/>
      <c r="C39" s="128"/>
    </row>
    <row r="40" spans="1:3" ht="21" customHeight="1">
      <c r="A40" s="542" t="s">
        <v>232</v>
      </c>
      <c r="B40" s="542"/>
      <c r="C40" s="542"/>
    </row>
    <row r="41" spans="1:2" ht="21" customHeight="1">
      <c r="A41" s="97" t="s">
        <v>233</v>
      </c>
      <c r="B41" s="41" t="s">
        <v>234</v>
      </c>
    </row>
    <row r="42" spans="1:2" ht="21" customHeight="1">
      <c r="A42" s="97" t="s">
        <v>235</v>
      </c>
      <c r="B42" s="41" t="s">
        <v>236</v>
      </c>
    </row>
    <row r="43" spans="1:3" ht="21" customHeight="1">
      <c r="A43" s="97" t="s">
        <v>237</v>
      </c>
      <c r="B43" s="106" t="s">
        <v>238</v>
      </c>
      <c r="C43" s="96">
        <f>'2.mell - bevétel'!H76</f>
        <v>52695486</v>
      </c>
    </row>
    <row r="44" spans="1:3" ht="31.5" customHeight="1">
      <c r="A44" s="97"/>
      <c r="B44" s="75" t="s">
        <v>239</v>
      </c>
      <c r="C44" s="96">
        <v>61800</v>
      </c>
    </row>
    <row r="45" spans="1:2" ht="21" customHeight="1">
      <c r="A45" s="97"/>
      <c r="B45" s="29" t="s">
        <v>240</v>
      </c>
    </row>
    <row r="46" spans="1:5" ht="30" customHeight="1">
      <c r="A46" s="250"/>
      <c r="B46" s="251" t="s">
        <v>241</v>
      </c>
      <c r="C46" s="123">
        <f>SUM(C41:C45)</f>
        <v>52757286</v>
      </c>
      <c r="E46" s="62"/>
    </row>
    <row r="47" spans="1:3" ht="21" customHeight="1">
      <c r="A47" s="97" t="s">
        <v>242</v>
      </c>
      <c r="B47" s="41" t="s">
        <v>243</v>
      </c>
      <c r="C47" s="96">
        <f>'4.mell. - kiadás'!K48</f>
        <v>2563397</v>
      </c>
    </row>
    <row r="48" spans="1:3" ht="21" customHeight="1">
      <c r="A48" s="97" t="s">
        <v>244</v>
      </c>
      <c r="B48" s="41" t="s">
        <v>245</v>
      </c>
      <c r="C48" s="96">
        <f>'4.mell. - kiadás'!L48</f>
        <v>64979396</v>
      </c>
    </row>
    <row r="49" spans="1:2" ht="21" customHeight="1">
      <c r="A49" s="97" t="s">
        <v>246</v>
      </c>
      <c r="B49" s="106" t="s">
        <v>247</v>
      </c>
    </row>
    <row r="50" spans="1:3" ht="21" customHeight="1">
      <c r="A50" s="97"/>
      <c r="B50" s="111" t="s">
        <v>248</v>
      </c>
      <c r="C50" s="96">
        <f>'4.mell. - kiadás'!M48</f>
        <v>1200000</v>
      </c>
    </row>
    <row r="51" spans="1:2" ht="21" customHeight="1">
      <c r="A51" s="97"/>
      <c r="B51" s="111" t="s">
        <v>230</v>
      </c>
    </row>
    <row r="52" spans="1:6" s="9" customFormat="1" ht="27.75" customHeight="1" thickBot="1">
      <c r="A52" s="250"/>
      <c r="B52" s="251" t="s">
        <v>249</v>
      </c>
      <c r="C52" s="123">
        <f>SUM(C47:C51)</f>
        <v>68742793</v>
      </c>
      <c r="F52" s="113"/>
    </row>
    <row r="53" spans="1:3" s="9" customFormat="1" ht="24" customHeight="1" thickBot="1">
      <c r="A53" s="114"/>
      <c r="B53" s="115" t="s">
        <v>250</v>
      </c>
      <c r="C53" s="116">
        <f>C23+C46</f>
        <v>114750374</v>
      </c>
    </row>
    <row r="54" spans="1:6" s="9" customFormat="1" ht="22.5" customHeight="1" thickBot="1">
      <c r="A54" s="114"/>
      <c r="B54" s="115" t="s">
        <v>251</v>
      </c>
      <c r="C54" s="116">
        <f>C32+C52</f>
        <v>175662820</v>
      </c>
      <c r="F54" s="113"/>
    </row>
    <row r="55" spans="1:3" s="9" customFormat="1" ht="15.75">
      <c r="A55" s="117"/>
      <c r="B55" s="118"/>
      <c r="C55" s="119"/>
    </row>
    <row r="56" spans="1:3" s="120" customFormat="1" ht="9.75" customHeight="1">
      <c r="A56" s="196"/>
      <c r="B56" s="196"/>
      <c r="C56" s="196"/>
    </row>
    <row r="57" spans="1:3" s="120" customFormat="1" ht="9" customHeight="1">
      <c r="A57" s="118"/>
      <c r="B57" s="127"/>
      <c r="C57" s="128"/>
    </row>
    <row r="58" spans="1:3" ht="20.25" customHeight="1">
      <c r="A58" s="539" t="s">
        <v>252</v>
      </c>
      <c r="B58" s="539"/>
      <c r="C58" s="539"/>
    </row>
    <row r="59" spans="1:3" ht="6.75" customHeight="1">
      <c r="A59" s="121"/>
      <c r="B59" s="121"/>
      <c r="C59" s="121"/>
    </row>
    <row r="60" spans="1:3" ht="20.25" customHeight="1">
      <c r="A60" s="107" t="s">
        <v>253</v>
      </c>
      <c r="B60" s="122" t="s">
        <v>254</v>
      </c>
      <c r="C60" s="109">
        <f>23131431+64122+89764+120000+17000+195900+38415438</f>
        <v>62033655</v>
      </c>
    </row>
    <row r="61" spans="1:3" ht="21" customHeight="1">
      <c r="A61" s="107"/>
      <c r="B61" s="251" t="s">
        <v>255</v>
      </c>
      <c r="C61" s="123">
        <f>SUM(C60:C60)</f>
        <v>62033655</v>
      </c>
    </row>
    <row r="62" spans="1:3" ht="21" customHeight="1">
      <c r="A62" s="103" t="s">
        <v>256</v>
      </c>
      <c r="B62" s="108" t="s">
        <v>346</v>
      </c>
      <c r="C62" s="363">
        <v>1121209</v>
      </c>
    </row>
    <row r="63" spans="1:3" ht="15.75">
      <c r="A63" s="103" t="s">
        <v>258</v>
      </c>
      <c r="B63" s="122" t="s">
        <v>257</v>
      </c>
      <c r="C63" s="109"/>
    </row>
    <row r="64" spans="1:3" ht="15.75">
      <c r="A64" s="97" t="s">
        <v>320</v>
      </c>
      <c r="B64" s="122" t="s">
        <v>259</v>
      </c>
      <c r="C64" s="109"/>
    </row>
    <row r="65" spans="1:3" s="124" customFormat="1" ht="30" customHeight="1" thickBot="1">
      <c r="A65" s="107"/>
      <c r="B65" s="251" t="s">
        <v>260</v>
      </c>
      <c r="C65" s="123">
        <f>SUM(C62:C64)</f>
        <v>1121209</v>
      </c>
    </row>
    <row r="66" spans="1:5" s="124" customFormat="1" ht="37.5" customHeight="1" thickBot="1">
      <c r="A66" s="125"/>
      <c r="B66" s="252" t="s">
        <v>261</v>
      </c>
      <c r="C66" s="253">
        <f>C53+C61</f>
        <v>176784029</v>
      </c>
      <c r="E66" s="126"/>
    </row>
    <row r="67" spans="1:5" ht="34.5" customHeight="1" thickBot="1">
      <c r="A67" s="125"/>
      <c r="B67" s="252" t="s">
        <v>262</v>
      </c>
      <c r="C67" s="253">
        <f>C54+C65</f>
        <v>176784029</v>
      </c>
      <c r="E67" s="126"/>
    </row>
  </sheetData>
  <sheetProtection/>
  <mergeCells count="12">
    <mergeCell ref="A34:C34"/>
    <mergeCell ref="A40:C40"/>
    <mergeCell ref="A1:C1"/>
    <mergeCell ref="A3:C3"/>
    <mergeCell ref="A5:C5"/>
    <mergeCell ref="A58:C58"/>
    <mergeCell ref="A6:C6"/>
    <mergeCell ref="A7:C7"/>
    <mergeCell ref="A8:C8"/>
    <mergeCell ref="A14:C14"/>
    <mergeCell ref="A2:C2"/>
    <mergeCell ref="A4:C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6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" width="5.125" style="29" customWidth="1"/>
    <col min="2" max="2" width="43.625" style="29" customWidth="1"/>
    <col min="3" max="14" width="15.375" style="23" customWidth="1"/>
    <col min="15" max="15" width="16.875" style="23" customWidth="1"/>
    <col min="16" max="17" width="15.625" style="29" bestFit="1" customWidth="1"/>
    <col min="18" max="18" width="12.625" style="29" bestFit="1" customWidth="1"/>
    <col min="19" max="16384" width="9.125" style="29" customWidth="1"/>
  </cols>
  <sheetData>
    <row r="1" spans="1:15" ht="15.75">
      <c r="A1" s="438" t="s">
        <v>612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63" customFormat="1" ht="15.75">
      <c r="A2" s="439" t="s">
        <v>416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4" spans="2:15" ht="15.75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</row>
    <row r="5" spans="2:15" ht="15.75"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</row>
    <row r="6" spans="2:15" ht="15.75">
      <c r="B6" s="409" t="s">
        <v>27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</row>
    <row r="7" spans="2:15" ht="15.75">
      <c r="B7" s="409" t="s">
        <v>286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</row>
    <row r="8" spans="2:15" ht="15.75">
      <c r="B8" s="409" t="s">
        <v>349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</row>
    <row r="9" spans="3:15" ht="16.5" thickBot="1">
      <c r="C9" s="24"/>
      <c r="D9" s="24"/>
      <c r="E9" s="24"/>
      <c r="F9" s="143"/>
      <c r="G9" s="24"/>
      <c r="H9" s="24"/>
      <c r="I9" s="24"/>
      <c r="J9" s="24"/>
      <c r="O9" s="144" t="s">
        <v>350</v>
      </c>
    </row>
    <row r="10" spans="1:15" ht="15.75">
      <c r="A10" s="145" t="s">
        <v>28</v>
      </c>
      <c r="B10" s="146"/>
      <c r="C10" s="147"/>
      <c r="D10" s="148"/>
      <c r="E10" s="149"/>
      <c r="F10" s="150"/>
      <c r="G10" s="150"/>
      <c r="H10" s="150"/>
      <c r="I10" s="150"/>
      <c r="J10" s="150"/>
      <c r="K10" s="151"/>
      <c r="L10" s="151"/>
      <c r="M10" s="151"/>
      <c r="N10" s="152"/>
      <c r="O10" s="153"/>
    </row>
    <row r="11" spans="1:15" ht="15.75">
      <c r="A11" s="154"/>
      <c r="B11" s="155" t="s">
        <v>0</v>
      </c>
      <c r="C11" s="66" t="s">
        <v>287</v>
      </c>
      <c r="D11" s="156" t="s">
        <v>288</v>
      </c>
      <c r="E11" s="157" t="s">
        <v>289</v>
      </c>
      <c r="F11" s="158" t="s">
        <v>290</v>
      </c>
      <c r="G11" s="158" t="s">
        <v>291</v>
      </c>
      <c r="H11" s="158" t="s">
        <v>292</v>
      </c>
      <c r="I11" s="158" t="s">
        <v>293</v>
      </c>
      <c r="J11" s="158" t="s">
        <v>294</v>
      </c>
      <c r="K11" s="158" t="s">
        <v>295</v>
      </c>
      <c r="L11" s="158" t="s">
        <v>296</v>
      </c>
      <c r="M11" s="158" t="s">
        <v>297</v>
      </c>
      <c r="N11" s="157" t="s">
        <v>298</v>
      </c>
      <c r="O11" s="100" t="s">
        <v>281</v>
      </c>
    </row>
    <row r="12" spans="1:15" ht="16.5" thickBot="1">
      <c r="A12" s="159" t="s">
        <v>29</v>
      </c>
      <c r="B12" s="160"/>
      <c r="C12" s="161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3"/>
      <c r="O12" s="161"/>
    </row>
    <row r="13" spans="1:15" ht="28.5" customHeight="1">
      <c r="A13" s="165"/>
      <c r="B13" s="166" t="s">
        <v>299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</row>
    <row r="14" spans="1:15" ht="28.5" customHeight="1">
      <c r="A14" s="165" t="s">
        <v>30</v>
      </c>
      <c r="B14" s="166" t="s">
        <v>300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</row>
    <row r="15" spans="1:15" ht="28.5" customHeight="1">
      <c r="A15" s="165"/>
      <c r="B15" s="166" t="s">
        <v>301</v>
      </c>
      <c r="C15" s="167">
        <f>2243614+1121805</f>
        <v>3365419</v>
      </c>
      <c r="D15" s="167">
        <v>2243614</v>
      </c>
      <c r="E15" s="167">
        <v>2243614</v>
      </c>
      <c r="F15" s="167">
        <v>2243614</v>
      </c>
      <c r="G15" s="167">
        <v>2243614</v>
      </c>
      <c r="H15" s="167">
        <f>2243614+27846</f>
        <v>2271460</v>
      </c>
      <c r="I15" s="167">
        <f>2243614+1240320</f>
        <v>3483934</v>
      </c>
      <c r="J15" s="167">
        <f>2243614+1000000+3944762+28792+115989+806700+65080</f>
        <v>8204937</v>
      </c>
      <c r="K15" s="167">
        <f>2243614+326400+7198</f>
        <v>2577212</v>
      </c>
      <c r="L15" s="167">
        <f>2243614+7198+28998+268900+711200</f>
        <v>3259910</v>
      </c>
      <c r="M15" s="167">
        <v>2243614</v>
      </c>
      <c r="N15" s="167">
        <v>2243614</v>
      </c>
      <c r="O15" s="168">
        <f>SUM(C15:N15)</f>
        <v>36624556</v>
      </c>
    </row>
    <row r="16" spans="1:15" ht="28.5" customHeight="1">
      <c r="A16" s="165"/>
      <c r="B16" s="166" t="s">
        <v>302</v>
      </c>
      <c r="C16" s="167">
        <f>6252+179682</f>
        <v>185934</v>
      </c>
      <c r="D16" s="167">
        <f>8296+180996</f>
        <v>189292</v>
      </c>
      <c r="E16" s="167">
        <f>8296+180996</f>
        <v>189292</v>
      </c>
      <c r="F16" s="167">
        <f>5002+180996</f>
        <v>185998</v>
      </c>
      <c r="G16" s="167">
        <v>185999</v>
      </c>
      <c r="H16" s="167">
        <v>105251</v>
      </c>
      <c r="I16" s="167">
        <v>105215</v>
      </c>
      <c r="J16" s="167">
        <f>105251+66664+50000+290830+64999-4610+192746-64999</f>
        <v>700881</v>
      </c>
      <c r="K16" s="167">
        <v>180996</v>
      </c>
      <c r="L16" s="167"/>
      <c r="M16" s="167">
        <v>23200</v>
      </c>
      <c r="N16" s="167"/>
      <c r="O16" s="168">
        <f>SUM(C16:N16)</f>
        <v>2052058</v>
      </c>
    </row>
    <row r="17" spans="1:15" ht="15.75">
      <c r="A17" s="165" t="s">
        <v>31</v>
      </c>
      <c r="B17" s="166" t="s">
        <v>303</v>
      </c>
      <c r="C17" s="167">
        <f>(12+44+32+31)*1000</f>
        <v>119000</v>
      </c>
      <c r="D17" s="167">
        <f>(19+12+118+253+31)*1000</f>
        <v>433000</v>
      </c>
      <c r="E17" s="167">
        <f>(1127+11+620+382+31)*1000</f>
        <v>2171000</v>
      </c>
      <c r="F17" s="167">
        <f>(9+12+76+34+31+200)*1000</f>
        <v>362000</v>
      </c>
      <c r="G17" s="167">
        <f>(408+12+48+35+31-200)*1000</f>
        <v>334000</v>
      </c>
      <c r="H17" s="167">
        <f>(46+12+20+19+31)*1000</f>
        <v>128000</v>
      </c>
      <c r="I17" s="167">
        <f>(12+2+2+31)*1000</f>
        <v>47000</v>
      </c>
      <c r="J17" s="167">
        <f>(12+237+346+31)*1000</f>
        <v>626000</v>
      </c>
      <c r="K17" s="167">
        <f>(1188+11+601+335+31)*1000</f>
        <v>2166000</v>
      </c>
      <c r="L17" s="167">
        <f>(10+12+27+35+31)*1000</f>
        <v>115000</v>
      </c>
      <c r="M17" s="167">
        <f>(852+11+76+12+31)*1000</f>
        <v>982000</v>
      </c>
      <c r="N17" s="167">
        <f>(241+11+34+15+29)*1000</f>
        <v>330000</v>
      </c>
      <c r="O17" s="168">
        <f aca="true" t="shared" si="0" ref="O17:O27">SUM(C17:N17)</f>
        <v>7813000</v>
      </c>
    </row>
    <row r="18" spans="1:18" ht="15.75">
      <c r="A18" s="165" t="s">
        <v>79</v>
      </c>
      <c r="B18" s="166" t="s">
        <v>304</v>
      </c>
      <c r="C18" s="167">
        <v>853000</v>
      </c>
      <c r="D18" s="167">
        <v>853000</v>
      </c>
      <c r="E18" s="167">
        <v>870000</v>
      </c>
      <c r="F18" s="167">
        <v>829000</v>
      </c>
      <c r="G18" s="167">
        <f>1292000+4825255</f>
        <v>6117255</v>
      </c>
      <c r="H18" s="167">
        <v>850000</v>
      </c>
      <c r="I18" s="167">
        <v>880000</v>
      </c>
      <c r="J18" s="167">
        <v>820000</v>
      </c>
      <c r="K18" s="167">
        <v>850000</v>
      </c>
      <c r="L18" s="167">
        <v>850000</v>
      </c>
      <c r="M18" s="167">
        <v>850000</v>
      </c>
      <c r="N18" s="167">
        <f>850000+31219</f>
        <v>881219</v>
      </c>
      <c r="O18" s="168">
        <f t="shared" si="0"/>
        <v>15503474</v>
      </c>
      <c r="Q18" s="190"/>
      <c r="R18" s="190"/>
    </row>
    <row r="19" spans="1:15" ht="15.75">
      <c r="A19" s="165" t="s">
        <v>80</v>
      </c>
      <c r="B19" s="169" t="s">
        <v>216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68">
        <f t="shared" si="0"/>
        <v>0</v>
      </c>
    </row>
    <row r="20" spans="1:15" ht="31.5">
      <c r="A20" s="165"/>
      <c r="B20" s="166" t="s">
        <v>305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168">
        <f t="shared" si="0"/>
        <v>0</v>
      </c>
    </row>
    <row r="21" spans="1:15" ht="17.25" customHeight="1">
      <c r="A21" s="165"/>
      <c r="B21" s="166" t="s">
        <v>306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  <c r="O21" s="168">
        <f t="shared" si="0"/>
        <v>0</v>
      </c>
    </row>
    <row r="22" spans="1:15" ht="36.75" customHeight="1">
      <c r="A22" s="401" t="s">
        <v>86</v>
      </c>
      <c r="B22" s="166" t="s">
        <v>601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>
        <f>12630487+64999</f>
        <v>12695486</v>
      </c>
      <c r="M22" s="173">
        <v>40000000</v>
      </c>
      <c r="N22" s="174"/>
      <c r="O22" s="168">
        <f t="shared" si="0"/>
        <v>52695486</v>
      </c>
    </row>
    <row r="23" spans="1:15" ht="17.25" customHeight="1">
      <c r="A23" s="165" t="s">
        <v>222</v>
      </c>
      <c r="B23" s="166" t="s">
        <v>602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  <c r="O23" s="168">
        <f t="shared" si="0"/>
        <v>0</v>
      </c>
    </row>
    <row r="24" spans="1:15" ht="30" customHeight="1">
      <c r="A24" s="165" t="s">
        <v>224</v>
      </c>
      <c r="B24" s="169" t="s">
        <v>307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68">
        <f t="shared" si="0"/>
        <v>0</v>
      </c>
    </row>
    <row r="25" spans="1:15" ht="47.25">
      <c r="A25" s="165"/>
      <c r="B25" s="188" t="s">
        <v>308</v>
      </c>
      <c r="C25" s="170">
        <v>5000</v>
      </c>
      <c r="D25" s="170">
        <v>6000</v>
      </c>
      <c r="E25" s="170">
        <v>5000</v>
      </c>
      <c r="F25" s="170">
        <v>5000</v>
      </c>
      <c r="G25" s="170">
        <v>5000</v>
      </c>
      <c r="H25" s="170">
        <v>5000</v>
      </c>
      <c r="I25" s="170">
        <v>5000</v>
      </c>
      <c r="J25" s="170">
        <v>5000</v>
      </c>
      <c r="K25" s="170">
        <v>5000</v>
      </c>
      <c r="L25" s="170">
        <v>5800</v>
      </c>
      <c r="M25" s="170">
        <v>5000</v>
      </c>
      <c r="N25" s="170">
        <v>5000</v>
      </c>
      <c r="O25" s="168">
        <f>SUM(C25:N25)</f>
        <v>61800</v>
      </c>
    </row>
    <row r="26" spans="1:15" ht="15.75">
      <c r="A26" s="165"/>
      <c r="B26" s="166" t="s">
        <v>309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68">
        <f t="shared" si="0"/>
        <v>0</v>
      </c>
    </row>
    <row r="27" spans="1:15" ht="15.75">
      <c r="A27" s="165" t="s">
        <v>226</v>
      </c>
      <c r="B27" s="169" t="s">
        <v>310</v>
      </c>
      <c r="C27" s="173"/>
      <c r="D27" s="173">
        <v>23131431</v>
      </c>
      <c r="E27" s="173">
        <f>64122+89764+17000</f>
        <v>170886</v>
      </c>
      <c r="F27" s="173">
        <f>120000+195900</f>
        <v>315900</v>
      </c>
      <c r="G27" s="173">
        <v>38415438</v>
      </c>
      <c r="H27" s="173"/>
      <c r="I27" s="173"/>
      <c r="J27" s="173"/>
      <c r="K27" s="173"/>
      <c r="L27" s="173"/>
      <c r="M27" s="173"/>
      <c r="N27" s="174"/>
      <c r="O27" s="168">
        <f t="shared" si="0"/>
        <v>62033655</v>
      </c>
    </row>
    <row r="28" spans="1:15" ht="16.5" thickBot="1">
      <c r="A28" s="175" t="s">
        <v>233</v>
      </c>
      <c r="B28" s="176" t="s">
        <v>311</v>
      </c>
      <c r="C28" s="173"/>
      <c r="D28" s="173">
        <f>C50</f>
        <v>29256</v>
      </c>
      <c r="E28" s="173">
        <f aca="true" t="shared" si="1" ref="E28:N28">D50</f>
        <v>20287850</v>
      </c>
      <c r="F28" s="173">
        <f t="shared" si="1"/>
        <v>11015869</v>
      </c>
      <c r="G28" s="173">
        <f t="shared" si="1"/>
        <v>9758786</v>
      </c>
      <c r="H28" s="173">
        <f t="shared" si="1"/>
        <v>47847903</v>
      </c>
      <c r="I28" s="173">
        <f t="shared" si="1"/>
        <v>11993353</v>
      </c>
      <c r="J28" s="173">
        <f t="shared" si="1"/>
        <v>10684488</v>
      </c>
      <c r="K28" s="173">
        <f t="shared" si="1"/>
        <v>10633687</v>
      </c>
      <c r="L28" s="173">
        <f t="shared" si="1"/>
        <v>9431391</v>
      </c>
      <c r="M28" s="173">
        <f t="shared" si="1"/>
        <v>6001095</v>
      </c>
      <c r="N28" s="173">
        <f t="shared" si="1"/>
        <v>2218584</v>
      </c>
      <c r="O28" s="168"/>
    </row>
    <row r="29" spans="1:16" s="17" customFormat="1" ht="27.75" customHeight="1" thickBot="1">
      <c r="A29" s="177"/>
      <c r="B29" s="177" t="s">
        <v>312</v>
      </c>
      <c r="C29" s="178">
        <f aca="true" t="shared" si="2" ref="C29:N29">SUM(C15:C28)</f>
        <v>4528353</v>
      </c>
      <c r="D29" s="178">
        <f t="shared" si="2"/>
        <v>26885593</v>
      </c>
      <c r="E29" s="178">
        <f t="shared" si="2"/>
        <v>25937642</v>
      </c>
      <c r="F29" s="178">
        <f t="shared" si="2"/>
        <v>14957381</v>
      </c>
      <c r="G29" s="178">
        <f t="shared" si="2"/>
        <v>57060092</v>
      </c>
      <c r="H29" s="178">
        <f t="shared" si="2"/>
        <v>51207614</v>
      </c>
      <c r="I29" s="178">
        <f t="shared" si="2"/>
        <v>16514502</v>
      </c>
      <c r="J29" s="178">
        <f t="shared" si="2"/>
        <v>21041306</v>
      </c>
      <c r="K29" s="178">
        <f t="shared" si="2"/>
        <v>16412895</v>
      </c>
      <c r="L29" s="178">
        <f t="shared" si="2"/>
        <v>26357587</v>
      </c>
      <c r="M29" s="178">
        <f t="shared" si="2"/>
        <v>50104909</v>
      </c>
      <c r="N29" s="178">
        <f t="shared" si="2"/>
        <v>5678417</v>
      </c>
      <c r="O29" s="179">
        <f>SUM(O14:O28)</f>
        <v>176784029</v>
      </c>
      <c r="P29" s="69"/>
    </row>
    <row r="30" spans="1:15" ht="15.75">
      <c r="A30" s="180"/>
      <c r="B30" s="181" t="s">
        <v>313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82"/>
    </row>
    <row r="31" spans="1:17" ht="15.75">
      <c r="A31" s="165" t="s">
        <v>235</v>
      </c>
      <c r="B31" s="169" t="s">
        <v>163</v>
      </c>
      <c r="C31" s="167">
        <f>1635000+6242+158310</f>
        <v>1799552</v>
      </c>
      <c r="D31" s="167">
        <f>1635000+6241+163060+17000</f>
        <v>1821301</v>
      </c>
      <c r="E31" s="167">
        <f>1635000+6242+163060+74764</f>
        <v>1879066</v>
      </c>
      <c r="F31" s="167">
        <f>1635000+4100+163060</f>
        <v>1802160</v>
      </c>
      <c r="G31" s="167">
        <f>195900+1635000+5900</f>
        <v>1836800</v>
      </c>
      <c r="H31" s="167">
        <f>1635000+5900+163060</f>
        <v>1803960</v>
      </c>
      <c r="I31" s="167">
        <f>1635000+5900+86728</f>
        <v>1727628</v>
      </c>
      <c r="J31" s="167">
        <f>1635000+5900+180452+49998+86728+54642+2371+28785</f>
        <v>2043876</v>
      </c>
      <c r="K31" s="167">
        <f>1635000+86728+5900+157988</f>
        <v>1885616</v>
      </c>
      <c r="L31" s="167">
        <f>1635000+5900+322000+163060</f>
        <v>2125960</v>
      </c>
      <c r="M31" s="167">
        <f>1635000+92000+373000+398100+365008+24999</f>
        <v>2888107</v>
      </c>
      <c r="N31" s="167">
        <f>1635000+1113</f>
        <v>1636113</v>
      </c>
      <c r="O31" s="168">
        <f aca="true" t="shared" si="3" ref="O31:O48">SUM(C31:N31)</f>
        <v>23250139</v>
      </c>
      <c r="P31" s="190"/>
      <c r="Q31" s="190"/>
    </row>
    <row r="32" spans="1:17" ht="31.5">
      <c r="A32" s="165" t="s">
        <v>237</v>
      </c>
      <c r="B32" s="188" t="s">
        <v>314</v>
      </c>
      <c r="C32" s="167">
        <f>380800+1373+21372</f>
        <v>403545</v>
      </c>
      <c r="D32" s="167">
        <f>380800+1373+17938</f>
        <v>400111</v>
      </c>
      <c r="E32" s="167">
        <f>380800+1373+17934</f>
        <v>400107</v>
      </c>
      <c r="F32" s="167">
        <f>380800+902+17936+15000</f>
        <v>414638</v>
      </c>
      <c r="G32" s="167">
        <f>380800+1298+17936</f>
        <v>400034</v>
      </c>
      <c r="H32" s="167">
        <f>380800+1298+8968</f>
        <v>391066</v>
      </c>
      <c r="I32" s="167">
        <f>380800+1298+8968</f>
        <v>391066</v>
      </c>
      <c r="J32" s="167">
        <f>380800+280+777+185+267+83980+1298</f>
        <v>467587</v>
      </c>
      <c r="K32" s="167">
        <f>380800+1298+34758</f>
        <v>416856</v>
      </c>
      <c r="L32" s="167">
        <f>380800+70840+17936</f>
        <v>469576</v>
      </c>
      <c r="M32" s="167">
        <f>380800+31482+82060+97419+80302+8555</f>
        <v>680618</v>
      </c>
      <c r="N32" s="167">
        <f>380800+299</f>
        <v>381099</v>
      </c>
      <c r="O32" s="168">
        <f t="shared" si="3"/>
        <v>5216303</v>
      </c>
      <c r="Q32" s="190"/>
    </row>
    <row r="33" spans="1:17" ht="15.75">
      <c r="A33" s="165" t="s">
        <v>242</v>
      </c>
      <c r="B33" s="169" t="s">
        <v>165</v>
      </c>
      <c r="C33" s="167">
        <f>2391000-270000</f>
        <v>2121000</v>
      </c>
      <c r="D33" s="167">
        <f>2391000+64122</f>
        <v>2455122</v>
      </c>
      <c r="E33" s="167">
        <v>2391000</v>
      </c>
      <c r="F33" s="167">
        <v>2391000</v>
      </c>
      <c r="G33" s="167">
        <f>2391000-600000</f>
        <v>1791000</v>
      </c>
      <c r="H33" s="167">
        <f>2391000+499999</f>
        <v>2890999</v>
      </c>
      <c r="I33" s="167">
        <f>2391000+120000</f>
        <v>2511000</v>
      </c>
      <c r="J33" s="167">
        <f>2391000+120000+37789+9563-778-186-268+64999</f>
        <v>2622119</v>
      </c>
      <c r="K33" s="167">
        <f>2391000+606235+317500+499999</f>
        <v>3814734</v>
      </c>
      <c r="L33" s="167">
        <f>2391000+290830</f>
        <v>2681830</v>
      </c>
      <c r="M33" s="167">
        <f>2395000+711200</f>
        <v>3106200</v>
      </c>
      <c r="N33" s="167">
        <f>2391000+205+270000</f>
        <v>2661205</v>
      </c>
      <c r="O33" s="168">
        <f t="shared" si="3"/>
        <v>31437209</v>
      </c>
      <c r="P33" s="190"/>
      <c r="Q33" s="190"/>
    </row>
    <row r="34" spans="1:15" ht="15.75">
      <c r="A34" s="165" t="s">
        <v>244</v>
      </c>
      <c r="B34" s="169" t="s">
        <v>166</v>
      </c>
      <c r="C34" s="167">
        <f>150000+25000</f>
        <v>175000</v>
      </c>
      <c r="D34" s="167">
        <v>150000</v>
      </c>
      <c r="E34" s="167">
        <v>150000</v>
      </c>
      <c r="F34" s="167">
        <v>150000</v>
      </c>
      <c r="G34" s="167">
        <v>150000</v>
      </c>
      <c r="H34" s="167">
        <f>150000-80000</f>
        <v>70000</v>
      </c>
      <c r="I34" s="167">
        <f>150000-120000</f>
        <v>30000</v>
      </c>
      <c r="J34" s="167">
        <f>150000+350000+25000</f>
        <v>525000</v>
      </c>
      <c r="K34" s="167">
        <f>150000</f>
        <v>150000</v>
      </c>
      <c r="L34" s="167">
        <v>150000</v>
      </c>
      <c r="M34" s="167">
        <f>150000+61400</f>
        <v>211400</v>
      </c>
      <c r="N34" s="167">
        <v>1000000</v>
      </c>
      <c r="O34" s="168">
        <f t="shared" si="3"/>
        <v>2911400</v>
      </c>
    </row>
    <row r="35" spans="1:15" ht="15.75">
      <c r="A35" s="165" t="s">
        <v>246</v>
      </c>
      <c r="B35" s="169" t="s">
        <v>315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8"/>
    </row>
    <row r="36" spans="1:15" ht="15.75">
      <c r="A36" s="165"/>
      <c r="B36" s="169" t="s">
        <v>316</v>
      </c>
      <c r="C36" s="167"/>
      <c r="D36" s="167"/>
      <c r="E36" s="167"/>
      <c r="F36" s="167"/>
      <c r="G36" s="167"/>
      <c r="H36" s="167">
        <v>600000</v>
      </c>
      <c r="I36" s="167"/>
      <c r="J36" s="167"/>
      <c r="K36" s="167"/>
      <c r="L36" s="167"/>
      <c r="M36" s="167"/>
      <c r="N36" s="167"/>
      <c r="O36" s="168">
        <f t="shared" si="3"/>
        <v>600000</v>
      </c>
    </row>
    <row r="37" spans="1:16" ht="15.75">
      <c r="A37" s="165"/>
      <c r="B37" s="169" t="s">
        <v>317</v>
      </c>
      <c r="C37" s="167"/>
      <c r="D37" s="167">
        <v>50000</v>
      </c>
      <c r="E37" s="167"/>
      <c r="F37" s="167">
        <v>40000</v>
      </c>
      <c r="G37" s="167">
        <v>209100</v>
      </c>
      <c r="H37" s="167">
        <f>675000-25000-25000</f>
        <v>625000</v>
      </c>
      <c r="I37" s="167">
        <f>40000+80000</f>
        <v>120000</v>
      </c>
      <c r="J37" s="167">
        <f>40000+190000</f>
        <v>230000</v>
      </c>
      <c r="K37" s="167">
        <f>40000+50000</f>
        <v>90000</v>
      </c>
      <c r="L37" s="167">
        <v>69730</v>
      </c>
      <c r="M37" s="167"/>
      <c r="N37" s="167"/>
      <c r="O37" s="168">
        <f t="shared" si="3"/>
        <v>1433830</v>
      </c>
      <c r="P37" s="190"/>
    </row>
    <row r="38" spans="1:15" ht="15.75">
      <c r="A38" s="165" t="s">
        <v>253</v>
      </c>
      <c r="B38" s="169" t="s">
        <v>169</v>
      </c>
      <c r="C38" s="167"/>
      <c r="D38" s="167"/>
      <c r="E38" s="167">
        <v>101600</v>
      </c>
      <c r="F38" s="167">
        <f>179959+51816+9144+13208+26670</f>
        <v>280797</v>
      </c>
      <c r="G38" s="167"/>
      <c r="H38" s="167"/>
      <c r="I38" s="167"/>
      <c r="J38" s="167">
        <v>1181000</v>
      </c>
      <c r="K38" s="167"/>
      <c r="L38" s="167"/>
      <c r="M38" s="167">
        <v>1000000</v>
      </c>
      <c r="N38" s="167"/>
      <c r="O38" s="168">
        <f t="shared" si="3"/>
        <v>2563397</v>
      </c>
    </row>
    <row r="39" spans="1:15" ht="15.75">
      <c r="A39" s="165" t="s">
        <v>256</v>
      </c>
      <c r="B39" s="169" t="s">
        <v>54</v>
      </c>
      <c r="C39" s="167"/>
      <c r="D39" s="167"/>
      <c r="E39" s="167">
        <v>10000000</v>
      </c>
      <c r="F39" s="167">
        <v>120000</v>
      </c>
      <c r="G39" s="167"/>
      <c r="H39" s="167"/>
      <c r="I39" s="167"/>
      <c r="J39" s="167"/>
      <c r="K39" s="167"/>
      <c r="L39" s="167">
        <f>12630487+2228909</f>
        <v>14859396</v>
      </c>
      <c r="M39" s="167">
        <v>40000000</v>
      </c>
      <c r="N39" s="167"/>
      <c r="O39" s="168">
        <f t="shared" si="3"/>
        <v>64979396</v>
      </c>
    </row>
    <row r="40" spans="1:15" ht="20.25" customHeight="1">
      <c r="A40" s="165" t="s">
        <v>258</v>
      </c>
      <c r="B40" s="169" t="s">
        <v>247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8">
        <f t="shared" si="3"/>
        <v>0</v>
      </c>
    </row>
    <row r="41" spans="1:15" ht="20.25" customHeight="1">
      <c r="A41" s="165"/>
      <c r="B41" s="169" t="s">
        <v>316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>
        <f t="shared" si="3"/>
        <v>0</v>
      </c>
    </row>
    <row r="42" spans="1:15" ht="15.75">
      <c r="A42" s="165"/>
      <c r="B42" s="169" t="s">
        <v>317</v>
      </c>
      <c r="C42" s="167"/>
      <c r="D42" s="167">
        <v>600000</v>
      </c>
      <c r="E42" s="167"/>
      <c r="F42" s="167"/>
      <c r="G42" s="167"/>
      <c r="H42" s="167"/>
      <c r="I42" s="167"/>
      <c r="J42" s="167">
        <v>600000</v>
      </c>
      <c r="K42" s="167"/>
      <c r="L42" s="167"/>
      <c r="M42" s="167"/>
      <c r="N42" s="167"/>
      <c r="O42" s="168">
        <f t="shared" si="3"/>
        <v>1200000</v>
      </c>
    </row>
    <row r="43" spans="1:15" ht="15.75">
      <c r="A43" s="165" t="s">
        <v>320</v>
      </c>
      <c r="B43" s="169" t="s">
        <v>162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8">
        <f t="shared" si="3"/>
        <v>0</v>
      </c>
    </row>
    <row r="44" spans="1:15" ht="15.75">
      <c r="A44" s="165"/>
      <c r="B44" s="197" t="s">
        <v>348</v>
      </c>
      <c r="C44" s="167"/>
      <c r="D44" s="167">
        <v>1121209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8">
        <f t="shared" si="3"/>
        <v>1121209</v>
      </c>
    </row>
    <row r="45" spans="1:15" ht="15.75">
      <c r="A45" s="165"/>
      <c r="B45" s="169" t="s">
        <v>318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>
        <f t="shared" si="3"/>
        <v>0</v>
      </c>
    </row>
    <row r="46" spans="1:15" ht="15.75">
      <c r="A46" s="165"/>
      <c r="B46" s="169" t="s">
        <v>319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8">
        <f t="shared" si="3"/>
        <v>0</v>
      </c>
    </row>
    <row r="47" spans="1:16" ht="15.75">
      <c r="A47" s="165" t="s">
        <v>322</v>
      </c>
      <c r="B47" s="169" t="s">
        <v>321</v>
      </c>
      <c r="C47" s="167"/>
      <c r="D47" s="167"/>
      <c r="E47" s="167"/>
      <c r="F47" s="167"/>
      <c r="G47" s="167">
        <v>4825255</v>
      </c>
      <c r="H47" s="167">
        <f>38415438-499999-2228909-40000-50000-317500-499999-392840-123482-455060-495519-478894</f>
        <v>32833236</v>
      </c>
      <c r="I47" s="167">
        <f>1240320-190000</f>
        <v>1050320</v>
      </c>
      <c r="J47" s="167">
        <f>3944762+115989+806700+65080-1181000-606235-120000-287259</f>
        <v>2738037</v>
      </c>
      <c r="K47" s="167">
        <f>326400+28998+268900</f>
        <v>624298</v>
      </c>
      <c r="L47" s="167"/>
      <c r="M47" s="167"/>
      <c r="N47" s="167"/>
      <c r="O47" s="168">
        <f t="shared" si="3"/>
        <v>42071146</v>
      </c>
      <c r="P47" s="190"/>
    </row>
    <row r="48" spans="1:15" ht="16.5" thickBot="1">
      <c r="A48" s="175" t="s">
        <v>364</v>
      </c>
      <c r="B48" s="176" t="s">
        <v>323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8">
        <f t="shared" si="3"/>
        <v>0</v>
      </c>
    </row>
    <row r="49" spans="1:19" s="17" customFormat="1" ht="24" customHeight="1" thickBot="1">
      <c r="A49" s="177"/>
      <c r="B49" s="177" t="s">
        <v>324</v>
      </c>
      <c r="C49" s="178">
        <f aca="true" t="shared" si="4" ref="C49:O49">SUM(C31:C48)</f>
        <v>4499097</v>
      </c>
      <c r="D49" s="178">
        <f t="shared" si="4"/>
        <v>6597743</v>
      </c>
      <c r="E49" s="178">
        <f t="shared" si="4"/>
        <v>14921773</v>
      </c>
      <c r="F49" s="178">
        <f t="shared" si="4"/>
        <v>5198595</v>
      </c>
      <c r="G49" s="178">
        <f t="shared" si="4"/>
        <v>9212189</v>
      </c>
      <c r="H49" s="178">
        <f t="shared" si="4"/>
        <v>39214261</v>
      </c>
      <c r="I49" s="178">
        <f t="shared" si="4"/>
        <v>5830014</v>
      </c>
      <c r="J49" s="178">
        <f t="shared" si="4"/>
        <v>10407619</v>
      </c>
      <c r="K49" s="178">
        <f t="shared" si="4"/>
        <v>6981504</v>
      </c>
      <c r="L49" s="178">
        <f t="shared" si="4"/>
        <v>20356492</v>
      </c>
      <c r="M49" s="178">
        <f t="shared" si="4"/>
        <v>47886325</v>
      </c>
      <c r="N49" s="178">
        <f t="shared" si="4"/>
        <v>5678417</v>
      </c>
      <c r="O49" s="179">
        <f t="shared" si="4"/>
        <v>176784029</v>
      </c>
      <c r="S49" s="183"/>
    </row>
    <row r="50" spans="1:15" ht="26.25" customHeight="1" thickBot="1">
      <c r="A50" s="184"/>
      <c r="B50" s="185" t="s">
        <v>325</v>
      </c>
      <c r="C50" s="186">
        <f aca="true" t="shared" si="5" ref="C50:N50">C29-C49</f>
        <v>29256</v>
      </c>
      <c r="D50" s="186">
        <f t="shared" si="5"/>
        <v>20287850</v>
      </c>
      <c r="E50" s="186">
        <f t="shared" si="5"/>
        <v>11015869</v>
      </c>
      <c r="F50" s="186">
        <f t="shared" si="5"/>
        <v>9758786</v>
      </c>
      <c r="G50" s="186">
        <f t="shared" si="5"/>
        <v>47847903</v>
      </c>
      <c r="H50" s="186">
        <f t="shared" si="5"/>
        <v>11993353</v>
      </c>
      <c r="I50" s="186">
        <f t="shared" si="5"/>
        <v>10684488</v>
      </c>
      <c r="J50" s="186">
        <f t="shared" si="5"/>
        <v>10633687</v>
      </c>
      <c r="K50" s="186">
        <f t="shared" si="5"/>
        <v>9431391</v>
      </c>
      <c r="L50" s="186">
        <f t="shared" si="5"/>
        <v>6001095</v>
      </c>
      <c r="M50" s="186">
        <f t="shared" si="5"/>
        <v>2218584</v>
      </c>
      <c r="N50" s="186">
        <f t="shared" si="5"/>
        <v>0</v>
      </c>
      <c r="O50" s="187"/>
    </row>
    <row r="52" spans="3:15" ht="15.75"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</row>
    <row r="53" ht="15.75">
      <c r="O53" s="189"/>
    </row>
    <row r="54" ht="15.75">
      <c r="O54" s="189"/>
    </row>
    <row r="55" ht="15.75">
      <c r="O55" s="189"/>
    </row>
    <row r="56" ht="15.75">
      <c r="O56" s="189"/>
    </row>
  </sheetData>
  <sheetProtection/>
  <mergeCells count="7">
    <mergeCell ref="A1:O1"/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9.875" style="0" customWidth="1"/>
    <col min="2" max="2" width="25.125" style="0" customWidth="1"/>
  </cols>
  <sheetData>
    <row r="1" spans="1:2" ht="15.75">
      <c r="A1" s="438" t="s">
        <v>613</v>
      </c>
      <c r="B1" s="438"/>
    </row>
    <row r="2" spans="1:2" ht="15.75">
      <c r="A2" s="346"/>
      <c r="B2" s="346"/>
    </row>
    <row r="3" spans="1:2" ht="15.75">
      <c r="A3" s="439" t="s">
        <v>417</v>
      </c>
      <c r="B3" s="439"/>
    </row>
    <row r="4" spans="1:2" ht="15.75">
      <c r="A4" s="347"/>
      <c r="B4" s="347"/>
    </row>
    <row r="6" spans="1:2" ht="15">
      <c r="A6" s="514"/>
      <c r="B6" s="543"/>
    </row>
    <row r="7" spans="1:2" ht="15.75">
      <c r="A7" s="139" t="s">
        <v>284</v>
      </c>
      <c r="B7" s="139"/>
    </row>
    <row r="8" spans="1:2" ht="15.75">
      <c r="A8" s="420" t="s">
        <v>405</v>
      </c>
      <c r="B8" s="420"/>
    </row>
    <row r="9" spans="1:2" ht="15.75">
      <c r="A9" s="420" t="s">
        <v>349</v>
      </c>
      <c r="B9" s="420"/>
    </row>
    <row r="10" spans="1:2" ht="16.5" thickBot="1">
      <c r="A10" s="14"/>
      <c r="B10" s="14"/>
    </row>
    <row r="11" spans="1:2" ht="15.75">
      <c r="A11" s="140"/>
      <c r="B11" s="141" t="s">
        <v>8</v>
      </c>
    </row>
    <row r="12" spans="1:2" ht="15.75">
      <c r="A12" s="142" t="s">
        <v>285</v>
      </c>
      <c r="B12" s="142"/>
    </row>
    <row r="13" spans="1:2" ht="16.5" thickBot="1">
      <c r="A13" s="254"/>
      <c r="B13" s="142" t="s">
        <v>404</v>
      </c>
    </row>
    <row r="14" spans="1:2" ht="38.25" customHeight="1" thickBot="1">
      <c r="A14" s="355" t="s">
        <v>406</v>
      </c>
      <c r="B14" s="348">
        <f>B15+B16</f>
        <v>42071176</v>
      </c>
    </row>
    <row r="15" spans="1:2" ht="26.25" customHeight="1">
      <c r="A15" s="356" t="s">
        <v>475</v>
      </c>
      <c r="B15" s="358">
        <v>4825255</v>
      </c>
    </row>
    <row r="16" spans="1:2" ht="27.75" customHeight="1" thickBot="1">
      <c r="A16" s="357" t="s">
        <v>504</v>
      </c>
      <c r="B16" s="359">
        <f>38415438+5185082+115989+806700+65080-1181000-606235-120000-499999-190000-287259+326400+28998+268900-2228909-40000-317500-392840-123482-455060-495519-478864-499999-50000</f>
        <v>37245921</v>
      </c>
    </row>
  </sheetData>
  <sheetProtection/>
  <mergeCells count="5">
    <mergeCell ref="A1:B1"/>
    <mergeCell ref="A3:B3"/>
    <mergeCell ref="A8:B8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"/>
  <sheetViews>
    <sheetView zoomScalePageLayoutView="0" workbookViewId="0" topLeftCell="B1">
      <selection activeCell="H23" sqref="H23"/>
    </sheetView>
  </sheetViews>
  <sheetFormatPr defaultColWidth="9.00390625" defaultRowHeight="12.75"/>
  <cols>
    <col min="1" max="1" width="2.25390625" style="0" customWidth="1"/>
    <col min="2" max="2" width="27.375" style="0" customWidth="1"/>
    <col min="3" max="3" width="13.75390625" style="0" customWidth="1"/>
    <col min="4" max="4" width="15.625" style="0" customWidth="1"/>
    <col min="5" max="5" width="12.75390625" style="0" customWidth="1"/>
    <col min="6" max="6" width="11.625" style="0" customWidth="1"/>
    <col min="7" max="7" width="12.25390625" style="0" customWidth="1"/>
    <col min="8" max="8" width="11.875" style="0" customWidth="1"/>
    <col min="9" max="9" width="13.00390625" style="0" customWidth="1"/>
    <col min="10" max="10" width="10.375" style="0" customWidth="1"/>
    <col min="11" max="11" width="11.125" style="0" customWidth="1"/>
    <col min="12" max="12" width="12.875" style="0" customWidth="1"/>
    <col min="13" max="13" width="14.625" style="0" customWidth="1"/>
    <col min="14" max="14" width="13.625" style="0" customWidth="1"/>
  </cols>
  <sheetData>
    <row r="1" spans="2:14" ht="12.75">
      <c r="B1" s="548" t="s">
        <v>614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3" spans="2:4" ht="12.75">
      <c r="B3" s="336" t="s">
        <v>446</v>
      </c>
      <c r="C3" s="336"/>
      <c r="D3" s="336"/>
    </row>
    <row r="4" spans="2:4" ht="12.75">
      <c r="B4" s="336"/>
      <c r="C4" s="336"/>
      <c r="D4" s="336"/>
    </row>
    <row r="5" spans="2:14" ht="18.75" customHeight="1"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</row>
    <row r="6" spans="2:14" ht="23.25" customHeight="1">
      <c r="B6" s="513" t="s">
        <v>445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</row>
    <row r="7" spans="2:14" ht="18.75" customHeight="1">
      <c r="B7" s="513" t="s">
        <v>444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</row>
    <row r="8" spans="2:14" ht="16.5" customHeight="1">
      <c r="B8" s="513" t="s">
        <v>349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</row>
    <row r="10" ht="13.5" thickBot="1">
      <c r="N10" s="286" t="s">
        <v>443</v>
      </c>
    </row>
    <row r="11" spans="1:14" ht="21" customHeight="1" thickBot="1">
      <c r="A11" s="544" t="s">
        <v>442</v>
      </c>
      <c r="B11" s="547" t="s">
        <v>0</v>
      </c>
      <c r="C11" s="546" t="s">
        <v>441</v>
      </c>
      <c r="D11" s="547" t="s">
        <v>437</v>
      </c>
      <c r="E11" s="547"/>
      <c r="F11" s="547"/>
      <c r="G11" s="547"/>
      <c r="H11" s="547"/>
      <c r="I11" s="546" t="s">
        <v>433</v>
      </c>
      <c r="J11" s="546"/>
      <c r="K11" s="546"/>
      <c r="L11" s="546"/>
      <c r="M11" s="546" t="s">
        <v>440</v>
      </c>
      <c r="N11" s="546"/>
    </row>
    <row r="12" spans="1:14" ht="61.5" customHeight="1" thickBot="1">
      <c r="A12" s="545"/>
      <c r="B12" s="547"/>
      <c r="C12" s="546"/>
      <c r="D12" s="333" t="s">
        <v>439</v>
      </c>
      <c r="E12" s="333" t="s">
        <v>438</v>
      </c>
      <c r="F12" s="333" t="s">
        <v>437</v>
      </c>
      <c r="G12" s="333" t="s">
        <v>436</v>
      </c>
      <c r="H12" s="333" t="s">
        <v>435</v>
      </c>
      <c r="I12" s="333" t="s">
        <v>434</v>
      </c>
      <c r="J12" s="333" t="s">
        <v>433</v>
      </c>
      <c r="K12" s="334" t="s">
        <v>432</v>
      </c>
      <c r="L12" s="333" t="s">
        <v>431</v>
      </c>
      <c r="M12" s="333" t="s">
        <v>430</v>
      </c>
      <c r="N12" s="333" t="s">
        <v>429</v>
      </c>
    </row>
    <row r="13" spans="1:14" ht="18" customHeight="1" thickBot="1">
      <c r="A13" s="332" t="s">
        <v>30</v>
      </c>
      <c r="B13" s="331" t="s">
        <v>428</v>
      </c>
      <c r="C13" s="327">
        <f>H13+L13+M13+N13</f>
        <v>109878616</v>
      </c>
      <c r="D13" s="327">
        <f>28045173+46400+27846+722670+1000000+1240320+3944762+28792+115989+537800+268900+65080+501752+66664+50000+64999+290830</f>
        <v>37017977</v>
      </c>
      <c r="E13" s="327">
        <v>7813000</v>
      </c>
      <c r="F13" s="327">
        <f>15503474-2730485</f>
        <v>12772989</v>
      </c>
      <c r="G13" s="327"/>
      <c r="H13" s="327">
        <f>D13+E13+F13+G13</f>
        <v>57603966</v>
      </c>
      <c r="I13" s="327"/>
      <c r="J13" s="327">
        <v>61800</v>
      </c>
      <c r="K13" s="327"/>
      <c r="L13" s="327">
        <f>I13+J13+K13</f>
        <v>61800</v>
      </c>
      <c r="M13" s="327">
        <f>23131431+64122+89764+17000+195900+38415438+120000</f>
        <v>62033655</v>
      </c>
      <c r="N13" s="330">
        <f>-8667923-181500-392840-123482-455060</f>
        <v>-9820805</v>
      </c>
    </row>
    <row r="14" spans="1:14" ht="21" customHeight="1" thickBot="1">
      <c r="A14" s="329" t="s">
        <v>20</v>
      </c>
      <c r="B14" s="326" t="s">
        <v>427</v>
      </c>
      <c r="C14" s="327">
        <f>H14+L14+M14+N14</f>
        <v>12551290</v>
      </c>
      <c r="D14" s="327"/>
      <c r="E14" s="328"/>
      <c r="F14" s="328">
        <v>2730485</v>
      </c>
      <c r="G14" s="326"/>
      <c r="H14" s="327">
        <f>D14+E14+F14+G14</f>
        <v>2730485</v>
      </c>
      <c r="I14" s="326"/>
      <c r="J14" s="326"/>
      <c r="K14" s="326"/>
      <c r="L14" s="326"/>
      <c r="M14" s="326"/>
      <c r="N14" s="325">
        <f>8667923+181500+392840+123482+455060</f>
        <v>9820805</v>
      </c>
    </row>
    <row r="15" spans="1:37" s="321" customFormat="1" ht="24" customHeight="1" thickBot="1">
      <c r="A15" s="324" t="s">
        <v>31</v>
      </c>
      <c r="B15" s="324" t="s">
        <v>418</v>
      </c>
      <c r="C15" s="323">
        <f>H15+L15+M15+N15</f>
        <v>122429906</v>
      </c>
      <c r="D15" s="323">
        <f aca="true" t="shared" si="0" ref="D15:N15">D13++D14</f>
        <v>37017977</v>
      </c>
      <c r="E15" s="323">
        <f t="shared" si="0"/>
        <v>7813000</v>
      </c>
      <c r="F15" s="323">
        <f t="shared" si="0"/>
        <v>15503474</v>
      </c>
      <c r="G15" s="323">
        <f t="shared" si="0"/>
        <v>0</v>
      </c>
      <c r="H15" s="323">
        <f t="shared" si="0"/>
        <v>60334451</v>
      </c>
      <c r="I15" s="323">
        <f t="shared" si="0"/>
        <v>0</v>
      </c>
      <c r="J15" s="323">
        <f t="shared" si="0"/>
        <v>61800</v>
      </c>
      <c r="K15" s="323">
        <f t="shared" si="0"/>
        <v>0</v>
      </c>
      <c r="L15" s="323">
        <f t="shared" si="0"/>
        <v>61800</v>
      </c>
      <c r="M15" s="323">
        <f t="shared" si="0"/>
        <v>62033655</v>
      </c>
      <c r="N15" s="323">
        <f t="shared" si="0"/>
        <v>0</v>
      </c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</row>
  </sheetData>
  <sheetProtection/>
  <mergeCells count="11">
    <mergeCell ref="B1:N1"/>
    <mergeCell ref="B5:N5"/>
    <mergeCell ref="A11:A12"/>
    <mergeCell ref="B6:N6"/>
    <mergeCell ref="B7:N7"/>
    <mergeCell ref="B8:N8"/>
    <mergeCell ref="C11:C12"/>
    <mergeCell ref="B11:B12"/>
    <mergeCell ref="D11:H11"/>
    <mergeCell ref="I11:L11"/>
    <mergeCell ref="M11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16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2.00390625" style="0" customWidth="1"/>
    <col min="2" max="2" width="37.875" style="0" customWidth="1"/>
    <col min="3" max="3" width="15.375" style="0" customWidth="1"/>
    <col min="4" max="4" width="13.25390625" style="0" customWidth="1"/>
    <col min="5" max="5" width="15.375" style="0" customWidth="1"/>
    <col min="6" max="6" width="14.25390625" style="0" customWidth="1"/>
    <col min="7" max="7" width="18.875" style="0" customWidth="1"/>
  </cols>
  <sheetData>
    <row r="2" spans="3:7" ht="12.75">
      <c r="C2" s="407"/>
      <c r="D2" s="407"/>
      <c r="E2" s="407"/>
      <c r="F2" s="407"/>
      <c r="G2" s="407"/>
    </row>
    <row r="3" spans="2:7" ht="12.75">
      <c r="B3" s="548" t="s">
        <v>615</v>
      </c>
      <c r="C3" s="548"/>
      <c r="D3" s="548"/>
      <c r="E3" s="548"/>
      <c r="F3" s="548"/>
      <c r="G3" s="504"/>
    </row>
    <row r="5" spans="2:7" ht="12.75">
      <c r="B5" s="549" t="s">
        <v>458</v>
      </c>
      <c r="C5" s="549"/>
      <c r="D5" s="549"/>
      <c r="E5" s="549"/>
      <c r="F5" s="549"/>
      <c r="G5" s="286"/>
    </row>
    <row r="6" spans="2:6" ht="12.75">
      <c r="B6" s="285"/>
      <c r="C6" s="412"/>
      <c r="D6" s="412"/>
      <c r="E6" s="412"/>
      <c r="F6" s="285"/>
    </row>
    <row r="7" spans="3:5" ht="15" customHeight="1">
      <c r="C7" s="513"/>
      <c r="D7" s="513"/>
      <c r="E7" s="513"/>
    </row>
    <row r="8" spans="2:7" ht="18.75" customHeight="1">
      <c r="B8" s="537" t="s">
        <v>27</v>
      </c>
      <c r="C8" s="537"/>
      <c r="D8" s="537"/>
      <c r="E8" s="537"/>
      <c r="F8" s="537"/>
      <c r="G8" s="537"/>
    </row>
    <row r="9" spans="2:7" ht="19.5" customHeight="1">
      <c r="B9" s="513" t="s">
        <v>457</v>
      </c>
      <c r="C9" s="513"/>
      <c r="D9" s="513"/>
      <c r="E9" s="513"/>
      <c r="F9" s="513"/>
      <c r="G9" s="513"/>
    </row>
    <row r="10" spans="2:7" ht="18.75" customHeight="1">
      <c r="B10" s="513" t="s">
        <v>349</v>
      </c>
      <c r="C10" s="513"/>
      <c r="D10" s="513"/>
      <c r="E10" s="513"/>
      <c r="F10" s="513"/>
      <c r="G10" s="513"/>
    </row>
    <row r="12" ht="13.5" thickBot="1">
      <c r="G12" s="286" t="s">
        <v>456</v>
      </c>
    </row>
    <row r="13" spans="1:7" ht="92.25" customHeight="1" thickBot="1">
      <c r="A13" s="345" t="s">
        <v>371</v>
      </c>
      <c r="B13" s="344" t="s">
        <v>455</v>
      </c>
      <c r="C13" s="546" t="s">
        <v>454</v>
      </c>
      <c r="D13" s="546"/>
      <c r="E13" s="550" t="s">
        <v>453</v>
      </c>
      <c r="F13" s="550"/>
      <c r="G13" s="335" t="s">
        <v>452</v>
      </c>
    </row>
    <row r="14" spans="1:7" ht="24.75" customHeight="1" thickBot="1">
      <c r="A14" s="343"/>
      <c r="B14" s="342" t="s">
        <v>451</v>
      </c>
      <c r="C14" s="341" t="s">
        <v>449</v>
      </c>
      <c r="D14" s="333" t="s">
        <v>450</v>
      </c>
      <c r="E14" s="324" t="s">
        <v>449</v>
      </c>
      <c r="F14" s="333" t="s">
        <v>448</v>
      </c>
      <c r="G14" s="324"/>
    </row>
    <row r="15" spans="1:7" ht="23.25" customHeight="1" thickBot="1">
      <c r="A15" s="329" t="s">
        <v>30</v>
      </c>
      <c r="B15" s="326" t="s">
        <v>447</v>
      </c>
      <c r="C15" s="328">
        <f>830400+5185082+326400</f>
        <v>6341882</v>
      </c>
      <c r="D15" s="340">
        <f>C15/G15*100</f>
        <v>64.57598944282063</v>
      </c>
      <c r="E15" s="328">
        <f>8667923-830400+181500-5185082-326400+392840+123482+455060</f>
        <v>3478923</v>
      </c>
      <c r="F15" s="340">
        <f>E15/G15*100</f>
        <v>35.42401055717937</v>
      </c>
      <c r="G15" s="325">
        <f>C15+E15</f>
        <v>9820805</v>
      </c>
    </row>
    <row r="16" spans="1:7" ht="26.25" customHeight="1" thickBot="1">
      <c r="A16" s="324" t="s">
        <v>20</v>
      </c>
      <c r="B16" s="339" t="s">
        <v>2</v>
      </c>
      <c r="C16" s="337">
        <f>C15</f>
        <v>6341882</v>
      </c>
      <c r="D16" s="338">
        <f>C16/G16*100</f>
        <v>64.57598944282063</v>
      </c>
      <c r="E16" s="337">
        <f>E15</f>
        <v>3478923</v>
      </c>
      <c r="F16" s="338">
        <f>E16/G16*100</f>
        <v>35.42401055717937</v>
      </c>
      <c r="G16" s="337">
        <f>G15</f>
        <v>9820805</v>
      </c>
    </row>
  </sheetData>
  <sheetProtection/>
  <mergeCells count="10">
    <mergeCell ref="C2:G2"/>
    <mergeCell ref="C6:E6"/>
    <mergeCell ref="C7:E7"/>
    <mergeCell ref="B5:F5"/>
    <mergeCell ref="B3:G3"/>
    <mergeCell ref="C13:D13"/>
    <mergeCell ref="E13:F13"/>
    <mergeCell ref="B8:G8"/>
    <mergeCell ref="B9:G9"/>
    <mergeCell ref="B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3">
      <selection activeCell="E34" sqref="E34"/>
    </sheetView>
  </sheetViews>
  <sheetFormatPr defaultColWidth="9.00390625" defaultRowHeight="12.75"/>
  <cols>
    <col min="1" max="1" width="10.125" style="0" bestFit="1" customWidth="1"/>
    <col min="2" max="2" width="11.125" style="0" customWidth="1"/>
    <col min="3" max="3" width="12.00390625" style="0" customWidth="1"/>
    <col min="4" max="4" width="14.875" style="0" customWidth="1"/>
  </cols>
  <sheetData>
    <row r="1" ht="12.75">
      <c r="D1">
        <v>74601278</v>
      </c>
    </row>
    <row r="2" spans="1:4" ht="12.75">
      <c r="A2" s="349" t="s">
        <v>403</v>
      </c>
      <c r="B2">
        <v>27846</v>
      </c>
      <c r="C2">
        <v>27846</v>
      </c>
      <c r="D2">
        <f aca="true" t="shared" si="0" ref="D2:D10">D1+C2</f>
        <v>74629124</v>
      </c>
    </row>
    <row r="3" spans="1:4" ht="12.75">
      <c r="A3" s="349" t="s">
        <v>460</v>
      </c>
      <c r="B3">
        <v>64122</v>
      </c>
      <c r="C3">
        <v>64122</v>
      </c>
      <c r="D3">
        <f t="shared" si="0"/>
        <v>74693246</v>
      </c>
    </row>
    <row r="4" spans="1:4" ht="12.75">
      <c r="A4" s="349" t="s">
        <v>461</v>
      </c>
      <c r="B4">
        <v>89764</v>
      </c>
      <c r="C4">
        <v>89764</v>
      </c>
      <c r="D4">
        <f t="shared" si="0"/>
        <v>74783010</v>
      </c>
    </row>
    <row r="5" spans="1:4" ht="12.75">
      <c r="A5" s="349" t="s">
        <v>462</v>
      </c>
      <c r="B5">
        <v>120000</v>
      </c>
      <c r="C5">
        <v>120000</v>
      </c>
      <c r="D5">
        <f t="shared" si="0"/>
        <v>74903010</v>
      </c>
    </row>
    <row r="6" spans="1:4" ht="12.75">
      <c r="A6" s="349" t="s">
        <v>463</v>
      </c>
      <c r="B6">
        <v>17000</v>
      </c>
      <c r="C6">
        <v>17000</v>
      </c>
      <c r="D6">
        <f t="shared" si="0"/>
        <v>74920010</v>
      </c>
    </row>
    <row r="7" spans="1:4" ht="12.75">
      <c r="A7" s="349" t="s">
        <v>464</v>
      </c>
      <c r="B7">
        <v>14400</v>
      </c>
      <c r="C7">
        <v>14400</v>
      </c>
      <c r="D7">
        <f t="shared" si="0"/>
        <v>74934410</v>
      </c>
    </row>
    <row r="8" spans="1:4" ht="12.75">
      <c r="A8" s="349" t="s">
        <v>464</v>
      </c>
      <c r="B8">
        <v>181500</v>
      </c>
      <c r="C8">
        <v>181500</v>
      </c>
      <c r="D8">
        <f t="shared" si="0"/>
        <v>75115910</v>
      </c>
    </row>
    <row r="9" spans="1:4" ht="12.75">
      <c r="A9" s="349" t="s">
        <v>465</v>
      </c>
      <c r="B9">
        <v>38415438</v>
      </c>
      <c r="C9">
        <v>38415438</v>
      </c>
      <c r="D9">
        <f t="shared" si="0"/>
        <v>113531348</v>
      </c>
    </row>
    <row r="10" spans="1:4" ht="12.75">
      <c r="A10" s="349" t="s">
        <v>468</v>
      </c>
      <c r="B10">
        <v>722670</v>
      </c>
      <c r="C10">
        <v>722670</v>
      </c>
      <c r="D10">
        <f t="shared" si="0"/>
        <v>114254018</v>
      </c>
    </row>
    <row r="11" spans="1:2" ht="12.75">
      <c r="A11" s="349" t="s">
        <v>469</v>
      </c>
      <c r="B11">
        <v>300000</v>
      </c>
    </row>
    <row r="12" spans="1:2" ht="12.75">
      <c r="A12" s="349" t="s">
        <v>470</v>
      </c>
      <c r="B12">
        <v>840000</v>
      </c>
    </row>
    <row r="13" spans="1:2" ht="12.75">
      <c r="A13" t="s">
        <v>471</v>
      </c>
      <c r="B13">
        <v>600000</v>
      </c>
    </row>
    <row r="14" spans="1:4" ht="12.75">
      <c r="A14" s="365" t="s">
        <v>403</v>
      </c>
      <c r="B14">
        <v>1000000</v>
      </c>
      <c r="C14">
        <v>1000000</v>
      </c>
      <c r="D14">
        <f>D10+C14</f>
        <v>115254018</v>
      </c>
    </row>
    <row r="15" spans="1:4" ht="12.75">
      <c r="A15" s="349" t="s">
        <v>478</v>
      </c>
      <c r="B15">
        <v>5185082</v>
      </c>
      <c r="C15" s="367">
        <v>5185082</v>
      </c>
      <c r="D15">
        <f>D14+C15</f>
        <v>120439100</v>
      </c>
    </row>
    <row r="16" spans="1:4" ht="12.75">
      <c r="A16" s="349" t="s">
        <v>479</v>
      </c>
      <c r="B16">
        <v>28792</v>
      </c>
      <c r="C16">
        <v>28792</v>
      </c>
      <c r="D16">
        <f>D15+C16</f>
        <v>120467892</v>
      </c>
    </row>
    <row r="17" spans="1:4" ht="12.75">
      <c r="A17" s="349" t="s">
        <v>480</v>
      </c>
      <c r="B17">
        <v>115989</v>
      </c>
      <c r="C17" s="367">
        <v>115989</v>
      </c>
      <c r="D17">
        <f>D16+C17</f>
        <v>120583881</v>
      </c>
    </row>
    <row r="18" spans="1:4" ht="12.75">
      <c r="A18" s="349" t="s">
        <v>481</v>
      </c>
      <c r="B18">
        <v>806700</v>
      </c>
      <c r="C18" s="367">
        <v>806700</v>
      </c>
      <c r="D18">
        <f>D17+C18</f>
        <v>121390581</v>
      </c>
    </row>
    <row r="19" spans="1:4" ht="12.75">
      <c r="A19" s="365" t="s">
        <v>381</v>
      </c>
      <c r="B19">
        <v>65080</v>
      </c>
      <c r="C19" s="367">
        <v>65080</v>
      </c>
      <c r="D19">
        <f>D18+C19</f>
        <v>121455661</v>
      </c>
    </row>
    <row r="20" spans="1:2" ht="12.75">
      <c r="A20" s="349" t="s">
        <v>460</v>
      </c>
      <c r="B20">
        <v>80000</v>
      </c>
    </row>
    <row r="21" spans="1:2" ht="12.75">
      <c r="A21" s="349" t="s">
        <v>461</v>
      </c>
      <c r="B21" s="366">
        <v>1181000</v>
      </c>
    </row>
    <row r="22" spans="1:2" ht="12.75">
      <c r="A22" s="349" t="s">
        <v>462</v>
      </c>
      <c r="B22" s="366">
        <v>606235</v>
      </c>
    </row>
    <row r="23" spans="1:2" ht="12.75">
      <c r="A23" s="349" t="s">
        <v>483</v>
      </c>
      <c r="B23" s="366">
        <v>120000</v>
      </c>
    </row>
    <row r="24" spans="1:2" ht="12.75">
      <c r="A24" s="365" t="s">
        <v>482</v>
      </c>
      <c r="B24" s="366">
        <v>499999</v>
      </c>
    </row>
    <row r="25" spans="1:2" ht="12.75">
      <c r="A25" s="349" t="s">
        <v>484</v>
      </c>
      <c r="B25" s="366">
        <v>190000</v>
      </c>
    </row>
    <row r="26" spans="1:2" ht="12.75">
      <c r="A26" s="349" t="s">
        <v>485</v>
      </c>
      <c r="B26" s="366">
        <v>287259</v>
      </c>
    </row>
    <row r="27" spans="1:4" ht="12.75">
      <c r="A27" s="349" t="s">
        <v>468</v>
      </c>
      <c r="B27" s="336">
        <v>501752</v>
      </c>
      <c r="C27">
        <v>501752</v>
      </c>
      <c r="D27">
        <f>D19+C27</f>
        <v>121957413</v>
      </c>
    </row>
    <row r="28" spans="1:4" ht="12.75">
      <c r="A28" s="349" t="s">
        <v>469</v>
      </c>
      <c r="B28" s="336">
        <v>66664</v>
      </c>
      <c r="C28">
        <v>66664</v>
      </c>
      <c r="D28">
        <f aca="true" t="shared" si="1" ref="D28:D34">D27+C28</f>
        <v>122024077</v>
      </c>
    </row>
    <row r="29" spans="1:4" ht="12.75">
      <c r="A29" s="349" t="s">
        <v>470</v>
      </c>
      <c r="B29" s="336">
        <v>50000</v>
      </c>
      <c r="C29">
        <v>50000</v>
      </c>
      <c r="D29">
        <f t="shared" si="1"/>
        <v>122074077</v>
      </c>
    </row>
    <row r="30" spans="1:4" ht="12.75">
      <c r="A30" s="349" t="s">
        <v>486</v>
      </c>
      <c r="B30" s="336">
        <v>64999</v>
      </c>
      <c r="C30">
        <v>64999</v>
      </c>
      <c r="D30">
        <f t="shared" si="1"/>
        <v>122139076</v>
      </c>
    </row>
    <row r="31" spans="1:4" ht="12.75">
      <c r="A31" s="349" t="s">
        <v>487</v>
      </c>
      <c r="B31" s="336">
        <v>290830</v>
      </c>
      <c r="C31">
        <v>290830</v>
      </c>
      <c r="D31">
        <f t="shared" si="1"/>
        <v>122429906</v>
      </c>
    </row>
    <row r="32" spans="1:4" ht="12.75">
      <c r="A32" s="349" t="s">
        <v>488</v>
      </c>
      <c r="B32" s="336">
        <v>5979</v>
      </c>
      <c r="D32">
        <f t="shared" si="1"/>
        <v>122429906</v>
      </c>
    </row>
    <row r="33" spans="1:4" ht="12.75">
      <c r="A33" s="349" t="s">
        <v>572</v>
      </c>
      <c r="B33" s="336">
        <v>326400</v>
      </c>
      <c r="C33">
        <v>326400</v>
      </c>
      <c r="D33">
        <f t="shared" si="1"/>
        <v>122756306</v>
      </c>
    </row>
    <row r="34" spans="1:4" ht="12.75">
      <c r="A34" s="349" t="s">
        <v>525</v>
      </c>
      <c r="B34" s="336">
        <v>14396</v>
      </c>
      <c r="C34">
        <v>14396</v>
      </c>
      <c r="D34">
        <f t="shared" si="1"/>
        <v>122770702</v>
      </c>
    </row>
    <row r="35" spans="1:4" ht="12.75">
      <c r="A35" s="349" t="s">
        <v>526</v>
      </c>
      <c r="B35" s="336">
        <v>28998</v>
      </c>
      <c r="C35">
        <v>28998</v>
      </c>
      <c r="D35">
        <f aca="true" t="shared" si="2" ref="D35:D50">D34+C35</f>
        <v>122799700</v>
      </c>
    </row>
    <row r="36" spans="1:4" ht="12.75">
      <c r="A36" s="349" t="s">
        <v>527</v>
      </c>
      <c r="B36" s="336">
        <v>268900</v>
      </c>
      <c r="C36">
        <v>268900</v>
      </c>
      <c r="D36">
        <f t="shared" si="2"/>
        <v>123068600</v>
      </c>
    </row>
    <row r="37" spans="1:4" ht="12.75">
      <c r="A37" s="349" t="s">
        <v>528</v>
      </c>
      <c r="B37" s="336">
        <v>711200</v>
      </c>
      <c r="C37">
        <v>711200</v>
      </c>
      <c r="D37">
        <f t="shared" si="2"/>
        <v>123779800</v>
      </c>
    </row>
    <row r="38" spans="1:4" ht="12.75">
      <c r="A38" t="s">
        <v>529</v>
      </c>
      <c r="B38" s="336">
        <v>12630487</v>
      </c>
      <c r="C38">
        <v>12630487</v>
      </c>
      <c r="D38">
        <f t="shared" si="2"/>
        <v>136410287</v>
      </c>
    </row>
    <row r="39" spans="1:4" ht="12.75">
      <c r="A39" t="s">
        <v>530</v>
      </c>
      <c r="B39" s="336">
        <v>40000000</v>
      </c>
      <c r="C39">
        <v>40000000</v>
      </c>
      <c r="D39">
        <f>D38+C39</f>
        <v>176410287</v>
      </c>
    </row>
    <row r="40" spans="1:4" ht="12.75">
      <c r="A40" s="349" t="s">
        <v>531</v>
      </c>
      <c r="B40" s="366">
        <v>2228909</v>
      </c>
      <c r="D40">
        <f t="shared" si="2"/>
        <v>176410287</v>
      </c>
    </row>
    <row r="41" spans="1:4" ht="12.75">
      <c r="A41" s="349" t="s">
        <v>532</v>
      </c>
      <c r="B41" s="366">
        <v>50800</v>
      </c>
      <c r="D41">
        <f t="shared" si="2"/>
        <v>176410287</v>
      </c>
    </row>
    <row r="42" spans="1:4" ht="12.75">
      <c r="A42" s="349" t="s">
        <v>533</v>
      </c>
      <c r="B42" s="366">
        <v>40000</v>
      </c>
      <c r="D42">
        <f t="shared" si="2"/>
        <v>176410287</v>
      </c>
    </row>
    <row r="43" spans="1:4" ht="12.75">
      <c r="A43" s="349" t="s">
        <v>534</v>
      </c>
      <c r="B43" s="366">
        <v>50000</v>
      </c>
      <c r="D43">
        <f t="shared" si="2"/>
        <v>176410287</v>
      </c>
    </row>
    <row r="44" spans="1:4" ht="12.75">
      <c r="A44" s="349" t="s">
        <v>535</v>
      </c>
      <c r="B44" s="366">
        <v>317500</v>
      </c>
      <c r="D44">
        <f t="shared" si="2"/>
        <v>176410287</v>
      </c>
    </row>
    <row r="45" spans="1:4" ht="12.75">
      <c r="A45" s="380" t="s">
        <v>536</v>
      </c>
      <c r="B45" s="366">
        <v>392840</v>
      </c>
      <c r="D45">
        <f t="shared" si="2"/>
        <v>176410287</v>
      </c>
    </row>
    <row r="46" spans="1:4" ht="12.75">
      <c r="A46" s="380" t="s">
        <v>537</v>
      </c>
      <c r="B46" s="366">
        <v>123482</v>
      </c>
      <c r="D46">
        <f t="shared" si="2"/>
        <v>176410287</v>
      </c>
    </row>
    <row r="47" spans="1:4" ht="12.75">
      <c r="A47" s="380" t="s">
        <v>538</v>
      </c>
      <c r="B47" s="366">
        <v>455060</v>
      </c>
      <c r="D47">
        <f t="shared" si="2"/>
        <v>176410287</v>
      </c>
    </row>
    <row r="48" spans="1:4" ht="12.75">
      <c r="A48" s="380" t="s">
        <v>539</v>
      </c>
      <c r="B48" s="366">
        <v>495519</v>
      </c>
      <c r="D48">
        <f t="shared" si="2"/>
        <v>176410287</v>
      </c>
    </row>
    <row r="49" spans="1:4" ht="12.75">
      <c r="A49" s="380" t="s">
        <v>540</v>
      </c>
      <c r="B49" s="366">
        <v>478864</v>
      </c>
      <c r="D49">
        <f t="shared" si="2"/>
        <v>176410287</v>
      </c>
    </row>
    <row r="50" spans="1:4" ht="12.75">
      <c r="A50" s="380" t="s">
        <v>541</v>
      </c>
      <c r="B50" s="336">
        <v>180996</v>
      </c>
      <c r="C50">
        <v>180996</v>
      </c>
      <c r="D50">
        <f t="shared" si="2"/>
        <v>176591283</v>
      </c>
    </row>
    <row r="51" spans="1:4" ht="12.75">
      <c r="A51" s="380" t="s">
        <v>542</v>
      </c>
      <c r="B51" s="336">
        <v>192746</v>
      </c>
      <c r="C51">
        <v>192746</v>
      </c>
      <c r="D51">
        <f>D50+C51</f>
        <v>176784029</v>
      </c>
    </row>
    <row r="52" spans="1:4" ht="12.75">
      <c r="A52" s="380" t="s">
        <v>543</v>
      </c>
      <c r="B52" s="336">
        <v>143179</v>
      </c>
      <c r="D52">
        <f>D51+C52</f>
        <v>176784029</v>
      </c>
    </row>
    <row r="53" spans="1:4" ht="12.75">
      <c r="A53" s="380" t="s">
        <v>544</v>
      </c>
      <c r="B53" s="336">
        <v>127000</v>
      </c>
      <c r="D53">
        <f>D52+C53</f>
        <v>176784029</v>
      </c>
    </row>
    <row r="54" spans="1:4" ht="12.75">
      <c r="A54" s="380" t="s">
        <v>545</v>
      </c>
      <c r="B54" s="336">
        <v>79869</v>
      </c>
      <c r="D54">
        <f>D53+C54</f>
        <v>176784029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58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2" customWidth="1"/>
    <col min="4" max="4" width="4.875" style="4" customWidth="1"/>
    <col min="5" max="5" width="16.375" style="3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406" t="s">
        <v>603</v>
      </c>
      <c r="B1" s="407"/>
      <c r="C1" s="407"/>
      <c r="D1" s="407"/>
      <c r="E1" s="407"/>
      <c r="F1" s="407"/>
    </row>
    <row r="3" spans="1:6" ht="15">
      <c r="A3" s="411" t="s">
        <v>409</v>
      </c>
      <c r="B3" s="412"/>
      <c r="C3" s="412"/>
      <c r="D3" s="412"/>
      <c r="E3" s="412"/>
      <c r="F3" s="412"/>
    </row>
    <row r="4" spans="2:6" ht="15">
      <c r="B4" s="55"/>
      <c r="C4" s="55"/>
      <c r="D4" s="55"/>
      <c r="E4" s="55"/>
      <c r="F4" s="55"/>
    </row>
    <row r="5" spans="2:6" s="29" customFormat="1" ht="15.75">
      <c r="B5" s="410"/>
      <c r="C5" s="410"/>
      <c r="D5" s="410"/>
      <c r="E5" s="410"/>
      <c r="F5" s="410"/>
    </row>
    <row r="6" spans="2:6" s="29" customFormat="1" ht="15.75">
      <c r="B6" s="409" t="s">
        <v>27</v>
      </c>
      <c r="C6" s="409"/>
      <c r="D6" s="409"/>
      <c r="E6" s="409"/>
      <c r="F6" s="409"/>
    </row>
    <row r="7" spans="2:6" ht="15.75">
      <c r="B7" s="409" t="s">
        <v>135</v>
      </c>
      <c r="C7" s="409"/>
      <c r="D7" s="409"/>
      <c r="E7" s="409"/>
      <c r="F7" s="409"/>
    </row>
    <row r="8" spans="2:6" ht="12.75" customHeight="1">
      <c r="B8" s="408" t="s">
        <v>354</v>
      </c>
      <c r="C8" s="408"/>
      <c r="D8" s="408"/>
      <c r="E8" s="408"/>
      <c r="F8" s="408"/>
    </row>
    <row r="9" spans="2:6" s="1" customFormat="1" ht="15">
      <c r="B9" s="4"/>
      <c r="C9" s="32"/>
      <c r="D9" s="4"/>
      <c r="E9" s="28"/>
      <c r="F9" s="4"/>
    </row>
    <row r="10" spans="1:5" s="1" customFormat="1" ht="18.75">
      <c r="A10" s="238" t="s">
        <v>30</v>
      </c>
      <c r="B10" s="72" t="s">
        <v>136</v>
      </c>
      <c r="C10" s="33"/>
      <c r="E10" s="73"/>
    </row>
    <row r="11" spans="1:6" ht="15.75">
      <c r="A11" s="238" t="s">
        <v>376</v>
      </c>
      <c r="B11" s="7" t="s">
        <v>137</v>
      </c>
      <c r="C11" s="33"/>
      <c r="D11" s="1"/>
      <c r="E11" s="74">
        <f>C12+C13</f>
        <v>38676614</v>
      </c>
      <c r="F11" s="1" t="s">
        <v>355</v>
      </c>
    </row>
    <row r="12" spans="1:8" ht="15.75">
      <c r="A12" s="238" t="s">
        <v>377</v>
      </c>
      <c r="B12" s="75" t="s">
        <v>138</v>
      </c>
      <c r="C12" s="32">
        <f>'2.mell - bevétel'!H61</f>
        <v>36624556</v>
      </c>
      <c r="D12" s="4" t="s">
        <v>5</v>
      </c>
      <c r="E12" s="28"/>
      <c r="H12" s="50"/>
    </row>
    <row r="13" spans="1:6" s="1" customFormat="1" ht="33.75" customHeight="1">
      <c r="A13" s="238" t="s">
        <v>378</v>
      </c>
      <c r="B13" s="75" t="s">
        <v>139</v>
      </c>
      <c r="C13" s="32">
        <f>'2.mell - bevétel'!H69</f>
        <v>2052058</v>
      </c>
      <c r="D13" s="4" t="s">
        <v>5</v>
      </c>
      <c r="E13" s="28"/>
      <c r="F13" s="4"/>
    </row>
    <row r="14" spans="1:5" s="1" customFormat="1" ht="15.75">
      <c r="A14" s="238"/>
      <c r="B14" s="7"/>
      <c r="C14" s="33"/>
      <c r="E14" s="74"/>
    </row>
    <row r="15" spans="1:6" s="1" customFormat="1" ht="15.75">
      <c r="A15" s="238" t="s">
        <v>379</v>
      </c>
      <c r="B15" s="7" t="s">
        <v>140</v>
      </c>
      <c r="C15" s="33"/>
      <c r="E15" s="74">
        <f>'2.mell - bevétel'!H76</f>
        <v>52695486</v>
      </c>
      <c r="F15" s="1" t="s">
        <v>355</v>
      </c>
    </row>
    <row r="16" spans="1:6" s="1" customFormat="1" ht="15.75">
      <c r="A16" s="238" t="s">
        <v>380</v>
      </c>
      <c r="B16" s="7" t="s">
        <v>93</v>
      </c>
      <c r="C16" s="33"/>
      <c r="E16" s="74">
        <f>'2.mell - bevétel'!G93</f>
        <v>7813000</v>
      </c>
      <c r="F16" s="1" t="s">
        <v>355</v>
      </c>
    </row>
    <row r="17" spans="1:6" s="1" customFormat="1" ht="15.75">
      <c r="A17" s="238" t="s">
        <v>381</v>
      </c>
      <c r="B17" s="7" t="s">
        <v>43</v>
      </c>
      <c r="C17" s="33"/>
      <c r="E17" s="74">
        <f>'2.mell - bevétel'!H116</f>
        <v>15503474</v>
      </c>
      <c r="F17" s="1" t="s">
        <v>355</v>
      </c>
    </row>
    <row r="18" spans="1:6" s="1" customFormat="1" ht="15.75">
      <c r="A18" s="238" t="s">
        <v>382</v>
      </c>
      <c r="B18" s="7" t="s">
        <v>141</v>
      </c>
      <c r="C18" s="33"/>
      <c r="E18" s="74">
        <v>0</v>
      </c>
      <c r="F18" s="1" t="s">
        <v>355</v>
      </c>
    </row>
    <row r="19" spans="1:5" s="1" customFormat="1" ht="10.5" customHeight="1">
      <c r="A19" s="238"/>
      <c r="B19" s="8"/>
      <c r="C19" s="33"/>
      <c r="E19" s="74"/>
    </row>
    <row r="20" spans="1:6" s="1" customFormat="1" ht="15.75">
      <c r="A20" s="238" t="s">
        <v>383</v>
      </c>
      <c r="B20" s="7" t="s">
        <v>142</v>
      </c>
      <c r="E20" s="74">
        <f>C21+C22</f>
        <v>0</v>
      </c>
      <c r="F20" s="1" t="s">
        <v>355</v>
      </c>
    </row>
    <row r="21" spans="1:8" s="6" customFormat="1" ht="32.25">
      <c r="A21" s="239" t="s">
        <v>384</v>
      </c>
      <c r="B21" s="75" t="s">
        <v>143</v>
      </c>
      <c r="C21" s="34">
        <v>0</v>
      </c>
      <c r="D21" s="1" t="s">
        <v>5</v>
      </c>
      <c r="E21" s="74"/>
      <c r="F21" s="1"/>
      <c r="G21" s="1"/>
      <c r="H21" s="51"/>
    </row>
    <row r="22" spans="1:8" ht="18.75">
      <c r="A22" s="238"/>
      <c r="B22" s="29" t="s">
        <v>144</v>
      </c>
      <c r="C22" s="33">
        <v>0</v>
      </c>
      <c r="D22" s="1" t="s">
        <v>5</v>
      </c>
      <c r="E22" s="74"/>
      <c r="F22" s="1"/>
      <c r="G22" s="6"/>
      <c r="H22" s="52"/>
    </row>
    <row r="23" spans="1:8" s="1" customFormat="1" ht="15" customHeight="1">
      <c r="A23" s="238"/>
      <c r="B23" s="42"/>
      <c r="C23" s="32"/>
      <c r="D23" s="4"/>
      <c r="E23" s="76"/>
      <c r="F23" s="6"/>
      <c r="H23" s="53"/>
    </row>
    <row r="24" spans="1:6" s="1" customFormat="1" ht="15.75">
      <c r="A24" s="238" t="s">
        <v>385</v>
      </c>
      <c r="B24" s="7" t="s">
        <v>121</v>
      </c>
      <c r="C24" s="33"/>
      <c r="E24" s="74">
        <f>C25+C26</f>
        <v>61800</v>
      </c>
      <c r="F24" s="1" t="s">
        <v>355</v>
      </c>
    </row>
    <row r="25" spans="1:5" s="1" customFormat="1" ht="31.5">
      <c r="A25" s="238" t="s">
        <v>386</v>
      </c>
      <c r="B25" s="75" t="s">
        <v>145</v>
      </c>
      <c r="C25" s="33">
        <f>'2.mell - bevétel'!H121</f>
        <v>61800</v>
      </c>
      <c r="D25" s="1" t="s">
        <v>5</v>
      </c>
      <c r="E25" s="74"/>
    </row>
    <row r="26" spans="1:5" s="1" customFormat="1" ht="15.75">
      <c r="A26" s="238" t="s">
        <v>387</v>
      </c>
      <c r="B26" s="29" t="s">
        <v>146</v>
      </c>
      <c r="C26" s="33">
        <v>0</v>
      </c>
      <c r="D26" s="1" t="s">
        <v>5</v>
      </c>
      <c r="E26" s="74"/>
    </row>
    <row r="27" spans="1:6" s="1" customFormat="1" ht="15.75">
      <c r="A27" s="238" t="s">
        <v>20</v>
      </c>
      <c r="B27" s="7" t="s">
        <v>32</v>
      </c>
      <c r="E27" s="77">
        <f>SUM(E11:E26)</f>
        <v>114750374</v>
      </c>
      <c r="F27" s="1" t="s">
        <v>355</v>
      </c>
    </row>
    <row r="28" spans="1:5" s="1" customFormat="1" ht="15.75">
      <c r="A28" s="238"/>
      <c r="B28" s="29"/>
      <c r="E28" s="73"/>
    </row>
    <row r="29" spans="1:5" s="1" customFormat="1" ht="18.75">
      <c r="A29" s="238" t="s">
        <v>31</v>
      </c>
      <c r="B29" s="72" t="s">
        <v>147</v>
      </c>
      <c r="E29" s="73"/>
    </row>
    <row r="30" spans="1:6" s="1" customFormat="1" ht="15.75">
      <c r="A30" s="238" t="s">
        <v>388</v>
      </c>
      <c r="B30" s="9" t="s">
        <v>11</v>
      </c>
      <c r="C30" s="33"/>
      <c r="E30" s="74">
        <f>C32+C33+C34+C35+C36+C37</f>
        <v>106920027</v>
      </c>
      <c r="F30" s="1" t="s">
        <v>355</v>
      </c>
    </row>
    <row r="31" spans="1:5" s="1" customFormat="1" ht="15.75">
      <c r="A31" s="238"/>
      <c r="B31" s="8" t="s">
        <v>10</v>
      </c>
      <c r="C31" s="33"/>
      <c r="E31" s="74"/>
    </row>
    <row r="32" spans="1:5" s="1" customFormat="1" ht="15.75">
      <c r="A32" s="238" t="s">
        <v>389</v>
      </c>
      <c r="B32" s="29" t="s">
        <v>148</v>
      </c>
      <c r="C32" s="33">
        <f>'4.mell. - kiadás'!E48</f>
        <v>23250139</v>
      </c>
      <c r="D32" s="1" t="s">
        <v>355</v>
      </c>
      <c r="E32" s="74"/>
    </row>
    <row r="33" spans="1:5" s="1" customFormat="1" ht="15.75">
      <c r="A33" s="238" t="s">
        <v>390</v>
      </c>
      <c r="B33" s="29" t="s">
        <v>149</v>
      </c>
      <c r="C33" s="33">
        <f>'4.mell. - kiadás'!F48</f>
        <v>5216303</v>
      </c>
      <c r="D33" s="1" t="s">
        <v>355</v>
      </c>
      <c r="E33" s="74"/>
    </row>
    <row r="34" spans="1:5" s="1" customFormat="1" ht="15.75">
      <c r="A34" s="238" t="s">
        <v>391</v>
      </c>
      <c r="B34" s="29" t="s">
        <v>150</v>
      </c>
      <c r="C34" s="33">
        <f>'4.mell. - kiadás'!G48</f>
        <v>31437209</v>
      </c>
      <c r="D34" s="1" t="s">
        <v>355</v>
      </c>
      <c r="E34" s="74"/>
    </row>
    <row r="35" spans="1:5" s="1" customFormat="1" ht="15.75">
      <c r="A35" s="238" t="s">
        <v>392</v>
      </c>
      <c r="B35" s="78" t="s">
        <v>151</v>
      </c>
      <c r="C35" s="33">
        <f>'4.mell. - kiadás'!H42</f>
        <v>2911400</v>
      </c>
      <c r="D35" s="1" t="s">
        <v>355</v>
      </c>
      <c r="E35" s="74"/>
    </row>
    <row r="36" spans="1:5" s="1" customFormat="1" ht="15.75">
      <c r="A36" s="238" t="s">
        <v>399</v>
      </c>
      <c r="B36" s="29" t="s">
        <v>57</v>
      </c>
      <c r="C36" s="33">
        <f>'4.mell. - kiadás'!I42-C37</f>
        <v>2033800</v>
      </c>
      <c r="D36" s="1" t="s">
        <v>355</v>
      </c>
      <c r="E36" s="74"/>
    </row>
    <row r="37" spans="1:5" s="1" customFormat="1" ht="15.75">
      <c r="A37" s="238" t="s">
        <v>408</v>
      </c>
      <c r="B37" s="29" t="s">
        <v>407</v>
      </c>
      <c r="C37" s="34">
        <f>'11.mell.tartalék'!B14</f>
        <v>42071176</v>
      </c>
      <c r="D37" s="1" t="s">
        <v>1</v>
      </c>
      <c r="E37" s="74"/>
    </row>
    <row r="38" spans="1:6" s="1" customFormat="1" ht="15.75">
      <c r="A38" s="238" t="s">
        <v>393</v>
      </c>
      <c r="B38" s="9" t="s">
        <v>12</v>
      </c>
      <c r="C38" s="33"/>
      <c r="E38" s="79">
        <f>C40+C41+C42</f>
        <v>68742793</v>
      </c>
      <c r="F38" s="1" t="s">
        <v>355</v>
      </c>
    </row>
    <row r="39" spans="1:5" s="1" customFormat="1" ht="15.75">
      <c r="A39" s="238"/>
      <c r="B39" s="8" t="s">
        <v>10</v>
      </c>
      <c r="C39" s="33"/>
      <c r="E39" s="74"/>
    </row>
    <row r="40" spans="1:5" s="1" customFormat="1" ht="15.75">
      <c r="A40" s="238" t="s">
        <v>400</v>
      </c>
      <c r="B40" s="29" t="s">
        <v>152</v>
      </c>
      <c r="C40" s="34">
        <f>'4.mell. - kiadás'!K48</f>
        <v>2563397</v>
      </c>
      <c r="D40" s="1" t="s">
        <v>355</v>
      </c>
      <c r="E40" s="74"/>
    </row>
    <row r="41" spans="1:5" s="1" customFormat="1" ht="15.75">
      <c r="A41" s="238" t="s">
        <v>394</v>
      </c>
      <c r="B41" s="29" t="s">
        <v>153</v>
      </c>
      <c r="C41" s="34">
        <f>'4.mell. - kiadás'!L48</f>
        <v>64979396</v>
      </c>
      <c r="D41" s="1" t="s">
        <v>355</v>
      </c>
      <c r="E41" s="74"/>
    </row>
    <row r="42" spans="1:7" ht="15.75">
      <c r="A42" s="238" t="s">
        <v>395</v>
      </c>
      <c r="B42" s="29" t="s">
        <v>58</v>
      </c>
      <c r="C42" s="34">
        <f>'4.mell. - kiadás'!M48</f>
        <v>1200000</v>
      </c>
      <c r="D42" s="1" t="s">
        <v>355</v>
      </c>
      <c r="E42" s="74"/>
      <c r="F42" s="1"/>
      <c r="G42" s="1"/>
    </row>
    <row r="43" s="1" customFormat="1" ht="7.5" customHeight="1">
      <c r="E43" s="74"/>
    </row>
    <row r="44" spans="1:6" s="1" customFormat="1" ht="15.75">
      <c r="A44" s="238" t="s">
        <v>79</v>
      </c>
      <c r="B44" s="17" t="s">
        <v>154</v>
      </c>
      <c r="C44" s="34"/>
      <c r="E44" s="74">
        <f>C45+C46+C47</f>
        <v>1121209</v>
      </c>
      <c r="F44" s="1" t="s">
        <v>355</v>
      </c>
    </row>
    <row r="45" spans="1:5" s="1" customFormat="1" ht="15.75">
      <c r="A45" s="238" t="s">
        <v>396</v>
      </c>
      <c r="B45" s="29" t="s">
        <v>155</v>
      </c>
      <c r="C45" s="33"/>
      <c r="D45" s="1" t="s">
        <v>355</v>
      </c>
      <c r="E45" s="74"/>
    </row>
    <row r="46" spans="1:7" s="6" customFormat="1" ht="18.75">
      <c r="A46" s="240" t="s">
        <v>397</v>
      </c>
      <c r="B46" s="29" t="s">
        <v>156</v>
      </c>
      <c r="C46" s="33"/>
      <c r="D46" s="1" t="s">
        <v>355</v>
      </c>
      <c r="E46" s="74"/>
      <c r="F46" s="1"/>
      <c r="G46" s="4"/>
    </row>
    <row r="47" spans="1:7" ht="15.75">
      <c r="A47" s="238" t="s">
        <v>398</v>
      </c>
      <c r="B47" s="29" t="s">
        <v>347</v>
      </c>
      <c r="C47" s="34">
        <f>'4.mell. - kiadás'!O48</f>
        <v>1121209</v>
      </c>
      <c r="D47" s="1" t="s">
        <v>355</v>
      </c>
      <c r="E47" s="74"/>
      <c r="F47" s="1"/>
      <c r="G47" s="1"/>
    </row>
    <row r="48" spans="1:7" ht="15.75">
      <c r="A48" s="238" t="s">
        <v>80</v>
      </c>
      <c r="B48" s="7" t="s">
        <v>35</v>
      </c>
      <c r="C48" s="34"/>
      <c r="D48" s="1"/>
      <c r="E48" s="28">
        <f>SUM(E30:E47)</f>
        <v>176784029</v>
      </c>
      <c r="F48" s="4" t="s">
        <v>355</v>
      </c>
      <c r="G48" s="1"/>
    </row>
    <row r="49" spans="1:7" ht="15.75">
      <c r="A49" s="238"/>
      <c r="B49" s="29"/>
      <c r="C49" s="33"/>
      <c r="D49" s="1"/>
      <c r="E49" s="79"/>
      <c r="F49" s="1"/>
      <c r="G49" s="1"/>
    </row>
    <row r="50" spans="1:7" ht="18.75">
      <c r="A50" s="238" t="s">
        <v>86</v>
      </c>
      <c r="B50" s="7" t="s">
        <v>36</v>
      </c>
      <c r="C50" s="33"/>
      <c r="D50" s="1"/>
      <c r="E50" s="28">
        <f>E27-E48</f>
        <v>-62033655</v>
      </c>
      <c r="F50" s="4" t="s">
        <v>355</v>
      </c>
      <c r="G50" s="6"/>
    </row>
    <row r="51" spans="1:5" ht="15.75">
      <c r="A51" s="238"/>
      <c r="B51" s="29"/>
      <c r="C51" s="33"/>
      <c r="D51" s="1"/>
      <c r="E51" s="28"/>
    </row>
    <row r="52" spans="1:6" ht="32.25">
      <c r="A52" s="238" t="s">
        <v>222</v>
      </c>
      <c r="B52" s="67" t="s">
        <v>477</v>
      </c>
      <c r="C52" s="35"/>
      <c r="D52" s="6"/>
      <c r="E52" s="28">
        <f>'2.mell - bevétel'!H127</f>
        <v>50912446</v>
      </c>
      <c r="F52" s="4" t="s">
        <v>355</v>
      </c>
    </row>
    <row r="53" spans="1:5" ht="48">
      <c r="A53" s="238" t="s">
        <v>224</v>
      </c>
      <c r="B53" s="67" t="s">
        <v>375</v>
      </c>
      <c r="C53" s="35"/>
      <c r="D53" s="6"/>
      <c r="E53" s="28">
        <v>10000000</v>
      </c>
    </row>
    <row r="54" spans="1:7" s="1" customFormat="1" ht="15.75">
      <c r="A54" s="238" t="s">
        <v>226</v>
      </c>
      <c r="B54" s="20" t="s">
        <v>362</v>
      </c>
      <c r="C54" s="32"/>
      <c r="D54" s="4"/>
      <c r="E54" s="28">
        <f>'2.mell - bevétel'!H129</f>
        <v>1121209</v>
      </c>
      <c r="F54" s="4"/>
      <c r="G54" s="4"/>
    </row>
    <row r="55" spans="1:6" ht="15.75">
      <c r="A55" s="241" t="s">
        <v>233</v>
      </c>
      <c r="B55" s="7" t="s">
        <v>402</v>
      </c>
      <c r="E55" s="28">
        <f>E50+E52+E53+E54</f>
        <v>0</v>
      </c>
      <c r="F55" s="4" t="s">
        <v>355</v>
      </c>
    </row>
    <row r="56" spans="2:5" s="1" customFormat="1" ht="10.5" customHeight="1">
      <c r="B56" s="5"/>
      <c r="C56" s="33"/>
      <c r="E56" s="23"/>
    </row>
    <row r="57" spans="2:6" ht="15.75">
      <c r="B57" s="5"/>
      <c r="C57" s="33"/>
      <c r="D57" s="1"/>
      <c r="E57" s="23"/>
      <c r="F57" s="7"/>
    </row>
    <row r="58" spans="2:6" ht="15.75">
      <c r="B58" s="7"/>
      <c r="E58" s="24"/>
      <c r="F58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K167"/>
  <sheetViews>
    <sheetView view="pageBreakPreview" zoomScale="60" zoomScalePageLayoutView="0" workbookViewId="0" topLeftCell="A1">
      <selection activeCell="P12" sqref="P12"/>
    </sheetView>
  </sheetViews>
  <sheetFormatPr defaultColWidth="9.00390625" defaultRowHeight="12.75"/>
  <cols>
    <col min="1" max="1" width="4.25390625" style="41" customWidth="1"/>
    <col min="2" max="5" width="3.125" style="4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06"/>
      <c r="B1" s="406"/>
      <c r="C1" s="406"/>
      <c r="D1" s="406"/>
      <c r="E1" s="406"/>
      <c r="F1" s="406"/>
      <c r="G1" s="406"/>
      <c r="H1" s="406"/>
      <c r="I1" s="406"/>
    </row>
    <row r="2" spans="1:9" ht="15.75">
      <c r="A2" s="360"/>
      <c r="B2" s="360"/>
      <c r="C2" s="360"/>
      <c r="D2" s="360"/>
      <c r="E2" s="360"/>
      <c r="F2" s="360"/>
      <c r="G2" s="360"/>
      <c r="H2" s="360"/>
      <c r="I2" s="360"/>
    </row>
    <row r="3" spans="1:9" ht="15.75">
      <c r="A3" s="406" t="s">
        <v>604</v>
      </c>
      <c r="B3" s="406"/>
      <c r="C3" s="406"/>
      <c r="D3" s="406"/>
      <c r="E3" s="406"/>
      <c r="F3" s="406"/>
      <c r="G3" s="406"/>
      <c r="H3" s="406"/>
      <c r="I3" s="406"/>
    </row>
    <row r="4" spans="1:9" ht="15.75">
      <c r="A4" s="411" t="s">
        <v>410</v>
      </c>
      <c r="B4" s="411"/>
      <c r="C4" s="411"/>
      <c r="D4" s="411"/>
      <c r="E4" s="411"/>
      <c r="F4" s="411"/>
      <c r="G4" s="411"/>
      <c r="H4" s="411"/>
      <c r="I4" s="411"/>
    </row>
    <row r="5" spans="1:9" ht="15.75">
      <c r="A5" s="361"/>
      <c r="B5" s="361"/>
      <c r="C5" s="361"/>
      <c r="D5" s="361"/>
      <c r="E5" s="361"/>
      <c r="F5" s="361"/>
      <c r="G5" s="361"/>
      <c r="H5" s="361"/>
      <c r="I5" s="361"/>
    </row>
    <row r="6" spans="1:9" s="9" customFormat="1" ht="15.75">
      <c r="A6" s="416" t="s">
        <v>4</v>
      </c>
      <c r="B6" s="416"/>
      <c r="C6" s="416"/>
      <c r="D6" s="416"/>
      <c r="E6" s="416"/>
      <c r="F6" s="416"/>
      <c r="G6" s="416"/>
      <c r="H6" s="416"/>
      <c r="I6" s="416"/>
    </row>
    <row r="7" spans="1:9" s="9" customFormat="1" ht="15.75">
      <c r="A7" s="416" t="s">
        <v>26</v>
      </c>
      <c r="B7" s="416"/>
      <c r="C7" s="416"/>
      <c r="D7" s="416"/>
      <c r="E7" s="416"/>
      <c r="F7" s="416"/>
      <c r="G7" s="416"/>
      <c r="H7" s="416"/>
      <c r="I7" s="416"/>
    </row>
    <row r="8" spans="1:9" ht="15.75">
      <c r="A8" s="416" t="s">
        <v>349</v>
      </c>
      <c r="B8" s="416"/>
      <c r="C8" s="416"/>
      <c r="D8" s="416"/>
      <c r="E8" s="416"/>
      <c r="F8" s="416"/>
      <c r="G8" s="416"/>
      <c r="H8" s="416"/>
      <c r="I8" s="416"/>
    </row>
    <row r="9" ht="15.75" hidden="1"/>
    <row r="10" spans="1:9" ht="15.75">
      <c r="A10" s="420"/>
      <c r="B10" s="420"/>
      <c r="C10" s="420"/>
      <c r="D10" s="420"/>
      <c r="E10" s="420"/>
      <c r="F10" s="420"/>
      <c r="G10" s="420"/>
      <c r="H10" s="420"/>
      <c r="I10" s="420"/>
    </row>
    <row r="11" spans="8:9" ht="16.5" thickBot="1">
      <c r="H11" s="43"/>
      <c r="I11" s="44" t="s">
        <v>350</v>
      </c>
    </row>
    <row r="12" spans="1:9" ht="15.75">
      <c r="A12" s="421" t="s">
        <v>15</v>
      </c>
      <c r="B12" s="422"/>
      <c r="C12" s="422"/>
      <c r="D12" s="422"/>
      <c r="E12" s="422"/>
      <c r="F12" s="423"/>
      <c r="G12" s="45" t="s">
        <v>13</v>
      </c>
      <c r="H12" s="45" t="s">
        <v>13</v>
      </c>
      <c r="I12" s="45" t="s">
        <v>14</v>
      </c>
    </row>
    <row r="13" spans="1:9" ht="15.75">
      <c r="A13" s="424"/>
      <c r="B13" s="425"/>
      <c r="C13" s="425"/>
      <c r="D13" s="425"/>
      <c r="E13" s="425"/>
      <c r="F13" s="426"/>
      <c r="G13" s="46" t="s">
        <v>8</v>
      </c>
      <c r="H13" s="46" t="s">
        <v>8</v>
      </c>
      <c r="I13" s="46"/>
    </row>
    <row r="14" spans="1:9" ht="16.5" thickBot="1">
      <c r="A14" s="427"/>
      <c r="B14" s="428"/>
      <c r="C14" s="428"/>
      <c r="D14" s="428"/>
      <c r="E14" s="428"/>
      <c r="F14" s="429"/>
      <c r="G14" s="47" t="s">
        <v>331</v>
      </c>
      <c r="H14" s="47" t="s">
        <v>349</v>
      </c>
      <c r="I14" s="47" t="s">
        <v>16</v>
      </c>
    </row>
    <row r="15" spans="1:9" ht="6.75" customHeight="1">
      <c r="A15" s="192"/>
      <c r="B15" s="192"/>
      <c r="C15" s="192"/>
      <c r="D15" s="192"/>
      <c r="E15" s="192"/>
      <c r="F15" s="192"/>
      <c r="G15" s="192"/>
      <c r="H15" s="192"/>
      <c r="I15" s="192"/>
    </row>
    <row r="16" spans="1:9" ht="15.75">
      <c r="A16" s="17" t="s">
        <v>37</v>
      </c>
      <c r="B16" s="413" t="s">
        <v>61</v>
      </c>
      <c r="C16" s="413"/>
      <c r="D16" s="413"/>
      <c r="E16" s="413"/>
      <c r="F16" s="413"/>
      <c r="G16" s="57"/>
      <c r="H16" s="58"/>
      <c r="I16" s="57"/>
    </row>
    <row r="17" spans="1:9" ht="15.75">
      <c r="A17" s="17"/>
      <c r="B17" s="17" t="s">
        <v>37</v>
      </c>
      <c r="C17" s="17" t="s">
        <v>62</v>
      </c>
      <c r="D17" s="17"/>
      <c r="E17" s="17"/>
      <c r="F17" s="17"/>
      <c r="G17" s="26"/>
      <c r="H17" s="26"/>
      <c r="I17" s="17"/>
    </row>
    <row r="18" spans="1:9" ht="18" customHeight="1">
      <c r="A18" s="17"/>
      <c r="B18" s="17"/>
      <c r="C18" s="17" t="s">
        <v>30</v>
      </c>
      <c r="D18" s="413" t="s">
        <v>63</v>
      </c>
      <c r="E18" s="413"/>
      <c r="F18" s="413"/>
      <c r="G18" s="58"/>
      <c r="H18" s="58"/>
      <c r="I18" s="57"/>
    </row>
    <row r="19" spans="1:9" ht="21.75" customHeight="1">
      <c r="A19" s="17"/>
      <c r="B19" s="17"/>
      <c r="C19" s="17"/>
      <c r="D19" s="17" t="s">
        <v>30</v>
      </c>
      <c r="E19" s="413" t="s">
        <v>64</v>
      </c>
      <c r="F19" s="413"/>
      <c r="G19" s="58"/>
      <c r="H19" s="58"/>
      <c r="I19" s="57"/>
    </row>
    <row r="20" spans="1:9" ht="15.75">
      <c r="A20" s="20"/>
      <c r="B20" s="20"/>
      <c r="C20" s="20"/>
      <c r="D20" s="20"/>
      <c r="E20" s="20" t="s">
        <v>44</v>
      </c>
      <c r="F20" s="20" t="s">
        <v>38</v>
      </c>
      <c r="G20" s="25"/>
      <c r="H20" s="25"/>
      <c r="I20" s="59"/>
    </row>
    <row r="21" spans="1:9" ht="20.25" customHeight="1">
      <c r="A21" s="20"/>
      <c r="B21" s="20"/>
      <c r="C21" s="20"/>
      <c r="D21" s="20"/>
      <c r="E21" s="20"/>
      <c r="F21" s="20" t="s">
        <v>65</v>
      </c>
      <c r="G21" s="25"/>
      <c r="I21" s="59"/>
    </row>
    <row r="22" spans="1:9" ht="31.5" customHeight="1">
      <c r="A22" s="20"/>
      <c r="B22" s="20"/>
      <c r="C22" s="20"/>
      <c r="D22" s="20"/>
      <c r="E22" s="20" t="s">
        <v>45</v>
      </c>
      <c r="F22" s="60" t="s">
        <v>39</v>
      </c>
      <c r="G22" s="61"/>
      <c r="I22" s="59"/>
    </row>
    <row r="23" spans="1:9" ht="36.75" customHeight="1">
      <c r="A23" s="20"/>
      <c r="B23" s="20"/>
      <c r="C23" s="20"/>
      <c r="D23" s="20"/>
      <c r="E23" s="20" t="s">
        <v>66</v>
      </c>
      <c r="F23" s="60" t="s">
        <v>67</v>
      </c>
      <c r="G23" s="203">
        <f>2553*1000</f>
        <v>2553000</v>
      </c>
      <c r="H23" s="203">
        <v>2553350</v>
      </c>
      <c r="I23" s="59">
        <f>H23/G23*100</f>
        <v>100.01370936153545</v>
      </c>
    </row>
    <row r="24" spans="1:9" ht="15.75">
      <c r="A24" s="20"/>
      <c r="B24" s="20"/>
      <c r="C24" s="20"/>
      <c r="D24" s="20"/>
      <c r="E24" s="20"/>
      <c r="F24" s="20" t="s">
        <v>65</v>
      </c>
      <c r="G24" s="203"/>
      <c r="H24" s="203"/>
      <c r="I24" s="59"/>
    </row>
    <row r="25" spans="1:9" ht="15.75">
      <c r="A25" s="20"/>
      <c r="B25" s="20"/>
      <c r="C25" s="20"/>
      <c r="D25" s="20"/>
      <c r="E25" s="20" t="s">
        <v>68</v>
      </c>
      <c r="F25" s="60" t="s">
        <v>69</v>
      </c>
      <c r="G25" s="203">
        <v>3648000</v>
      </c>
      <c r="H25" s="203">
        <v>3040000</v>
      </c>
      <c r="I25" s="59">
        <f>H25/G25*100</f>
        <v>83.33333333333334</v>
      </c>
    </row>
    <row r="26" spans="1:9" ht="15.75">
      <c r="A26" s="20"/>
      <c r="B26" s="20"/>
      <c r="C26" s="20"/>
      <c r="D26" s="20"/>
      <c r="E26" s="20"/>
      <c r="F26" s="20" t="s">
        <v>65</v>
      </c>
      <c r="G26" s="203"/>
      <c r="H26" s="203"/>
      <c r="I26" s="59"/>
    </row>
    <row r="27" spans="1:9" ht="23.25" customHeight="1">
      <c r="A27" s="20"/>
      <c r="B27" s="20"/>
      <c r="C27" s="20"/>
      <c r="D27" s="20"/>
      <c r="E27" s="20" t="s">
        <v>70</v>
      </c>
      <c r="F27" s="60" t="s">
        <v>71</v>
      </c>
      <c r="G27" s="203">
        <v>100000</v>
      </c>
      <c r="H27" s="203">
        <v>100000</v>
      </c>
      <c r="I27" s="59">
        <f>H27/G27*100</f>
        <v>100</v>
      </c>
    </row>
    <row r="28" spans="1:9" ht="15.75">
      <c r="A28" s="20"/>
      <c r="B28" s="20"/>
      <c r="C28" s="20"/>
      <c r="D28" s="20"/>
      <c r="E28" s="20"/>
      <c r="F28" s="20" t="s">
        <v>65</v>
      </c>
      <c r="G28" s="203"/>
      <c r="H28" s="203"/>
      <c r="I28" s="59"/>
    </row>
    <row r="29" spans="1:9" ht="15.75">
      <c r="A29" s="20"/>
      <c r="B29" s="20"/>
      <c r="C29" s="20"/>
      <c r="D29" s="20"/>
      <c r="E29" s="20" t="s">
        <v>72</v>
      </c>
      <c r="F29" s="60" t="s">
        <v>73</v>
      </c>
      <c r="G29" s="203">
        <v>7507000</v>
      </c>
      <c r="H29" s="203">
        <v>7506890</v>
      </c>
      <c r="I29" s="59">
        <f>H29/G29*100</f>
        <v>99.99853470094578</v>
      </c>
    </row>
    <row r="30" spans="1:9" s="30" customFormat="1" ht="15.75">
      <c r="A30" s="20"/>
      <c r="B30" s="20"/>
      <c r="C30" s="20"/>
      <c r="D30" s="20"/>
      <c r="E30" s="20"/>
      <c r="F30" s="20" t="s">
        <v>65</v>
      </c>
      <c r="G30" s="204"/>
      <c r="H30" s="204"/>
      <c r="I30" s="59"/>
    </row>
    <row r="31" spans="1:9" ht="15.75">
      <c r="A31" s="20"/>
      <c r="B31" s="20"/>
      <c r="C31" s="20"/>
      <c r="D31" s="20" t="s">
        <v>46</v>
      </c>
      <c r="E31" s="20" t="s">
        <v>74</v>
      </c>
      <c r="F31" s="20"/>
      <c r="G31" s="203">
        <v>5000000</v>
      </c>
      <c r="H31" s="203">
        <v>5000000</v>
      </c>
      <c r="I31" s="59">
        <f>H31/G31*100</f>
        <v>100</v>
      </c>
    </row>
    <row r="32" spans="1:9" ht="15.75">
      <c r="A32" s="20"/>
      <c r="B32" s="20"/>
      <c r="C32" s="20"/>
      <c r="D32" s="20"/>
      <c r="E32" s="20"/>
      <c r="F32" s="20" t="s">
        <v>65</v>
      </c>
      <c r="G32" s="203">
        <v>-267000</v>
      </c>
      <c r="H32" s="203"/>
      <c r="I32" s="59"/>
    </row>
    <row r="33" spans="1:9" ht="15.75">
      <c r="A33" s="20"/>
      <c r="B33" s="20"/>
      <c r="C33" s="20"/>
      <c r="D33" s="20"/>
      <c r="E33" s="20" t="s">
        <v>352</v>
      </c>
      <c r="F33" s="20"/>
      <c r="G33" s="203"/>
      <c r="H33" s="203">
        <v>3331195</v>
      </c>
      <c r="I33" s="59"/>
    </row>
    <row r="34" spans="1:9" ht="15.75">
      <c r="A34" s="20"/>
      <c r="B34" s="20"/>
      <c r="C34" s="20"/>
      <c r="D34" s="20" t="s">
        <v>47</v>
      </c>
      <c r="E34" s="20" t="s">
        <v>130</v>
      </c>
      <c r="F34" s="20"/>
      <c r="G34" s="203">
        <v>20000</v>
      </c>
      <c r="H34" s="203">
        <v>20400</v>
      </c>
      <c r="I34" s="59">
        <f>H34/G34*100</f>
        <v>102</v>
      </c>
    </row>
    <row r="35" spans="1:9" ht="15.75">
      <c r="A35" s="20"/>
      <c r="B35" s="20"/>
      <c r="C35" s="20"/>
      <c r="D35" s="20" t="s">
        <v>131</v>
      </c>
      <c r="E35" s="20" t="s">
        <v>87</v>
      </c>
      <c r="F35" s="20"/>
      <c r="G35" s="203">
        <v>207000</v>
      </c>
      <c r="H35" s="203">
        <v>286000</v>
      </c>
      <c r="I35" s="59">
        <f>H35/G35*100</f>
        <v>138.16425120772945</v>
      </c>
    </row>
    <row r="36" spans="1:9" ht="15.75">
      <c r="A36" s="20"/>
      <c r="B36" s="20"/>
      <c r="C36" s="20" t="s">
        <v>20</v>
      </c>
      <c r="D36" s="414" t="s">
        <v>75</v>
      </c>
      <c r="E36" s="414"/>
      <c r="F36" s="414"/>
      <c r="G36" s="203">
        <v>3000</v>
      </c>
      <c r="H36" s="203">
        <v>3000</v>
      </c>
      <c r="I36" s="59">
        <f>H36/G36*100</f>
        <v>100</v>
      </c>
    </row>
    <row r="37" spans="1:9" ht="15.75">
      <c r="A37" s="20"/>
      <c r="B37" s="20"/>
      <c r="C37" s="20" t="s">
        <v>80</v>
      </c>
      <c r="D37" s="20" t="s">
        <v>351</v>
      </c>
      <c r="E37" s="20"/>
      <c r="F37" s="20"/>
      <c r="G37" s="203">
        <v>34000</v>
      </c>
      <c r="H37" s="203">
        <v>11938</v>
      </c>
      <c r="I37" s="59">
        <f>H37/G37*100</f>
        <v>35.11176470588235</v>
      </c>
    </row>
    <row r="38" spans="1:9" ht="15.75">
      <c r="A38" s="20"/>
      <c r="B38" s="20"/>
      <c r="C38" s="20" t="s">
        <v>491</v>
      </c>
      <c r="D38" s="20" t="s">
        <v>523</v>
      </c>
      <c r="E38" s="20"/>
      <c r="F38" s="20"/>
      <c r="G38" s="203"/>
      <c r="H38" s="203">
        <v>1000000</v>
      </c>
      <c r="I38" s="59"/>
    </row>
    <row r="39" spans="1:9" ht="21" customHeight="1">
      <c r="A39" s="63"/>
      <c r="B39" s="63"/>
      <c r="C39" s="64"/>
      <c r="D39" s="415" t="s">
        <v>76</v>
      </c>
      <c r="E39" s="415"/>
      <c r="F39" s="415"/>
      <c r="G39" s="205">
        <f>SUM(G20:G37)</f>
        <v>18805000</v>
      </c>
      <c r="H39" s="205">
        <f>SUM(H20:H38)</f>
        <v>22852773</v>
      </c>
      <c r="I39" s="59">
        <f>H39/G39*100</f>
        <v>121.5249827173624</v>
      </c>
    </row>
    <row r="40" spans="1:9" ht="33" customHeight="1">
      <c r="A40" s="20"/>
      <c r="B40" s="20"/>
      <c r="C40" s="17" t="s">
        <v>31</v>
      </c>
      <c r="D40" s="413" t="s">
        <v>77</v>
      </c>
      <c r="E40" s="413"/>
      <c r="F40" s="413"/>
      <c r="G40" s="203"/>
      <c r="H40" s="203"/>
      <c r="I40" s="59"/>
    </row>
    <row r="41" spans="1:9" ht="15.75">
      <c r="A41" s="20"/>
      <c r="B41" s="20"/>
      <c r="C41" s="20"/>
      <c r="D41" s="20" t="s">
        <v>30</v>
      </c>
      <c r="E41" s="20" t="s">
        <v>132</v>
      </c>
      <c r="F41" s="20"/>
      <c r="G41" s="203"/>
      <c r="H41" s="203"/>
      <c r="I41" s="59"/>
    </row>
    <row r="42" spans="1:9" ht="30.75" customHeight="1">
      <c r="A42" s="20"/>
      <c r="B42" s="20"/>
      <c r="C42" s="20"/>
      <c r="D42" s="20" t="s">
        <v>20</v>
      </c>
      <c r="E42" s="414" t="s">
        <v>133</v>
      </c>
      <c r="F42" s="414"/>
      <c r="G42" s="203">
        <v>3855000</v>
      </c>
      <c r="H42" s="203">
        <v>4162000</v>
      </c>
      <c r="I42" s="59">
        <f>H42/G42*100</f>
        <v>107.96368352788586</v>
      </c>
    </row>
    <row r="43" spans="1:9" ht="15.75">
      <c r="A43" s="20"/>
      <c r="B43" s="20"/>
      <c r="C43" s="20"/>
      <c r="D43" s="20" t="s">
        <v>31</v>
      </c>
      <c r="E43" s="20" t="s">
        <v>78</v>
      </c>
      <c r="F43" s="20"/>
      <c r="G43" s="203">
        <v>830000</v>
      </c>
      <c r="H43" s="203">
        <v>830400</v>
      </c>
      <c r="I43" s="59">
        <f>H43/G43*100</f>
        <v>100.04819277108435</v>
      </c>
    </row>
    <row r="44" spans="1:9" ht="15.75">
      <c r="A44" s="20"/>
      <c r="B44" s="20"/>
      <c r="C44" s="20"/>
      <c r="D44" s="20" t="s">
        <v>80</v>
      </c>
      <c r="E44" s="20" t="s">
        <v>81</v>
      </c>
      <c r="F44" s="20"/>
      <c r="G44" s="203">
        <v>3824000</v>
      </c>
      <c r="H44" s="203">
        <f>1240320+3944762+326400</f>
        <v>5511482</v>
      </c>
      <c r="I44" s="59">
        <f>H44/G44*100</f>
        <v>144.12871338912134</v>
      </c>
    </row>
    <row r="45" spans="1:9" ht="33.75" customHeight="1">
      <c r="A45" s="63"/>
      <c r="B45" s="63"/>
      <c r="C45" s="415" t="s">
        <v>82</v>
      </c>
      <c r="D45" s="415"/>
      <c r="E45" s="415"/>
      <c r="F45" s="415"/>
      <c r="G45" s="206">
        <f>SUM(G41:G44)</f>
        <v>8509000</v>
      </c>
      <c r="H45" s="206">
        <f>SUM(H41:H44)</f>
        <v>10503882</v>
      </c>
      <c r="I45" s="59">
        <f>H45/G45*100</f>
        <v>123.44437654248443</v>
      </c>
    </row>
    <row r="46" spans="1:9" ht="31.5" customHeight="1">
      <c r="A46" s="20"/>
      <c r="B46" s="20"/>
      <c r="C46" s="17" t="s">
        <v>79</v>
      </c>
      <c r="D46" s="413" t="s">
        <v>83</v>
      </c>
      <c r="E46" s="413"/>
      <c r="F46" s="413"/>
      <c r="G46" s="207"/>
      <c r="H46" s="203"/>
      <c r="I46" s="59"/>
    </row>
    <row r="47" spans="1:9" ht="15.75">
      <c r="A47" s="20"/>
      <c r="B47" s="20"/>
      <c r="C47" s="20"/>
      <c r="D47" s="20" t="s">
        <v>30</v>
      </c>
      <c r="E47" s="414" t="s">
        <v>42</v>
      </c>
      <c r="F47" s="414"/>
      <c r="G47" s="208"/>
      <c r="H47" s="203"/>
      <c r="I47" s="59"/>
    </row>
    <row r="48" spans="1:9" ht="31.5">
      <c r="A48" s="20"/>
      <c r="B48" s="20"/>
      <c r="C48" s="20"/>
      <c r="D48" s="20"/>
      <c r="E48" s="20" t="s">
        <v>47</v>
      </c>
      <c r="F48" s="60" t="s">
        <v>84</v>
      </c>
      <c r="G48" s="208">
        <v>1200000</v>
      </c>
      <c r="H48" s="203">
        <v>1200000</v>
      </c>
      <c r="I48" s="59">
        <f>H48/G48*100</f>
        <v>100</v>
      </c>
    </row>
    <row r="49" spans="1:9" ht="12" customHeight="1">
      <c r="A49" s="20"/>
      <c r="B49" s="20"/>
      <c r="C49" s="20"/>
      <c r="D49" s="20"/>
      <c r="E49" s="20"/>
      <c r="F49" s="20"/>
      <c r="G49" s="209"/>
      <c r="H49" s="203"/>
      <c r="I49" s="59"/>
    </row>
    <row r="50" spans="1:9" ht="30" customHeight="1">
      <c r="A50" s="63"/>
      <c r="B50" s="63"/>
      <c r="C50" s="415" t="s">
        <v>85</v>
      </c>
      <c r="D50" s="415"/>
      <c r="E50" s="415"/>
      <c r="F50" s="415"/>
      <c r="G50" s="206">
        <f>SUM(G48:G49)</f>
        <v>1200000</v>
      </c>
      <c r="H50" s="206">
        <f>SUM(H48:H49)</f>
        <v>1200000</v>
      </c>
      <c r="I50" s="59">
        <f>H50/G50*100</f>
        <v>100</v>
      </c>
    </row>
    <row r="51" spans="1:9" ht="18.75" customHeight="1">
      <c r="A51" s="63"/>
      <c r="B51" s="63"/>
      <c r="C51" s="364" t="s">
        <v>80</v>
      </c>
      <c r="D51" s="417" t="s">
        <v>493</v>
      </c>
      <c r="E51" s="412"/>
      <c r="F51" s="412"/>
      <c r="G51" s="206"/>
      <c r="H51" s="206"/>
      <c r="I51" s="59"/>
    </row>
    <row r="52" spans="1:10" ht="18.75" customHeight="1">
      <c r="A52" s="63"/>
      <c r="B52" s="63"/>
      <c r="C52" s="41"/>
      <c r="E52" s="40" t="s">
        <v>30</v>
      </c>
      <c r="F52" s="42" t="s">
        <v>494</v>
      </c>
      <c r="G52" s="40"/>
      <c r="H52" s="202">
        <f>27846+28792+14396</f>
        <v>71034</v>
      </c>
      <c r="I52" s="202"/>
      <c r="J52" s="202"/>
    </row>
    <row r="53" spans="1:10" ht="18.75" customHeight="1">
      <c r="A53" s="63"/>
      <c r="B53" s="63"/>
      <c r="C53" s="41"/>
      <c r="E53" s="40" t="s">
        <v>20</v>
      </c>
      <c r="F53" s="40" t="s">
        <v>495</v>
      </c>
      <c r="G53" s="40"/>
      <c r="H53" s="202">
        <f>115989+28998</f>
        <v>144987</v>
      </c>
      <c r="I53" s="202"/>
      <c r="J53" s="202"/>
    </row>
    <row r="54" spans="1:10" ht="18" customHeight="1">
      <c r="A54" s="63"/>
      <c r="B54" s="63"/>
      <c r="C54" s="41"/>
      <c r="E54" s="40" t="s">
        <v>31</v>
      </c>
      <c r="F54" s="42" t="s">
        <v>496</v>
      </c>
      <c r="G54" s="40"/>
      <c r="H54" s="202">
        <f>806700+268900</f>
        <v>1075600</v>
      </c>
      <c r="I54" s="202"/>
      <c r="J54" s="202"/>
    </row>
    <row r="55" spans="1:10" ht="18" customHeight="1">
      <c r="A55" s="63"/>
      <c r="B55" s="63"/>
      <c r="C55" s="41"/>
      <c r="E55" s="40" t="s">
        <v>575</v>
      </c>
      <c r="F55" s="42" t="s">
        <v>576</v>
      </c>
      <c r="G55" s="40"/>
      <c r="H55" s="202">
        <v>711200</v>
      </c>
      <c r="I55" s="202"/>
      <c r="J55" s="202"/>
    </row>
    <row r="56" spans="1:10" ht="17.25" customHeight="1">
      <c r="A56" s="63"/>
      <c r="B56" s="63"/>
      <c r="C56" s="374" t="s">
        <v>497</v>
      </c>
      <c r="D56" s="370"/>
      <c r="E56" s="370"/>
      <c r="F56" s="370"/>
      <c r="G56" s="40"/>
      <c r="H56" s="202">
        <f>H52+H53+H54+H55</f>
        <v>2002821</v>
      </c>
      <c r="I56" s="202"/>
      <c r="J56" s="202"/>
    </row>
    <row r="57" spans="1:10" ht="17.25" customHeight="1">
      <c r="A57" s="63"/>
      <c r="B57" s="63"/>
      <c r="C57" s="369" t="s">
        <v>498</v>
      </c>
      <c r="D57" s="370"/>
      <c r="E57" s="370"/>
      <c r="F57" s="370"/>
      <c r="G57" s="40"/>
      <c r="H57" s="202"/>
      <c r="I57" s="202"/>
      <c r="J57" s="202"/>
    </row>
    <row r="58" spans="1:10" ht="17.25" customHeight="1">
      <c r="A58" s="63"/>
      <c r="B58" s="63"/>
      <c r="C58" s="369"/>
      <c r="D58" s="370"/>
      <c r="E58" s="372" t="s">
        <v>30</v>
      </c>
      <c r="F58" s="373" t="s">
        <v>499</v>
      </c>
      <c r="G58" s="40"/>
      <c r="H58" s="202">
        <v>65080</v>
      </c>
      <c r="I58" s="202"/>
      <c r="J58" s="202"/>
    </row>
    <row r="59" spans="1:9" ht="17.25" customHeight="1">
      <c r="A59" s="63"/>
      <c r="B59" s="63"/>
      <c r="C59" s="374" t="s">
        <v>500</v>
      </c>
      <c r="D59" s="371"/>
      <c r="E59" s="371"/>
      <c r="F59" s="371"/>
      <c r="G59" s="206"/>
      <c r="H59" s="206">
        <f>H58</f>
        <v>65080</v>
      </c>
      <c r="I59" s="59"/>
    </row>
    <row r="60" spans="1:9" ht="7.5" customHeight="1">
      <c r="A60" s="63"/>
      <c r="B60" s="63"/>
      <c r="C60" s="369"/>
      <c r="D60" s="370"/>
      <c r="E60" s="370"/>
      <c r="F60" s="370"/>
      <c r="G60" s="206"/>
      <c r="H60" s="206"/>
      <c r="I60" s="59"/>
    </row>
    <row r="61" spans="1:9" ht="15.75">
      <c r="A61" s="65"/>
      <c r="B61" s="413" t="s">
        <v>88</v>
      </c>
      <c r="C61" s="413"/>
      <c r="D61" s="413"/>
      <c r="E61" s="413"/>
      <c r="F61" s="413"/>
      <c r="G61" s="211">
        <f>G39+G45+G50</f>
        <v>28514000</v>
      </c>
      <c r="H61" s="211">
        <f>H39+H45+H50+H56+H59</f>
        <v>36624556</v>
      </c>
      <c r="I61" s="59">
        <f>H61/G61*100</f>
        <v>128.44411867854387</v>
      </c>
    </row>
    <row r="62" spans="1:9" ht="12" customHeight="1">
      <c r="A62" s="20"/>
      <c r="B62" s="20"/>
      <c r="C62" s="20"/>
      <c r="D62" s="20"/>
      <c r="E62" s="20"/>
      <c r="F62" s="20"/>
      <c r="G62" s="209"/>
      <c r="H62" s="203"/>
      <c r="I62" s="59"/>
    </row>
    <row r="63" spans="1:9" ht="29.25" customHeight="1">
      <c r="A63" s="65"/>
      <c r="B63" s="17" t="s">
        <v>40</v>
      </c>
      <c r="C63" s="413" t="s">
        <v>89</v>
      </c>
      <c r="D63" s="413"/>
      <c r="E63" s="413"/>
      <c r="F63" s="413"/>
      <c r="G63" s="207"/>
      <c r="H63" s="203"/>
      <c r="I63" s="59"/>
    </row>
    <row r="64" spans="1:9" ht="30" customHeight="1">
      <c r="A64" s="20"/>
      <c r="B64" s="20"/>
      <c r="C64" s="20" t="s">
        <v>30</v>
      </c>
      <c r="D64" s="418" t="s">
        <v>329</v>
      </c>
      <c r="E64" s="418"/>
      <c r="F64" s="418"/>
      <c r="G64" s="209">
        <v>46000</v>
      </c>
      <c r="H64" s="203">
        <v>46400</v>
      </c>
      <c r="I64" s="59">
        <f>H64/G64*100</f>
        <v>100.8695652173913</v>
      </c>
    </row>
    <row r="65" spans="1:9" ht="17.25" customHeight="1">
      <c r="A65" s="20"/>
      <c r="B65" s="20"/>
      <c r="C65" s="20" t="s">
        <v>20</v>
      </c>
      <c r="D65" s="20" t="s">
        <v>492</v>
      </c>
      <c r="E65" s="20"/>
      <c r="F65" s="20"/>
      <c r="G65" s="209"/>
      <c r="H65" s="203">
        <f>722670+501752+180996</f>
        <v>1405418</v>
      </c>
      <c r="I65" s="59"/>
    </row>
    <row r="66" spans="1:9" ht="17.25" customHeight="1">
      <c r="A66" s="20"/>
      <c r="B66" s="20"/>
      <c r="C66" s="20" t="s">
        <v>31</v>
      </c>
      <c r="D66" s="20" t="s">
        <v>490</v>
      </c>
      <c r="E66" s="20"/>
      <c r="F66" s="20"/>
      <c r="G66" s="209"/>
      <c r="H66" s="203">
        <f>66664+192746</f>
        <v>259410</v>
      </c>
      <c r="I66" s="59"/>
    </row>
    <row r="67" spans="1:9" ht="17.25" customHeight="1">
      <c r="A67" s="20"/>
      <c r="B67" s="20"/>
      <c r="C67" s="20" t="s">
        <v>79</v>
      </c>
      <c r="D67" s="20" t="s">
        <v>501</v>
      </c>
      <c r="E67" s="20"/>
      <c r="F67" s="20"/>
      <c r="G67" s="209"/>
      <c r="H67" s="203">
        <v>50000</v>
      </c>
      <c r="I67" s="59"/>
    </row>
    <row r="68" spans="1:9" ht="34.5" customHeight="1">
      <c r="A68" s="20"/>
      <c r="B68" s="20"/>
      <c r="C68" s="375" t="s">
        <v>80</v>
      </c>
      <c r="D68" s="430" t="s">
        <v>502</v>
      </c>
      <c r="E68" s="431"/>
      <c r="F68" s="431"/>
      <c r="G68" s="209"/>
      <c r="H68" s="203">
        <v>290830</v>
      </c>
      <c r="I68" s="59"/>
    </row>
    <row r="69" spans="1:9" ht="15.75" customHeight="1">
      <c r="A69" s="65"/>
      <c r="B69" s="413" t="s">
        <v>90</v>
      </c>
      <c r="C69" s="413"/>
      <c r="D69" s="413"/>
      <c r="E69" s="413"/>
      <c r="F69" s="413"/>
      <c r="G69" s="211">
        <f>SUM(G64:G64)</f>
        <v>46000</v>
      </c>
      <c r="H69" s="211">
        <f>SUM(H64:H68)</f>
        <v>2052058</v>
      </c>
      <c r="I69" s="59">
        <f>H69/G69*100</f>
        <v>4460.995652173913</v>
      </c>
    </row>
    <row r="70" spans="1:9" ht="12" customHeight="1">
      <c r="A70" s="20"/>
      <c r="B70" s="20"/>
      <c r="C70" s="20"/>
      <c r="D70" s="20"/>
      <c r="E70" s="20"/>
      <c r="F70" s="20"/>
      <c r="G70" s="209"/>
      <c r="H70" s="203"/>
      <c r="I70" s="59"/>
    </row>
    <row r="71" spans="1:9" ht="36" customHeight="1">
      <c r="A71" s="413" t="s">
        <v>91</v>
      </c>
      <c r="B71" s="413"/>
      <c r="C71" s="413"/>
      <c r="D71" s="413"/>
      <c r="E71" s="413"/>
      <c r="F71" s="413"/>
      <c r="G71" s="212">
        <f>G69+G61</f>
        <v>28560000</v>
      </c>
      <c r="H71" s="212">
        <f>H69+H61</f>
        <v>38676614</v>
      </c>
      <c r="I71" s="59">
        <f>H71/G71*100</f>
        <v>135.42231792717087</v>
      </c>
    </row>
    <row r="72" spans="1:9" s="48" customFormat="1" ht="32.25" customHeight="1">
      <c r="A72" s="17" t="s">
        <v>40</v>
      </c>
      <c r="B72" s="413" t="s">
        <v>92</v>
      </c>
      <c r="C72" s="413"/>
      <c r="D72" s="413"/>
      <c r="E72" s="413"/>
      <c r="F72" s="413"/>
      <c r="G72" s="212"/>
      <c r="H72" s="207"/>
      <c r="I72" s="59"/>
    </row>
    <row r="73" spans="1:9" s="48" customFormat="1" ht="17.25" customHeight="1">
      <c r="A73" s="17"/>
      <c r="B73" s="56"/>
      <c r="C73" s="67" t="s">
        <v>30</v>
      </c>
      <c r="D73" s="414" t="s">
        <v>577</v>
      </c>
      <c r="E73" s="419"/>
      <c r="F73" s="419"/>
      <c r="G73" s="212"/>
      <c r="H73" s="208">
        <v>12630487</v>
      </c>
      <c r="I73" s="59"/>
    </row>
    <row r="74" spans="1:9" s="48" customFormat="1" ht="15.75" customHeight="1">
      <c r="A74" s="17"/>
      <c r="B74" s="56"/>
      <c r="C74" s="67" t="s">
        <v>20</v>
      </c>
      <c r="D74" s="414" t="s">
        <v>578</v>
      </c>
      <c r="E74" s="419"/>
      <c r="F74" s="419"/>
      <c r="G74" s="212"/>
      <c r="H74" s="208">
        <v>40000000</v>
      </c>
      <c r="I74" s="59"/>
    </row>
    <row r="75" spans="1:9" s="48" customFormat="1" ht="31.5" customHeight="1">
      <c r="A75" s="17"/>
      <c r="B75" s="56"/>
      <c r="C75" s="400" t="s">
        <v>31</v>
      </c>
      <c r="D75" s="430" t="s">
        <v>503</v>
      </c>
      <c r="E75" s="431"/>
      <c r="F75" s="431"/>
      <c r="G75" s="209"/>
      <c r="H75" s="203">
        <v>64999</v>
      </c>
      <c r="I75" s="59"/>
    </row>
    <row r="76" spans="1:9" s="48" customFormat="1" ht="30.75" customHeight="1">
      <c r="A76" s="413" t="s">
        <v>579</v>
      </c>
      <c r="B76" s="413"/>
      <c r="C76" s="413"/>
      <c r="D76" s="413"/>
      <c r="E76" s="413"/>
      <c r="F76" s="432"/>
      <c r="G76" s="212"/>
      <c r="H76" s="207">
        <f>H73+H74+H75</f>
        <v>52695486</v>
      </c>
      <c r="I76" s="59"/>
    </row>
    <row r="77" spans="1:9" ht="13.5" customHeight="1">
      <c r="A77" s="56"/>
      <c r="B77" s="56"/>
      <c r="C77" s="56"/>
      <c r="D77" s="56"/>
      <c r="E77" s="56"/>
      <c r="F77" s="56"/>
      <c r="G77" s="211"/>
      <c r="H77" s="211"/>
      <c r="I77" s="59"/>
    </row>
    <row r="78" spans="1:9" ht="15.75">
      <c r="A78" s="17" t="s">
        <v>41</v>
      </c>
      <c r="B78" s="17" t="s">
        <v>93</v>
      </c>
      <c r="C78" s="17"/>
      <c r="D78" s="17"/>
      <c r="E78" s="17"/>
      <c r="F78" s="17"/>
      <c r="G78" s="213"/>
      <c r="H78" s="214"/>
      <c r="I78" s="59"/>
    </row>
    <row r="79" spans="1:9" ht="12" customHeight="1">
      <c r="A79" s="20"/>
      <c r="B79" s="20"/>
      <c r="C79" s="20"/>
      <c r="D79" s="20"/>
      <c r="E79" s="20"/>
      <c r="F79" s="20"/>
      <c r="G79" s="209"/>
      <c r="H79" s="209"/>
      <c r="I79" s="59"/>
    </row>
    <row r="80" spans="1:9" ht="15.75">
      <c r="A80" s="20"/>
      <c r="B80" s="20" t="s">
        <v>30</v>
      </c>
      <c r="C80" s="20" t="s">
        <v>94</v>
      </c>
      <c r="D80" s="20"/>
      <c r="E80" s="20"/>
      <c r="F80" s="20"/>
      <c r="G80" s="215"/>
      <c r="H80" s="209"/>
      <c r="I80" s="59"/>
    </row>
    <row r="81" spans="1:9" ht="15.75">
      <c r="A81" s="20"/>
      <c r="B81" s="20"/>
      <c r="C81" s="20" t="s">
        <v>30</v>
      </c>
      <c r="D81" s="20" t="s">
        <v>95</v>
      </c>
      <c r="E81" s="20"/>
      <c r="F81" s="20"/>
      <c r="G81" s="209">
        <v>1500000</v>
      </c>
      <c r="H81" s="203">
        <v>1500000</v>
      </c>
      <c r="I81" s="59">
        <f>H81/G81*100</f>
        <v>100</v>
      </c>
    </row>
    <row r="82" spans="1:9" ht="15.75">
      <c r="A82" s="17"/>
      <c r="B82" s="17" t="s">
        <v>20</v>
      </c>
      <c r="C82" s="17" t="s">
        <v>96</v>
      </c>
      <c r="D82" s="17"/>
      <c r="E82" s="17"/>
      <c r="F82" s="17"/>
      <c r="G82" s="214"/>
      <c r="H82" s="203"/>
      <c r="I82" s="59"/>
    </row>
    <row r="83" spans="1:9" s="9" customFormat="1" ht="15.75">
      <c r="A83" s="20"/>
      <c r="B83" s="20"/>
      <c r="C83" s="20" t="s">
        <v>30</v>
      </c>
      <c r="D83" s="20" t="s">
        <v>97</v>
      </c>
      <c r="E83" s="20"/>
      <c r="F83" s="20"/>
      <c r="G83" s="209">
        <v>3900000</v>
      </c>
      <c r="H83" s="216">
        <v>3900000</v>
      </c>
      <c r="I83" s="59">
        <f>H83/G83*100</f>
        <v>100</v>
      </c>
    </row>
    <row r="84" spans="1:9" ht="15.75">
      <c r="A84" s="17"/>
      <c r="B84" s="17" t="s">
        <v>31</v>
      </c>
      <c r="C84" s="17" t="s">
        <v>98</v>
      </c>
      <c r="D84" s="17"/>
      <c r="E84" s="17"/>
      <c r="F84" s="17"/>
      <c r="G84" s="214"/>
      <c r="H84" s="203"/>
      <c r="I84" s="59"/>
    </row>
    <row r="85" spans="1:9" ht="15.75">
      <c r="A85" s="20"/>
      <c r="B85" s="20"/>
      <c r="C85" s="20" t="s">
        <v>30</v>
      </c>
      <c r="D85" s="20" t="s">
        <v>99</v>
      </c>
      <c r="E85" s="20"/>
      <c r="F85" s="20"/>
      <c r="G85" s="209">
        <v>1913000</v>
      </c>
      <c r="H85" s="203">
        <v>1913000</v>
      </c>
      <c r="I85" s="59">
        <f aca="true" t="shared" si="0" ref="I85:I132">H85/G85*100</f>
        <v>100</v>
      </c>
    </row>
    <row r="86" spans="1:9" ht="15.75">
      <c r="A86" s="20"/>
      <c r="B86" s="17" t="s">
        <v>79</v>
      </c>
      <c r="C86" s="17" t="s">
        <v>100</v>
      </c>
      <c r="D86" s="20"/>
      <c r="E86" s="20"/>
      <c r="F86" s="20"/>
      <c r="G86" s="209"/>
      <c r="H86" s="203"/>
      <c r="I86" s="59"/>
    </row>
    <row r="87" spans="1:9" ht="15.75">
      <c r="A87" s="20"/>
      <c r="B87" s="20"/>
      <c r="C87" s="20" t="s">
        <v>30</v>
      </c>
      <c r="D87" s="20" t="s">
        <v>101</v>
      </c>
      <c r="E87" s="20"/>
      <c r="F87" s="20"/>
      <c r="G87" s="209">
        <v>140000</v>
      </c>
      <c r="H87" s="203">
        <v>140000</v>
      </c>
      <c r="I87" s="59">
        <f t="shared" si="0"/>
        <v>100</v>
      </c>
    </row>
    <row r="88" spans="1:9" ht="15.75">
      <c r="A88" s="20"/>
      <c r="B88" s="20"/>
      <c r="C88" s="20" t="s">
        <v>20</v>
      </c>
      <c r="D88" s="20" t="s">
        <v>60</v>
      </c>
      <c r="E88" s="20"/>
      <c r="F88" s="20"/>
      <c r="G88" s="209">
        <v>280000</v>
      </c>
      <c r="H88" s="203">
        <v>280000</v>
      </c>
      <c r="I88" s="59">
        <f t="shared" si="0"/>
        <v>100</v>
      </c>
    </row>
    <row r="89" spans="1:9" ht="15.75">
      <c r="A89" s="17"/>
      <c r="B89" s="17" t="s">
        <v>80</v>
      </c>
      <c r="C89" s="17" t="s">
        <v>102</v>
      </c>
      <c r="D89" s="17"/>
      <c r="E89" s="17"/>
      <c r="F89" s="17"/>
      <c r="G89" s="214"/>
      <c r="H89" s="203"/>
      <c r="I89" s="59"/>
    </row>
    <row r="90" spans="1:9" ht="15.75">
      <c r="A90" s="20"/>
      <c r="B90" s="20"/>
      <c r="C90" s="17" t="s">
        <v>30</v>
      </c>
      <c r="D90" s="20" t="s">
        <v>103</v>
      </c>
      <c r="E90" s="20"/>
      <c r="F90" s="20"/>
      <c r="G90" s="209">
        <v>5000</v>
      </c>
      <c r="H90" s="203">
        <v>5000</v>
      </c>
      <c r="I90" s="59">
        <f t="shared" si="0"/>
        <v>100</v>
      </c>
    </row>
    <row r="91" spans="1:9" ht="15.75" customHeight="1">
      <c r="A91" s="65"/>
      <c r="B91" s="65"/>
      <c r="C91" s="65" t="s">
        <v>31</v>
      </c>
      <c r="D91" s="68" t="s">
        <v>102</v>
      </c>
      <c r="E91" s="65"/>
      <c r="F91" s="65"/>
      <c r="G91" s="210"/>
      <c r="H91" s="203"/>
      <c r="I91" s="59"/>
    </row>
    <row r="92" spans="1:9" ht="15.75">
      <c r="A92" s="20"/>
      <c r="B92" s="20"/>
      <c r="C92" s="17" t="s">
        <v>79</v>
      </c>
      <c r="D92" s="20" t="s">
        <v>104</v>
      </c>
      <c r="E92" s="20"/>
      <c r="F92" s="20"/>
      <c r="G92" s="209">
        <v>75000</v>
      </c>
      <c r="H92" s="203">
        <v>75000</v>
      </c>
      <c r="I92" s="59">
        <f t="shared" si="0"/>
        <v>100</v>
      </c>
    </row>
    <row r="93" spans="1:9" s="9" customFormat="1" ht="15.75">
      <c r="A93" s="17" t="s">
        <v>49</v>
      </c>
      <c r="B93" s="65"/>
      <c r="C93" s="65"/>
      <c r="D93" s="65"/>
      <c r="E93" s="65"/>
      <c r="F93" s="65"/>
      <c r="G93" s="211">
        <f>G81+G83+G85+G87+G88+G90+G91+G92</f>
        <v>7813000</v>
      </c>
      <c r="H93" s="211">
        <f>H81+H83+H85+H87+H88+H90+H91+H92</f>
        <v>7813000</v>
      </c>
      <c r="I93" s="59">
        <f t="shared" si="0"/>
        <v>100</v>
      </c>
    </row>
    <row r="94" spans="1:9" ht="12.75" customHeight="1">
      <c r="A94" s="65"/>
      <c r="B94" s="65"/>
      <c r="C94" s="65"/>
      <c r="D94" s="65"/>
      <c r="E94" s="65"/>
      <c r="F94" s="65"/>
      <c r="G94" s="210"/>
      <c r="H94" s="210"/>
      <c r="I94" s="59"/>
    </row>
    <row r="95" spans="1:9" ht="15.75">
      <c r="A95" s="17" t="s">
        <v>105</v>
      </c>
      <c r="B95" s="17" t="s">
        <v>43</v>
      </c>
      <c r="C95" s="17"/>
      <c r="D95" s="17"/>
      <c r="E95" s="17"/>
      <c r="F95" s="17"/>
      <c r="G95" s="213"/>
      <c r="H95" s="214"/>
      <c r="I95" s="59"/>
    </row>
    <row r="96" spans="1:9" ht="15.75">
      <c r="A96" s="65"/>
      <c r="B96" s="65" t="s">
        <v>30</v>
      </c>
      <c r="C96" s="434" t="s">
        <v>106</v>
      </c>
      <c r="D96" s="434"/>
      <c r="E96" s="434"/>
      <c r="F96" s="434"/>
      <c r="G96" s="210"/>
      <c r="H96" s="210"/>
      <c r="I96" s="59"/>
    </row>
    <row r="97" spans="1:9" ht="15.75">
      <c r="A97" s="65"/>
      <c r="B97" s="65"/>
      <c r="C97" s="65" t="s">
        <v>30</v>
      </c>
      <c r="D97" s="68" t="s">
        <v>117</v>
      </c>
      <c r="E97" s="68"/>
      <c r="F97" s="68"/>
      <c r="G97" s="210">
        <v>187000</v>
      </c>
      <c r="H97" s="203">
        <v>186535</v>
      </c>
      <c r="I97" s="59">
        <f t="shared" si="0"/>
        <v>99.75133689839572</v>
      </c>
    </row>
    <row r="98" spans="1:9" ht="15.75">
      <c r="A98" s="65"/>
      <c r="B98" s="65"/>
      <c r="C98" s="65" t="s">
        <v>20</v>
      </c>
      <c r="D98" s="68" t="s">
        <v>109</v>
      </c>
      <c r="E98" s="68"/>
      <c r="F98" s="68"/>
      <c r="G98" s="210"/>
      <c r="H98" s="203"/>
      <c r="I98" s="59"/>
    </row>
    <row r="99" spans="1:9" ht="15.75">
      <c r="A99" s="65"/>
      <c r="B99" s="65"/>
      <c r="C99" s="65"/>
      <c r="D99" s="68" t="s">
        <v>30</v>
      </c>
      <c r="E99" s="68" t="s">
        <v>110</v>
      </c>
      <c r="F99" s="68"/>
      <c r="G99" s="210">
        <v>20000</v>
      </c>
      <c r="H99" s="203">
        <v>20000</v>
      </c>
      <c r="I99" s="59">
        <f t="shared" si="0"/>
        <v>100</v>
      </c>
    </row>
    <row r="100" spans="1:9" ht="15.75">
      <c r="A100" s="65"/>
      <c r="B100" s="65"/>
      <c r="C100" s="65"/>
      <c r="D100" s="68" t="s">
        <v>20</v>
      </c>
      <c r="E100" s="68" t="s">
        <v>111</v>
      </c>
      <c r="F100" s="68"/>
      <c r="G100" s="210">
        <v>820000</v>
      </c>
      <c r="H100" s="203">
        <v>820000</v>
      </c>
      <c r="I100" s="59">
        <f t="shared" si="0"/>
        <v>100</v>
      </c>
    </row>
    <row r="101" spans="1:9" ht="15.75">
      <c r="A101" s="65"/>
      <c r="B101" s="65"/>
      <c r="C101" s="65"/>
      <c r="D101" s="68" t="s">
        <v>31</v>
      </c>
      <c r="E101" s="68" t="s">
        <v>112</v>
      </c>
      <c r="F101" s="68"/>
      <c r="G101" s="210">
        <v>2000</v>
      </c>
      <c r="H101" s="203">
        <v>2000</v>
      </c>
      <c r="I101" s="59">
        <f t="shared" si="0"/>
        <v>100</v>
      </c>
    </row>
    <row r="102" spans="1:9" ht="15.75">
      <c r="A102" s="65"/>
      <c r="B102" s="65"/>
      <c r="C102" s="65"/>
      <c r="D102" s="68" t="s">
        <v>79</v>
      </c>
      <c r="E102" s="68" t="s">
        <v>50</v>
      </c>
      <c r="F102" s="68"/>
      <c r="G102" s="210">
        <v>1000</v>
      </c>
      <c r="H102" s="203"/>
      <c r="I102" s="59">
        <f t="shared" si="0"/>
        <v>0</v>
      </c>
    </row>
    <row r="103" spans="1:9" ht="15.75">
      <c r="A103" s="65"/>
      <c r="B103" s="65"/>
      <c r="C103" s="65"/>
      <c r="D103" s="68" t="s">
        <v>80</v>
      </c>
      <c r="E103" s="68" t="s">
        <v>113</v>
      </c>
      <c r="F103" s="68"/>
      <c r="G103" s="210">
        <v>85000</v>
      </c>
      <c r="H103" s="203">
        <v>85179</v>
      </c>
      <c r="I103" s="59">
        <f t="shared" si="0"/>
        <v>100.21058823529413</v>
      </c>
    </row>
    <row r="104" spans="1:9" ht="15.75">
      <c r="A104" s="65"/>
      <c r="B104" s="65"/>
      <c r="C104" s="65" t="s">
        <v>31</v>
      </c>
      <c r="D104" s="68" t="s">
        <v>134</v>
      </c>
      <c r="E104" s="68"/>
      <c r="F104" s="68"/>
      <c r="G104" s="210"/>
      <c r="H104" s="203"/>
      <c r="I104" s="59"/>
    </row>
    <row r="105" spans="1:9" ht="15.75">
      <c r="A105" s="65"/>
      <c r="B105" s="65"/>
      <c r="D105" s="65" t="s">
        <v>30</v>
      </c>
      <c r="E105" s="68" t="s">
        <v>107</v>
      </c>
      <c r="F105" s="65"/>
      <c r="G105" s="210">
        <v>40000</v>
      </c>
      <c r="H105" s="203">
        <v>51800</v>
      </c>
      <c r="I105" s="59">
        <f t="shared" si="0"/>
        <v>129.5</v>
      </c>
    </row>
    <row r="106" spans="1:9" ht="15.75">
      <c r="A106" s="65"/>
      <c r="B106" s="65"/>
      <c r="D106" s="65" t="s">
        <v>20</v>
      </c>
      <c r="E106" s="68" t="s">
        <v>108</v>
      </c>
      <c r="F106" s="68"/>
      <c r="G106" s="210">
        <v>385000</v>
      </c>
      <c r="H106" s="203">
        <v>177600</v>
      </c>
      <c r="I106" s="59">
        <f t="shared" si="0"/>
        <v>46.129870129870135</v>
      </c>
    </row>
    <row r="107" spans="4:9" ht="15.75">
      <c r="D107" s="40" t="s">
        <v>31</v>
      </c>
      <c r="E107" s="68" t="s">
        <v>51</v>
      </c>
      <c r="G107" s="210">
        <v>661000</v>
      </c>
      <c r="H107" s="203">
        <v>660744</v>
      </c>
      <c r="I107" s="59">
        <f t="shared" si="0"/>
        <v>99.96127080181543</v>
      </c>
    </row>
    <row r="108" spans="1:9" ht="15.75">
      <c r="A108" s="65"/>
      <c r="B108" s="65" t="s">
        <v>20</v>
      </c>
      <c r="C108" s="68" t="s">
        <v>114</v>
      </c>
      <c r="D108" s="68"/>
      <c r="E108" s="68"/>
      <c r="F108" s="68"/>
      <c r="G108" s="210"/>
      <c r="H108" s="203"/>
      <c r="I108" s="59"/>
    </row>
    <row r="109" spans="1:9" ht="15.75">
      <c r="A109" s="65"/>
      <c r="B109" s="65"/>
      <c r="C109" s="65" t="s">
        <v>30</v>
      </c>
      <c r="D109" s="68" t="s">
        <v>115</v>
      </c>
      <c r="E109" s="68"/>
      <c r="F109" s="68"/>
      <c r="G109" s="210">
        <v>4099000</v>
      </c>
      <c r="H109" s="203">
        <v>4099152</v>
      </c>
      <c r="I109" s="59">
        <f t="shared" si="0"/>
        <v>100.00370822151746</v>
      </c>
    </row>
    <row r="110" spans="1:9" ht="15.75">
      <c r="A110" s="65"/>
      <c r="B110" s="65" t="s">
        <v>31</v>
      </c>
      <c r="C110" s="68" t="s">
        <v>116</v>
      </c>
      <c r="D110" s="68"/>
      <c r="E110" s="68"/>
      <c r="F110" s="68"/>
      <c r="G110" s="210"/>
      <c r="H110" s="203"/>
      <c r="I110" s="59"/>
    </row>
    <row r="111" spans="1:9" ht="15.75">
      <c r="A111" s="65"/>
      <c r="B111" s="65"/>
      <c r="C111" s="65" t="s">
        <v>30</v>
      </c>
      <c r="D111" s="68" t="s">
        <v>59</v>
      </c>
      <c r="E111" s="68"/>
      <c r="F111" s="68"/>
      <c r="G111" s="210">
        <v>1249000</v>
      </c>
      <c r="H111" s="203">
        <v>1843937</v>
      </c>
      <c r="I111" s="59">
        <f t="shared" si="0"/>
        <v>147.6330664531625</v>
      </c>
    </row>
    <row r="112" spans="1:9" ht="15.75">
      <c r="A112" s="65"/>
      <c r="B112" s="65" t="s">
        <v>79</v>
      </c>
      <c r="C112" s="68" t="s">
        <v>118</v>
      </c>
      <c r="D112" s="65"/>
      <c r="E112" s="65"/>
      <c r="F112" s="65"/>
      <c r="G112" s="210">
        <f>(337+178+50+104+1107+11+29)*1000</f>
        <v>1816000</v>
      </c>
      <c r="H112" s="203">
        <f>28938+1106771+47952+50364+178401</f>
        <v>1412426</v>
      </c>
      <c r="I112" s="59">
        <f t="shared" si="0"/>
        <v>77.77676211453745</v>
      </c>
    </row>
    <row r="113" spans="1:9" ht="15.75">
      <c r="A113" s="65"/>
      <c r="B113" s="65" t="s">
        <v>80</v>
      </c>
      <c r="C113" s="68" t="s">
        <v>119</v>
      </c>
      <c r="D113" s="65"/>
      <c r="E113" s="65"/>
      <c r="F113" s="65"/>
      <c r="G113" s="210">
        <f>(115+1107+80+239)*1000</f>
        <v>1541000</v>
      </c>
      <c r="H113" s="203">
        <f>1106771+95489+114586</f>
        <v>1316846</v>
      </c>
      <c r="I113" s="59">
        <f t="shared" si="0"/>
        <v>85.45399091499026</v>
      </c>
    </row>
    <row r="114" spans="1:9" ht="24.75" customHeight="1">
      <c r="A114" s="65"/>
      <c r="B114" s="65" t="s">
        <v>86</v>
      </c>
      <c r="C114" s="68" t="s">
        <v>120</v>
      </c>
      <c r="D114" s="65"/>
      <c r="E114" s="65"/>
      <c r="F114" s="65"/>
      <c r="G114" s="210">
        <v>2000</v>
      </c>
      <c r="H114" s="203">
        <v>2000</v>
      </c>
      <c r="I114" s="59">
        <f t="shared" si="0"/>
        <v>100</v>
      </c>
    </row>
    <row r="115" spans="1:9" ht="19.5" customHeight="1">
      <c r="A115" s="65"/>
      <c r="B115" s="234" t="s">
        <v>222</v>
      </c>
      <c r="C115" s="434" t="s">
        <v>363</v>
      </c>
      <c r="D115" s="434"/>
      <c r="E115" s="434"/>
      <c r="F115" s="434"/>
      <c r="G115" s="210"/>
      <c r="H115" s="203">
        <v>4825255</v>
      </c>
      <c r="I115" s="59"/>
    </row>
    <row r="116" spans="1:11" ht="15.75">
      <c r="A116" s="17" t="s">
        <v>17</v>
      </c>
      <c r="B116" s="65"/>
      <c r="C116" s="65"/>
      <c r="D116" s="65"/>
      <c r="E116" s="65"/>
      <c r="F116" s="65"/>
      <c r="G116" s="211">
        <f>SUM(G96:G115)</f>
        <v>10908000</v>
      </c>
      <c r="H116" s="211">
        <f>SUM(H96:H115)</f>
        <v>15503474</v>
      </c>
      <c r="I116" s="59">
        <f t="shared" si="0"/>
        <v>142.1293912724606</v>
      </c>
      <c r="K116" s="202"/>
    </row>
    <row r="117" spans="1:9" ht="15.75">
      <c r="A117" s="17" t="s">
        <v>48</v>
      </c>
      <c r="B117" s="17" t="s">
        <v>121</v>
      </c>
      <c r="C117" s="17"/>
      <c r="D117" s="17"/>
      <c r="E117" s="17"/>
      <c r="F117" s="17"/>
      <c r="G117" s="214"/>
      <c r="H117" s="203"/>
      <c r="I117" s="59"/>
    </row>
    <row r="118" spans="1:9" ht="38.25" customHeight="1">
      <c r="A118" s="20"/>
      <c r="B118" s="20" t="s">
        <v>30</v>
      </c>
      <c r="C118" s="414" t="s">
        <v>122</v>
      </c>
      <c r="D118" s="414"/>
      <c r="E118" s="414"/>
      <c r="F118" s="414"/>
      <c r="G118" s="208"/>
      <c r="H118" s="203"/>
      <c r="I118" s="59"/>
    </row>
    <row r="119" spans="1:9" ht="32.25" customHeight="1">
      <c r="A119" s="20"/>
      <c r="B119" s="20"/>
      <c r="C119" s="67" t="s">
        <v>30</v>
      </c>
      <c r="D119" s="414" t="s">
        <v>123</v>
      </c>
      <c r="E119" s="414"/>
      <c r="F119" s="414"/>
      <c r="G119" s="208">
        <v>62000</v>
      </c>
      <c r="H119" s="203">
        <v>61800</v>
      </c>
      <c r="I119" s="59">
        <f t="shared" si="0"/>
        <v>99.67741935483872</v>
      </c>
    </row>
    <row r="120" spans="1:9" ht="12" customHeight="1">
      <c r="A120" s="65"/>
      <c r="B120" s="65"/>
      <c r="C120" s="65"/>
      <c r="D120" s="20"/>
      <c r="E120" s="65"/>
      <c r="F120" s="65"/>
      <c r="G120" s="210"/>
      <c r="H120" s="203"/>
      <c r="I120" s="59"/>
    </row>
    <row r="121" spans="1:9" ht="15.75">
      <c r="A121" s="435" t="s">
        <v>124</v>
      </c>
      <c r="B121" s="435"/>
      <c r="C121" s="435"/>
      <c r="D121" s="435"/>
      <c r="E121" s="435"/>
      <c r="F121" s="435"/>
      <c r="G121" s="213">
        <f>SUM(G119:G120)</f>
        <v>62000</v>
      </c>
      <c r="H121" s="213">
        <f>SUM(H119:H120)</f>
        <v>61800</v>
      </c>
      <c r="I121" s="59">
        <f>H121/G121*100</f>
        <v>99.67741935483872</v>
      </c>
    </row>
    <row r="122" spans="1:9" ht="9" customHeight="1">
      <c r="A122" s="65"/>
      <c r="B122" s="65"/>
      <c r="C122" s="65"/>
      <c r="D122" s="65"/>
      <c r="E122" s="65"/>
      <c r="F122" s="65"/>
      <c r="G122" s="210"/>
      <c r="H122" s="203"/>
      <c r="I122" s="59"/>
    </row>
    <row r="123" spans="1:9" ht="16.5">
      <c r="A123" s="70" t="s">
        <v>125</v>
      </c>
      <c r="B123" s="70"/>
      <c r="C123" s="70"/>
      <c r="D123" s="70"/>
      <c r="E123" s="70"/>
      <c r="F123" s="70"/>
      <c r="G123" s="213">
        <f>G121+G116+G93+G71</f>
        <v>47343000</v>
      </c>
      <c r="H123" s="213">
        <f>H121+H116+H93+H71+H76</f>
        <v>114750374</v>
      </c>
      <c r="I123" s="59">
        <f t="shared" si="0"/>
        <v>242.3808672876666</v>
      </c>
    </row>
    <row r="124" spans="1:9" ht="16.5">
      <c r="A124" s="70"/>
      <c r="B124" s="70"/>
      <c r="C124" s="70"/>
      <c r="D124" s="70"/>
      <c r="E124" s="70"/>
      <c r="F124" s="70"/>
      <c r="G124" s="217"/>
      <c r="H124" s="203"/>
      <c r="I124" s="59"/>
    </row>
    <row r="125" spans="1:9" ht="15.75">
      <c r="A125" s="71" t="s">
        <v>126</v>
      </c>
      <c r="B125" s="413" t="s">
        <v>127</v>
      </c>
      <c r="C125" s="413"/>
      <c r="D125" s="413"/>
      <c r="E125" s="413"/>
      <c r="F125" s="413"/>
      <c r="G125" s="208"/>
      <c r="H125" s="203"/>
      <c r="I125" s="59"/>
    </row>
    <row r="126" spans="1:9" ht="15.75">
      <c r="A126" s="17"/>
      <c r="B126" s="56" t="s">
        <v>30</v>
      </c>
      <c r="C126" s="413" t="s">
        <v>128</v>
      </c>
      <c r="D126" s="413"/>
      <c r="E126" s="413"/>
      <c r="F126" s="413"/>
      <c r="G126" s="208"/>
      <c r="H126" s="203"/>
      <c r="I126" s="59"/>
    </row>
    <row r="127" spans="1:9" ht="23.25" customHeight="1">
      <c r="A127" s="17"/>
      <c r="B127" s="56"/>
      <c r="C127" s="67" t="s">
        <v>30</v>
      </c>
      <c r="D127" s="414" t="s">
        <v>476</v>
      </c>
      <c r="E127" s="414"/>
      <c r="F127" s="414"/>
      <c r="G127" s="208">
        <f>(26261+2000)*1000</f>
        <v>28261000</v>
      </c>
      <c r="H127" s="203">
        <f>600000+4825255+6584967+64122+89764+120000+17000+195900+38415438</f>
        <v>50912446</v>
      </c>
      <c r="I127" s="59">
        <f t="shared" si="0"/>
        <v>180.15090053430524</v>
      </c>
    </row>
    <row r="128" spans="1:9" ht="33" customHeight="1">
      <c r="A128" s="20"/>
      <c r="B128" s="20"/>
      <c r="C128" s="237" t="s">
        <v>20</v>
      </c>
      <c r="D128" s="433" t="s">
        <v>373</v>
      </c>
      <c r="E128" s="433"/>
      <c r="F128" s="433"/>
      <c r="G128" s="209"/>
      <c r="H128" s="203">
        <v>10000000</v>
      </c>
      <c r="I128" s="59"/>
    </row>
    <row r="129" spans="1:9" ht="16.5" customHeight="1">
      <c r="A129" s="20"/>
      <c r="B129" s="20"/>
      <c r="C129" s="20" t="s">
        <v>31</v>
      </c>
      <c r="D129" s="433" t="s">
        <v>374</v>
      </c>
      <c r="E129" s="433"/>
      <c r="F129" s="433"/>
      <c r="G129" s="209"/>
      <c r="H129" s="203">
        <v>1121209</v>
      </c>
      <c r="I129" s="59"/>
    </row>
    <row r="130" spans="1:9" ht="16.5">
      <c r="A130" s="70" t="s">
        <v>127</v>
      </c>
      <c r="B130" s="70"/>
      <c r="C130" s="70"/>
      <c r="D130" s="70"/>
      <c r="E130" s="70"/>
      <c r="F130" s="70"/>
      <c r="G130" s="213">
        <f>G127</f>
        <v>28261000</v>
      </c>
      <c r="H130" s="213">
        <f>SUM(H127:H129)</f>
        <v>62033655</v>
      </c>
      <c r="I130" s="59">
        <f t="shared" si="0"/>
        <v>219.50268921835746</v>
      </c>
    </row>
    <row r="131" spans="1:9" ht="8.25" customHeight="1">
      <c r="A131" s="20"/>
      <c r="B131" s="20"/>
      <c r="C131" s="20"/>
      <c r="D131" s="20"/>
      <c r="E131" s="20"/>
      <c r="F131" s="20"/>
      <c r="G131" s="218"/>
      <c r="H131" s="215"/>
      <c r="I131" s="59"/>
    </row>
    <row r="132" spans="1:9" ht="18.75">
      <c r="A132" s="19" t="s">
        <v>129</v>
      </c>
      <c r="B132" s="19"/>
      <c r="C132" s="19"/>
      <c r="D132" s="19"/>
      <c r="E132" s="19"/>
      <c r="F132" s="19"/>
      <c r="G132" s="213">
        <f>G123+G130</f>
        <v>75604000</v>
      </c>
      <c r="H132" s="213">
        <f>H123+H130</f>
        <v>176784029</v>
      </c>
      <c r="I132" s="59">
        <f t="shared" si="0"/>
        <v>233.8289362996667</v>
      </c>
    </row>
    <row r="133" spans="7:9" ht="15.75">
      <c r="G133" s="202"/>
      <c r="H133" s="202"/>
      <c r="I133" s="59"/>
    </row>
    <row r="134" spans="7:9" ht="15.75">
      <c r="G134" s="202"/>
      <c r="H134" s="202"/>
      <c r="I134" s="59"/>
    </row>
    <row r="135" spans="1:5" ht="15.75">
      <c r="A135" s="8"/>
      <c r="B135" s="8"/>
      <c r="C135" s="8"/>
      <c r="D135" s="8"/>
      <c r="E135" s="8"/>
    </row>
    <row r="136" spans="1:5" ht="15.75">
      <c r="A136" s="8"/>
      <c r="B136" s="8"/>
      <c r="C136" s="8"/>
      <c r="D136" s="8"/>
      <c r="E136" s="8"/>
    </row>
    <row r="137" spans="1:5" ht="15.75">
      <c r="A137" s="8"/>
      <c r="B137" s="8"/>
      <c r="C137" s="8"/>
      <c r="D137" s="8"/>
      <c r="E137" s="8"/>
    </row>
    <row r="138" spans="1:5" ht="15.75">
      <c r="A138" s="8"/>
      <c r="B138" s="8"/>
      <c r="C138" s="8"/>
      <c r="D138" s="8"/>
      <c r="E138" s="8"/>
    </row>
    <row r="139" spans="1:5" ht="15.75">
      <c r="A139" s="8"/>
      <c r="B139" s="8"/>
      <c r="C139" s="8"/>
      <c r="D139" s="8"/>
      <c r="E139" s="8"/>
    </row>
    <row r="140" spans="7:8" ht="15.75">
      <c r="G140" s="202"/>
      <c r="H140" s="202"/>
    </row>
    <row r="141" spans="7:8" ht="15.75">
      <c r="G141" s="202"/>
      <c r="H141" s="202"/>
    </row>
    <row r="142" spans="7:8" ht="15.75">
      <c r="G142" s="202"/>
      <c r="H142" s="202"/>
    </row>
    <row r="143" spans="7:8" ht="15.75">
      <c r="G143" s="202"/>
      <c r="H143" s="202"/>
    </row>
    <row r="144" spans="7:8" ht="15.75">
      <c r="G144" s="202"/>
      <c r="H144" s="202"/>
    </row>
    <row r="145" spans="7:8" ht="15.75">
      <c r="G145" s="202"/>
      <c r="H145" s="202"/>
    </row>
    <row r="146" spans="7:8" ht="15.75">
      <c r="G146" s="202"/>
      <c r="H146" s="202"/>
    </row>
    <row r="147" spans="7:8" ht="15.75">
      <c r="G147" s="202"/>
      <c r="H147" s="202"/>
    </row>
    <row r="148" spans="7:8" ht="15.75">
      <c r="G148" s="202"/>
      <c r="H148" s="202"/>
    </row>
    <row r="149" spans="7:8" ht="15.75">
      <c r="G149" s="202"/>
      <c r="H149" s="202"/>
    </row>
    <row r="150" spans="7:8" ht="15.75">
      <c r="G150" s="202"/>
      <c r="H150" s="202"/>
    </row>
    <row r="151" spans="7:8" ht="15.75">
      <c r="G151" s="202"/>
      <c r="H151" s="202"/>
    </row>
    <row r="152" spans="7:8" ht="15.75">
      <c r="G152" s="202"/>
      <c r="H152" s="202"/>
    </row>
    <row r="153" spans="7:8" ht="15.75">
      <c r="G153" s="202"/>
      <c r="H153" s="202"/>
    </row>
    <row r="154" spans="7:8" ht="15.75">
      <c r="G154" s="202"/>
      <c r="H154" s="202"/>
    </row>
    <row r="155" spans="7:8" ht="15.75">
      <c r="G155" s="202"/>
      <c r="H155" s="202"/>
    </row>
    <row r="156" spans="7:8" ht="15.75">
      <c r="G156" s="202"/>
      <c r="H156" s="202"/>
    </row>
    <row r="157" spans="7:8" ht="15.75">
      <c r="G157" s="202"/>
      <c r="H157" s="202"/>
    </row>
    <row r="158" spans="7:8" ht="15.75">
      <c r="G158" s="202"/>
      <c r="H158" s="202"/>
    </row>
    <row r="159" spans="7:8" ht="15.75">
      <c r="G159" s="202"/>
      <c r="H159" s="202"/>
    </row>
    <row r="160" spans="7:8" ht="15.75">
      <c r="G160" s="202"/>
      <c r="H160" s="202"/>
    </row>
    <row r="161" spans="7:8" ht="15.75">
      <c r="G161" s="202"/>
      <c r="H161" s="202"/>
    </row>
    <row r="162" spans="7:8" ht="15.75">
      <c r="G162" s="202"/>
      <c r="H162" s="202"/>
    </row>
    <row r="163" spans="7:8" ht="15.75">
      <c r="G163" s="202"/>
      <c r="H163" s="202"/>
    </row>
    <row r="164" spans="7:8" ht="15.75">
      <c r="G164" s="202"/>
      <c r="H164" s="202"/>
    </row>
    <row r="165" spans="7:8" ht="15.75">
      <c r="G165" s="202"/>
      <c r="H165" s="202"/>
    </row>
    <row r="166" spans="7:8" ht="15.75">
      <c r="G166" s="202"/>
      <c r="H166" s="202"/>
    </row>
    <row r="167" spans="7:8" ht="15.75">
      <c r="G167" s="202"/>
      <c r="H167" s="202"/>
    </row>
  </sheetData>
  <sheetProtection/>
  <mergeCells count="42">
    <mergeCell ref="D129:F129"/>
    <mergeCell ref="C118:F118"/>
    <mergeCell ref="C126:F126"/>
    <mergeCell ref="D127:F127"/>
    <mergeCell ref="A121:F121"/>
    <mergeCell ref="B125:F125"/>
    <mergeCell ref="D119:F119"/>
    <mergeCell ref="A76:F76"/>
    <mergeCell ref="D73:F73"/>
    <mergeCell ref="E42:F42"/>
    <mergeCell ref="A71:F71"/>
    <mergeCell ref="D128:F128"/>
    <mergeCell ref="D75:F75"/>
    <mergeCell ref="C115:F115"/>
    <mergeCell ref="C96:F96"/>
    <mergeCell ref="A10:I10"/>
    <mergeCell ref="B16:F16"/>
    <mergeCell ref="A12:F14"/>
    <mergeCell ref="B69:F69"/>
    <mergeCell ref="B61:F61"/>
    <mergeCell ref="A4:I4"/>
    <mergeCell ref="E19:F19"/>
    <mergeCell ref="D36:F36"/>
    <mergeCell ref="D68:F68"/>
    <mergeCell ref="D39:F39"/>
    <mergeCell ref="D40:F40"/>
    <mergeCell ref="D51:F51"/>
    <mergeCell ref="C63:F63"/>
    <mergeCell ref="D64:F64"/>
    <mergeCell ref="B72:F72"/>
    <mergeCell ref="D74:F74"/>
    <mergeCell ref="A1:I1"/>
    <mergeCell ref="D18:F18"/>
    <mergeCell ref="E47:F47"/>
    <mergeCell ref="C50:F50"/>
    <mergeCell ref="C45:F45"/>
    <mergeCell ref="A7:I7"/>
    <mergeCell ref="A8:I8"/>
    <mergeCell ref="D46:F46"/>
    <mergeCell ref="A6:I6"/>
    <mergeCell ref="A3:I3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  <rowBreaks count="1" manualBreakCount="1">
    <brk id="9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view="pageBreakPreview" zoomScale="60" zoomScalePageLayoutView="0" workbookViewId="0" topLeftCell="A1">
      <selection activeCell="E12" sqref="E12:G13"/>
    </sheetView>
  </sheetViews>
  <sheetFormatPr defaultColWidth="9.00390625" defaultRowHeight="12.75"/>
  <cols>
    <col min="1" max="1" width="3.875" style="135" customWidth="1"/>
    <col min="2" max="2" width="9.125" style="135" customWidth="1"/>
    <col min="3" max="3" width="61.125" style="135" customWidth="1"/>
    <col min="4" max="7" width="26.25390625" style="135" customWidth="1"/>
    <col min="8" max="16384" width="9.125" style="135" customWidth="1"/>
  </cols>
  <sheetData>
    <row r="1" spans="1:7" ht="15.75">
      <c r="A1" s="438" t="s">
        <v>605</v>
      </c>
      <c r="B1" s="407"/>
      <c r="C1" s="407"/>
      <c r="D1" s="407"/>
      <c r="E1" s="407"/>
      <c r="F1" s="407"/>
      <c r="G1" s="407"/>
    </row>
    <row r="2" spans="1:7" ht="14.25" customHeight="1">
      <c r="A2" s="438"/>
      <c r="B2" s="407"/>
      <c r="C2" s="407"/>
      <c r="D2" s="407"/>
      <c r="E2" s="407"/>
      <c r="F2" s="407"/>
      <c r="G2" s="407"/>
    </row>
    <row r="3" spans="1:7" s="131" customFormat="1" ht="15.75">
      <c r="A3" s="439" t="s">
        <v>411</v>
      </c>
      <c r="B3" s="412"/>
      <c r="C3" s="412"/>
      <c r="D3" s="412"/>
      <c r="E3" s="412"/>
      <c r="F3" s="412"/>
      <c r="G3" s="412"/>
    </row>
    <row r="4" spans="3:7" s="49" customFormat="1" ht="15" customHeight="1">
      <c r="C4" s="440"/>
      <c r="D4" s="440"/>
      <c r="E4" s="440"/>
      <c r="F4" s="440"/>
      <c r="G4" s="440"/>
    </row>
    <row r="5" spans="2:7" s="133" customFormat="1" ht="15" customHeight="1">
      <c r="B5" s="436"/>
      <c r="C5" s="436"/>
      <c r="D5" s="436"/>
      <c r="E5" s="436"/>
      <c r="F5" s="436"/>
      <c r="G5" s="436"/>
    </row>
    <row r="6" spans="2:7" s="90" customFormat="1" ht="15" customHeight="1">
      <c r="B6" s="436" t="s">
        <v>27</v>
      </c>
      <c r="C6" s="436"/>
      <c r="D6" s="436"/>
      <c r="E6" s="436"/>
      <c r="F6" s="436"/>
      <c r="G6" s="436"/>
    </row>
    <row r="7" spans="2:7" s="90" customFormat="1" ht="15.75" customHeight="1">
      <c r="B7" s="437" t="s">
        <v>264</v>
      </c>
      <c r="C7" s="437"/>
      <c r="D7" s="437"/>
      <c r="E7" s="437"/>
      <c r="F7" s="437"/>
      <c r="G7" s="437"/>
    </row>
    <row r="8" spans="3:7" s="90" customFormat="1" ht="15" customHeight="1">
      <c r="C8" s="436" t="s">
        <v>349</v>
      </c>
      <c r="D8" s="436"/>
      <c r="E8" s="436"/>
      <c r="F8" s="436"/>
      <c r="G8" s="436"/>
    </row>
    <row r="9" spans="3:7" s="131" customFormat="1" ht="12" customHeight="1" thickBot="1">
      <c r="C9" s="132"/>
      <c r="D9" s="134"/>
      <c r="E9" s="284"/>
      <c r="F9" s="284"/>
      <c r="G9" s="283"/>
    </row>
    <row r="10" spans="1:7" s="131" customFormat="1" ht="23.25" customHeight="1" thickBot="1">
      <c r="A10" s="441" t="s">
        <v>356</v>
      </c>
      <c r="B10" s="444" t="s">
        <v>158</v>
      </c>
      <c r="C10" s="447" t="s">
        <v>159</v>
      </c>
      <c r="D10" s="450" t="s">
        <v>265</v>
      </c>
      <c r="E10" s="453" t="s">
        <v>266</v>
      </c>
      <c r="F10" s="453"/>
      <c r="G10" s="454"/>
    </row>
    <row r="11" spans="1:7" s="131" customFormat="1" ht="39.75" customHeight="1" thickBot="1">
      <c r="A11" s="442"/>
      <c r="B11" s="445"/>
      <c r="C11" s="448"/>
      <c r="D11" s="451"/>
      <c r="E11" s="280" t="s">
        <v>267</v>
      </c>
      <c r="F11" s="282" t="s">
        <v>268</v>
      </c>
      <c r="G11" s="281" t="s">
        <v>269</v>
      </c>
    </row>
    <row r="12" spans="1:7" s="131" customFormat="1" ht="22.5" customHeight="1">
      <c r="A12" s="442"/>
      <c r="B12" s="445"/>
      <c r="C12" s="448"/>
      <c r="D12" s="451"/>
      <c r="E12" s="455" t="s">
        <v>270</v>
      </c>
      <c r="F12" s="456"/>
      <c r="G12" s="457"/>
    </row>
    <row r="13" spans="1:7" ht="21.75" customHeight="1" thickBot="1">
      <c r="A13" s="443"/>
      <c r="B13" s="446"/>
      <c r="C13" s="449"/>
      <c r="D13" s="452"/>
      <c r="E13" s="458"/>
      <c r="F13" s="459"/>
      <c r="G13" s="460"/>
    </row>
    <row r="14" spans="1:7" ht="30">
      <c r="A14" s="224" t="s">
        <v>30</v>
      </c>
      <c r="B14" s="219" t="s">
        <v>175</v>
      </c>
      <c r="C14" s="136" t="s">
        <v>176</v>
      </c>
      <c r="D14" s="279">
        <f aca="true" t="shared" si="0" ref="D14:D28">SUM(E14:G14)</f>
        <v>378210</v>
      </c>
      <c r="E14" s="279">
        <f>7000+66664+50000</f>
        <v>123664</v>
      </c>
      <c r="F14" s="279">
        <f>61800+192746</f>
        <v>254546</v>
      </c>
      <c r="G14" s="278"/>
    </row>
    <row r="15" spans="1:7" ht="15">
      <c r="A15" s="223" t="s">
        <v>20</v>
      </c>
      <c r="B15" s="220" t="s">
        <v>177</v>
      </c>
      <c r="C15" s="83" t="s">
        <v>24</v>
      </c>
      <c r="D15" s="273">
        <f t="shared" si="0"/>
        <v>51800</v>
      </c>
      <c r="E15" s="273">
        <v>51800</v>
      </c>
      <c r="F15" s="273"/>
      <c r="G15" s="272"/>
    </row>
    <row r="16" spans="1:7" ht="15">
      <c r="A16" s="223" t="s">
        <v>31</v>
      </c>
      <c r="B16" s="220" t="s">
        <v>178</v>
      </c>
      <c r="C16" s="83" t="s">
        <v>179</v>
      </c>
      <c r="D16" s="273">
        <f t="shared" si="0"/>
        <v>956117</v>
      </c>
      <c r="E16" s="273">
        <v>820000</v>
      </c>
      <c r="F16" s="273">
        <f>85179+2000+20000+28938</f>
        <v>136117</v>
      </c>
      <c r="G16" s="272"/>
    </row>
    <row r="17" spans="1:7" ht="15">
      <c r="A17" s="223" t="s">
        <v>79</v>
      </c>
      <c r="B17" s="220" t="s">
        <v>271</v>
      </c>
      <c r="C17" s="83" t="s">
        <v>272</v>
      </c>
      <c r="D17" s="273">
        <f t="shared" si="0"/>
        <v>89320042</v>
      </c>
      <c r="E17" s="273">
        <f>28045173+27846+1000000+5185082+28792+115989+806700+65080+64999+326400+14396+28998+268900+711200+12630487+40000000</f>
        <v>89320042</v>
      </c>
      <c r="F17" s="273"/>
      <c r="G17" s="272"/>
    </row>
    <row r="18" spans="1:7" ht="15">
      <c r="A18" s="223" t="s">
        <v>80</v>
      </c>
      <c r="B18" s="220" t="s">
        <v>358</v>
      </c>
      <c r="C18" s="83" t="s">
        <v>359</v>
      </c>
      <c r="D18" s="273">
        <f>SUM(E18:G18)</f>
        <v>62033655</v>
      </c>
      <c r="E18" s="273">
        <f>16546464+6584967+64122+89764+120000+17000+195900+38415438</f>
        <v>62033655</v>
      </c>
      <c r="F18" s="273"/>
      <c r="G18" s="272"/>
    </row>
    <row r="19" spans="1:7" ht="15">
      <c r="A19" s="223" t="s">
        <v>86</v>
      </c>
      <c r="B19" s="220" t="s">
        <v>466</v>
      </c>
      <c r="C19" s="83" t="s">
        <v>467</v>
      </c>
      <c r="D19" s="273">
        <f>SUM(E19:G19)</f>
        <v>1405418</v>
      </c>
      <c r="E19" s="273">
        <f>722670+501752+180996</f>
        <v>1405418</v>
      </c>
      <c r="F19" s="273"/>
      <c r="G19" s="272"/>
    </row>
    <row r="20" spans="1:7" ht="15">
      <c r="A20" s="223" t="s">
        <v>222</v>
      </c>
      <c r="B20" s="220" t="s">
        <v>182</v>
      </c>
      <c r="C20" s="83" t="s">
        <v>183</v>
      </c>
      <c r="D20" s="273">
        <f t="shared" si="0"/>
        <v>6312694</v>
      </c>
      <c r="E20" s="273">
        <v>6312694</v>
      </c>
      <c r="F20" s="273"/>
      <c r="G20" s="272"/>
    </row>
    <row r="21" spans="1:7" ht="15">
      <c r="A21" s="223" t="s">
        <v>224</v>
      </c>
      <c r="B21" s="220" t="s">
        <v>190</v>
      </c>
      <c r="C21" s="83" t="s">
        <v>191</v>
      </c>
      <c r="D21" s="273">
        <f t="shared" si="0"/>
        <v>290830</v>
      </c>
      <c r="E21" s="273">
        <v>290830</v>
      </c>
      <c r="F21" s="273"/>
      <c r="G21" s="272"/>
    </row>
    <row r="22" spans="1:7" ht="15">
      <c r="A22" s="223" t="s">
        <v>226</v>
      </c>
      <c r="B22" s="220" t="s">
        <v>192</v>
      </c>
      <c r="C22" s="83" t="s">
        <v>22</v>
      </c>
      <c r="D22" s="273">
        <f t="shared" si="0"/>
        <v>4825255</v>
      </c>
      <c r="E22" s="273">
        <v>4825255</v>
      </c>
      <c r="F22" s="273"/>
      <c r="G22" s="272"/>
    </row>
    <row r="23" spans="1:7" ht="15">
      <c r="A23" s="223" t="s">
        <v>233</v>
      </c>
      <c r="B23" s="220" t="s">
        <v>273</v>
      </c>
      <c r="C23" s="83" t="s">
        <v>274</v>
      </c>
      <c r="D23" s="273">
        <f t="shared" si="0"/>
        <v>77200</v>
      </c>
      <c r="E23" s="273">
        <v>77200</v>
      </c>
      <c r="F23" s="273"/>
      <c r="G23" s="272"/>
    </row>
    <row r="24" spans="1:7" ht="15">
      <c r="A24" s="223" t="s">
        <v>235</v>
      </c>
      <c r="B24" s="220" t="s">
        <v>275</v>
      </c>
      <c r="C24" s="83" t="s">
        <v>276</v>
      </c>
      <c r="D24" s="273">
        <f t="shared" si="0"/>
        <v>85418</v>
      </c>
      <c r="E24" s="273"/>
      <c r="F24" s="273">
        <v>85418</v>
      </c>
      <c r="G24" s="272"/>
    </row>
    <row r="25" spans="1:7" ht="15">
      <c r="A25" s="223" t="s">
        <v>237</v>
      </c>
      <c r="B25" s="220" t="s">
        <v>275</v>
      </c>
      <c r="C25" s="85" t="s">
        <v>332</v>
      </c>
      <c r="D25" s="273">
        <f t="shared" si="0"/>
        <v>165719</v>
      </c>
      <c r="E25" s="273"/>
      <c r="F25" s="273">
        <v>165719</v>
      </c>
      <c r="G25" s="272"/>
    </row>
    <row r="26" spans="1:7" ht="15">
      <c r="A26" s="223" t="s">
        <v>242</v>
      </c>
      <c r="B26" s="221">
        <v>104051</v>
      </c>
      <c r="C26" s="83" t="s">
        <v>328</v>
      </c>
      <c r="D26" s="273">
        <f t="shared" si="0"/>
        <v>46400</v>
      </c>
      <c r="E26" s="273"/>
      <c r="F26" s="273"/>
      <c r="G26" s="272">
        <v>46400</v>
      </c>
    </row>
    <row r="27" spans="1:7" ht="15">
      <c r="A27" s="223" t="s">
        <v>244</v>
      </c>
      <c r="B27" s="220" t="s">
        <v>200</v>
      </c>
      <c r="C27" s="85" t="s">
        <v>326</v>
      </c>
      <c r="D27" s="273">
        <f t="shared" si="0"/>
        <v>296786</v>
      </c>
      <c r="E27" s="273">
        <v>296786</v>
      </c>
      <c r="F27" s="273"/>
      <c r="G27" s="272"/>
    </row>
    <row r="28" spans="1:7" ht="30.75" thickBot="1">
      <c r="A28" s="223" t="s">
        <v>246</v>
      </c>
      <c r="B28" s="221">
        <v>900020</v>
      </c>
      <c r="C28" s="83" t="s">
        <v>277</v>
      </c>
      <c r="D28" s="273">
        <f t="shared" si="0"/>
        <v>7808000</v>
      </c>
      <c r="E28" s="273">
        <v>7808000</v>
      </c>
      <c r="F28" s="273"/>
      <c r="G28" s="272"/>
    </row>
    <row r="29" spans="1:7" ht="30" customHeight="1" thickBot="1">
      <c r="A29" s="277" t="s">
        <v>253</v>
      </c>
      <c r="B29" s="222"/>
      <c r="C29" s="266" t="s">
        <v>420</v>
      </c>
      <c r="D29" s="276">
        <f>SUM(D14:D28)</f>
        <v>174053544</v>
      </c>
      <c r="E29" s="276">
        <f>SUM(E14:E28)</f>
        <v>173365344</v>
      </c>
      <c r="F29" s="276">
        <f>SUM(F14:F28)</f>
        <v>641800</v>
      </c>
      <c r="G29" s="276">
        <f>SUM(G14:G28)</f>
        <v>46400</v>
      </c>
    </row>
    <row r="30" spans="1:7" ht="19.5" customHeight="1">
      <c r="A30" s="275" t="s">
        <v>256</v>
      </c>
      <c r="B30" s="274" t="s">
        <v>273</v>
      </c>
      <c r="C30" s="83" t="s">
        <v>274</v>
      </c>
      <c r="D30" s="273">
        <f>SUM(E30:G30)</f>
        <v>148352</v>
      </c>
      <c r="E30" s="273">
        <v>148352</v>
      </c>
      <c r="F30" s="273"/>
      <c r="G30" s="272"/>
    </row>
    <row r="31" spans="1:7" ht="15">
      <c r="A31" s="223" t="s">
        <v>258</v>
      </c>
      <c r="B31" s="84" t="s">
        <v>275</v>
      </c>
      <c r="C31" s="83" t="s">
        <v>276</v>
      </c>
      <c r="D31" s="273">
        <f>SUM(E31:G31)</f>
        <v>246970</v>
      </c>
      <c r="E31" s="273"/>
      <c r="F31" s="273">
        <v>246970</v>
      </c>
      <c r="G31" s="272"/>
    </row>
    <row r="32" spans="1:7" ht="15">
      <c r="A32" s="223" t="s">
        <v>320</v>
      </c>
      <c r="B32" s="84" t="s">
        <v>275</v>
      </c>
      <c r="C32" s="85" t="s">
        <v>332</v>
      </c>
      <c r="D32" s="273">
        <f>SUM(E32:G32)</f>
        <v>788012</v>
      </c>
      <c r="E32" s="273"/>
      <c r="F32" s="273">
        <v>788012</v>
      </c>
      <c r="G32" s="272"/>
    </row>
    <row r="33" spans="1:7" ht="15.75" thickBot="1">
      <c r="A33" s="223" t="s">
        <v>322</v>
      </c>
      <c r="B33" s="271" t="s">
        <v>200</v>
      </c>
      <c r="C33" s="270" t="s">
        <v>326</v>
      </c>
      <c r="D33" s="269">
        <f>SUM(E33:G33)</f>
        <v>1547151</v>
      </c>
      <c r="E33" s="269">
        <v>1547151</v>
      </c>
      <c r="F33" s="269"/>
      <c r="G33" s="268"/>
    </row>
    <row r="34" spans="1:7" ht="19.5" customHeight="1" thickBot="1">
      <c r="A34" s="223" t="s">
        <v>364</v>
      </c>
      <c r="B34" s="137"/>
      <c r="C34" s="266" t="s">
        <v>419</v>
      </c>
      <c r="D34" s="265">
        <f>SUM(D30:D33)</f>
        <v>2730485</v>
      </c>
      <c r="E34" s="265">
        <f>SUM(E30:E33)</f>
        <v>1695503</v>
      </c>
      <c r="F34" s="265">
        <f>SUM(F30:F33)</f>
        <v>1034982</v>
      </c>
      <c r="G34" s="267">
        <f>SUM(G30:G33)</f>
        <v>0</v>
      </c>
    </row>
    <row r="35" spans="1:7" ht="15.75" customHeight="1" thickBot="1">
      <c r="A35" s="245" t="s">
        <v>365</v>
      </c>
      <c r="B35" s="137"/>
      <c r="C35" s="266" t="s">
        <v>418</v>
      </c>
      <c r="D35" s="265">
        <f>D29+D34</f>
        <v>176784029</v>
      </c>
      <c r="E35" s="265">
        <f>E29+E34</f>
        <v>175060847</v>
      </c>
      <c r="F35" s="265">
        <f>F29+F34</f>
        <v>1676782</v>
      </c>
      <c r="G35" s="265">
        <f>G29+G34</f>
        <v>46400</v>
      </c>
    </row>
  </sheetData>
  <sheetProtection/>
  <mergeCells count="14">
    <mergeCell ref="C8:G8"/>
    <mergeCell ref="A10:A13"/>
    <mergeCell ref="B10:B13"/>
    <mergeCell ref="C10:C13"/>
    <mergeCell ref="D10:D13"/>
    <mergeCell ref="E10:G10"/>
    <mergeCell ref="E12:G13"/>
    <mergeCell ref="B5:G5"/>
    <mergeCell ref="B6:G6"/>
    <mergeCell ref="B7:G7"/>
    <mergeCell ref="A1:G1"/>
    <mergeCell ref="A3:G3"/>
    <mergeCell ref="A2:G2"/>
    <mergeCell ref="C4:G4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9"/>
  <sheetViews>
    <sheetView view="pageBreakPreview" zoomScale="60" zoomScalePageLayoutView="0" workbookViewId="0" topLeftCell="B1">
      <selection activeCell="B1" sqref="B1:T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625" style="10" customWidth="1"/>
    <col min="5" max="5" width="11.75390625" style="10" customWidth="1"/>
    <col min="6" max="6" width="11.125" style="10" customWidth="1"/>
    <col min="7" max="7" width="12.625" style="10" customWidth="1"/>
    <col min="8" max="8" width="10.375" style="10" customWidth="1"/>
    <col min="9" max="9" width="13.1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38" t="s">
        <v>606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</row>
    <row r="2" spans="2:17" ht="15.75" customHeight="1">
      <c r="B2" s="468" t="s">
        <v>412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2:20" s="81" customFormat="1" ht="15.75" customHeight="1"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</row>
    <row r="4" spans="2:17" s="81" customFormat="1" ht="15.75" customHeight="1">
      <c r="B4" s="80"/>
      <c r="C4" s="80"/>
      <c r="D4" s="80"/>
      <c r="E4" s="80"/>
      <c r="F4" s="80"/>
      <c r="G4" s="80"/>
      <c r="H4" s="464"/>
      <c r="I4" s="494"/>
      <c r="J4" s="494"/>
      <c r="K4" s="494"/>
      <c r="L4" s="80"/>
      <c r="M4" s="80"/>
      <c r="N4" s="80"/>
      <c r="O4" s="80"/>
      <c r="P4" s="80"/>
      <c r="Q4" s="80"/>
    </row>
    <row r="5" spans="2:20" s="81" customFormat="1" ht="15.75" customHeight="1">
      <c r="B5" s="464" t="s">
        <v>27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</row>
    <row r="6" spans="2:20" s="81" customFormat="1" ht="15.75" customHeight="1">
      <c r="B6" s="464" t="s">
        <v>157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</row>
    <row r="7" spans="2:20" s="81" customFormat="1" ht="15.75" customHeight="1">
      <c r="B7" s="464" t="s">
        <v>354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</row>
    <row r="8" spans="19:20" s="81" customFormat="1" ht="15.75" thickBot="1">
      <c r="S8" s="472" t="s">
        <v>357</v>
      </c>
      <c r="T8" s="472"/>
    </row>
    <row r="9" spans="1:20" s="82" customFormat="1" ht="20.25" customHeight="1" thickBot="1">
      <c r="A9" s="501" t="s">
        <v>356</v>
      </c>
      <c r="B9" s="498" t="s">
        <v>158</v>
      </c>
      <c r="C9" s="495" t="s">
        <v>159</v>
      </c>
      <c r="D9" s="461" t="s">
        <v>160</v>
      </c>
      <c r="E9" s="478" t="s">
        <v>161</v>
      </c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80"/>
      <c r="S9" s="473" t="s">
        <v>3</v>
      </c>
      <c r="T9" s="474"/>
    </row>
    <row r="10" spans="1:20" s="82" customFormat="1" ht="38.25" customHeight="1" thickBot="1">
      <c r="A10" s="502"/>
      <c r="B10" s="499"/>
      <c r="C10" s="496"/>
      <c r="D10" s="462"/>
      <c r="E10" s="491" t="s">
        <v>52</v>
      </c>
      <c r="F10" s="492"/>
      <c r="G10" s="492"/>
      <c r="H10" s="492"/>
      <c r="I10" s="492"/>
      <c r="J10" s="493"/>
      <c r="K10" s="481" t="s">
        <v>53</v>
      </c>
      <c r="L10" s="482"/>
      <c r="M10" s="482"/>
      <c r="N10" s="483"/>
      <c r="O10" s="488" t="s">
        <v>162</v>
      </c>
      <c r="P10" s="489"/>
      <c r="Q10" s="489"/>
      <c r="R10" s="490"/>
      <c r="S10" s="486" t="s">
        <v>7</v>
      </c>
      <c r="T10" s="487"/>
    </row>
    <row r="11" spans="1:20" s="82" customFormat="1" ht="21" customHeight="1" thickBot="1">
      <c r="A11" s="502"/>
      <c r="B11" s="499"/>
      <c r="C11" s="496"/>
      <c r="D11" s="462"/>
      <c r="E11" s="461" t="s">
        <v>163</v>
      </c>
      <c r="F11" s="461" t="s">
        <v>164</v>
      </c>
      <c r="G11" s="461" t="s">
        <v>165</v>
      </c>
      <c r="H11" s="461" t="s">
        <v>166</v>
      </c>
      <c r="I11" s="461" t="s">
        <v>167</v>
      </c>
      <c r="J11" s="465" t="s">
        <v>168</v>
      </c>
      <c r="K11" s="475" t="s">
        <v>169</v>
      </c>
      <c r="L11" s="475" t="s">
        <v>54</v>
      </c>
      <c r="M11" s="461" t="s">
        <v>278</v>
      </c>
      <c r="N11" s="469" t="s">
        <v>279</v>
      </c>
      <c r="O11" s="461" t="s">
        <v>333</v>
      </c>
      <c r="P11" s="461" t="s">
        <v>170</v>
      </c>
      <c r="Q11" s="461" t="s">
        <v>171</v>
      </c>
      <c r="R11" s="469" t="s">
        <v>280</v>
      </c>
      <c r="S11" s="129" t="s">
        <v>172</v>
      </c>
      <c r="T11" s="130" t="s">
        <v>173</v>
      </c>
    </row>
    <row r="12" spans="1:20" s="82" customFormat="1" ht="18.75" customHeight="1">
      <c r="A12" s="502"/>
      <c r="B12" s="499"/>
      <c r="C12" s="496"/>
      <c r="D12" s="462"/>
      <c r="E12" s="462"/>
      <c r="F12" s="462"/>
      <c r="G12" s="462"/>
      <c r="H12" s="462"/>
      <c r="I12" s="462"/>
      <c r="J12" s="466"/>
      <c r="K12" s="476"/>
      <c r="L12" s="476"/>
      <c r="M12" s="462"/>
      <c r="N12" s="470"/>
      <c r="O12" s="462"/>
      <c r="P12" s="462"/>
      <c r="Q12" s="462"/>
      <c r="R12" s="470"/>
      <c r="S12" s="484" t="s">
        <v>174</v>
      </c>
      <c r="T12" s="485"/>
    </row>
    <row r="13" spans="1:20" s="82" customFormat="1" ht="20.25" customHeight="1" thickBot="1">
      <c r="A13" s="503"/>
      <c r="B13" s="500"/>
      <c r="C13" s="497"/>
      <c r="D13" s="463"/>
      <c r="E13" s="463"/>
      <c r="F13" s="463"/>
      <c r="G13" s="463"/>
      <c r="H13" s="463"/>
      <c r="I13" s="463"/>
      <c r="J13" s="467"/>
      <c r="K13" s="477"/>
      <c r="L13" s="477"/>
      <c r="M13" s="463"/>
      <c r="N13" s="471"/>
      <c r="O13" s="463"/>
      <c r="P13" s="463"/>
      <c r="Q13" s="463"/>
      <c r="R13" s="471"/>
      <c r="S13" s="486"/>
      <c r="T13" s="487"/>
    </row>
    <row r="14" spans="1:20" s="81" customFormat="1" ht="30">
      <c r="A14" s="257" t="s">
        <v>30</v>
      </c>
      <c r="B14" s="255" t="s">
        <v>175</v>
      </c>
      <c r="C14" s="83" t="s">
        <v>176</v>
      </c>
      <c r="D14" s="233">
        <f>J14+N14+P14+Q14</f>
        <v>58546193</v>
      </c>
      <c r="E14" s="225">
        <f>11856713+444000+74764+2250+54642+2371+134000+157988</f>
        <v>12726728</v>
      </c>
      <c r="F14" s="226">
        <f>2822558+97680+15000+12022+280-5979-1876+32291+34758</f>
        <v>3006734</v>
      </c>
      <c r="G14" s="226">
        <f>3583240+143179+64122+120000+120000+37786+9563+64999-50800+317500-143179</f>
        <v>4266410</v>
      </c>
      <c r="H14" s="226"/>
      <c r="I14" s="226">
        <f>278800+38415438+5185082+115989+806700+65080+80000-1181000-606235-120000-499999-190000-287259+28998+268900-2228909-40000-50000-317500-392840-123482-455060-495519-478864+326400-499999</f>
        <v>37604721</v>
      </c>
      <c r="J14" s="227">
        <f aca="true" t="shared" si="0" ref="J14:J22">SUM(E14:I14)</f>
        <v>57604593</v>
      </c>
      <c r="K14" s="228">
        <v>101600</v>
      </c>
      <c r="L14" s="228"/>
      <c r="M14" s="228">
        <v>840000</v>
      </c>
      <c r="N14" s="229">
        <f>SUM(K14:M14)</f>
        <v>941600</v>
      </c>
      <c r="O14" s="229"/>
      <c r="P14" s="230"/>
      <c r="Q14" s="231"/>
      <c r="R14" s="231"/>
      <c r="S14" s="259">
        <f>0.5+0.1+0.2-0.3</f>
        <v>0.5</v>
      </c>
      <c r="T14" s="260">
        <v>0.5</v>
      </c>
    </row>
    <row r="15" spans="1:20" s="81" customFormat="1" ht="15">
      <c r="A15" s="257" t="s">
        <v>20</v>
      </c>
      <c r="B15" s="220" t="s">
        <v>177</v>
      </c>
      <c r="C15" s="83" t="s">
        <v>24</v>
      </c>
      <c r="D15" s="233">
        <f>J15+N15+P15+Q15</f>
        <v>64340</v>
      </c>
      <c r="E15" s="225"/>
      <c r="F15" s="226"/>
      <c r="G15" s="226">
        <v>64340</v>
      </c>
      <c r="H15" s="226"/>
      <c r="I15" s="226"/>
      <c r="J15" s="227">
        <f t="shared" si="0"/>
        <v>64340</v>
      </c>
      <c r="K15" s="228"/>
      <c r="L15" s="228"/>
      <c r="M15" s="228"/>
      <c r="N15" s="229"/>
      <c r="O15" s="229"/>
      <c r="P15" s="230"/>
      <c r="Q15" s="231"/>
      <c r="R15" s="231"/>
      <c r="S15" s="261"/>
      <c r="T15" s="262"/>
    </row>
    <row r="16" spans="1:20" s="81" customFormat="1" ht="29.25" customHeight="1">
      <c r="A16" s="257" t="s">
        <v>31</v>
      </c>
      <c r="B16" s="220" t="s">
        <v>178</v>
      </c>
      <c r="C16" s="83" t="s">
        <v>179</v>
      </c>
      <c r="D16" s="233">
        <f>J16+N16+R16</f>
        <v>1672790</v>
      </c>
      <c r="E16" s="225"/>
      <c r="F16" s="226"/>
      <c r="G16" s="226">
        <f>244790+127000</f>
        <v>371790</v>
      </c>
      <c r="H16" s="226"/>
      <c r="I16" s="226"/>
      <c r="J16" s="227">
        <f t="shared" si="0"/>
        <v>371790</v>
      </c>
      <c r="K16" s="228">
        <v>1181000</v>
      </c>
      <c r="L16" s="228">
        <v>120000</v>
      </c>
      <c r="M16" s="228"/>
      <c r="N16" s="229">
        <f>SUM(K16:M16)</f>
        <v>1301000</v>
      </c>
      <c r="O16" s="229"/>
      <c r="P16" s="230"/>
      <c r="Q16" s="231"/>
      <c r="R16" s="231"/>
      <c r="S16" s="263"/>
      <c r="T16" s="262"/>
    </row>
    <row r="17" spans="1:20" s="81" customFormat="1" ht="30" customHeight="1">
      <c r="A17" s="257" t="s">
        <v>79</v>
      </c>
      <c r="B17" s="220" t="s">
        <v>271</v>
      </c>
      <c r="C17" s="83" t="s">
        <v>272</v>
      </c>
      <c r="D17" s="233">
        <f>J17+N17+R17</f>
        <v>1121209</v>
      </c>
      <c r="E17" s="225"/>
      <c r="F17" s="226"/>
      <c r="G17" s="226"/>
      <c r="H17" s="226"/>
      <c r="I17" s="226"/>
      <c r="J17" s="227">
        <f t="shared" si="0"/>
        <v>0</v>
      </c>
      <c r="K17" s="228"/>
      <c r="L17" s="228"/>
      <c r="M17" s="228"/>
      <c r="N17" s="229">
        <f>SUM(K17:M17)</f>
        <v>0</v>
      </c>
      <c r="O17" s="229">
        <v>1121209</v>
      </c>
      <c r="P17" s="230"/>
      <c r="Q17" s="231"/>
      <c r="R17" s="231">
        <f>O17+P17+Q17</f>
        <v>1121209</v>
      </c>
      <c r="S17" s="259"/>
      <c r="T17" s="262"/>
    </row>
    <row r="18" spans="1:20" s="81" customFormat="1" ht="30" customHeight="1">
      <c r="A18" s="257" t="s">
        <v>80</v>
      </c>
      <c r="B18" s="220" t="s">
        <v>466</v>
      </c>
      <c r="C18" s="83" t="s">
        <v>467</v>
      </c>
      <c r="D18" s="233">
        <f>J18+N18+R18</f>
        <v>2177520</v>
      </c>
      <c r="E18" s="225">
        <f>647490+180452+49998+423245+28784+390007+163060</f>
        <v>1883036</v>
      </c>
      <c r="F18" s="226">
        <f>75180+39699+17110+49723+5979+88857+17936</f>
        <v>294484</v>
      </c>
      <c r="G18" s="226"/>
      <c r="H18" s="226"/>
      <c r="I18" s="226"/>
      <c r="J18" s="227">
        <f t="shared" si="0"/>
        <v>2177520</v>
      </c>
      <c r="K18" s="228"/>
      <c r="L18" s="228"/>
      <c r="M18" s="228"/>
      <c r="N18" s="229"/>
      <c r="O18" s="229"/>
      <c r="P18" s="230"/>
      <c r="Q18" s="231"/>
      <c r="R18" s="231"/>
      <c r="S18" s="259"/>
      <c r="T18" s="262"/>
    </row>
    <row r="19" spans="1:20" s="81" customFormat="1" ht="30" customHeight="1">
      <c r="A19" s="257" t="s">
        <v>472</v>
      </c>
      <c r="B19" s="220" t="s">
        <v>360</v>
      </c>
      <c r="C19" s="83" t="s">
        <v>361</v>
      </c>
      <c r="D19" s="233">
        <f>J19+N19+R19</f>
        <v>66465629</v>
      </c>
      <c r="E19" s="225"/>
      <c r="F19" s="226"/>
      <c r="G19" s="226">
        <f>606235+499999+499999</f>
        <v>1606233</v>
      </c>
      <c r="H19" s="226"/>
      <c r="I19" s="226"/>
      <c r="J19" s="227">
        <f t="shared" si="0"/>
        <v>1606233</v>
      </c>
      <c r="K19" s="228"/>
      <c r="L19" s="228">
        <f>10000000+12630487+40000000+2228909</f>
        <v>64859396</v>
      </c>
      <c r="M19" s="228"/>
      <c r="N19" s="229">
        <f>SUM(K19:M19)</f>
        <v>64859396</v>
      </c>
      <c r="O19" s="229"/>
      <c r="P19" s="230"/>
      <c r="Q19" s="231"/>
      <c r="R19" s="231"/>
      <c r="S19" s="259"/>
      <c r="T19" s="262"/>
    </row>
    <row r="20" spans="1:20" s="81" customFormat="1" ht="30">
      <c r="A20" s="257" t="s">
        <v>222</v>
      </c>
      <c r="B20" s="220" t="s">
        <v>180</v>
      </c>
      <c r="C20" s="83" t="s">
        <v>181</v>
      </c>
      <c r="D20" s="233">
        <f aca="true" t="shared" si="1" ref="D20:D41">J20+N20+P20+Q20</f>
        <v>26670</v>
      </c>
      <c r="E20" s="225"/>
      <c r="F20" s="226"/>
      <c r="G20" s="226">
        <v>26670</v>
      </c>
      <c r="H20" s="226"/>
      <c r="I20" s="226"/>
      <c r="J20" s="227">
        <f t="shared" si="0"/>
        <v>26670</v>
      </c>
      <c r="K20" s="228"/>
      <c r="L20" s="228"/>
      <c r="M20" s="228"/>
      <c r="N20" s="229">
        <f>SUM(K20:M20)</f>
        <v>0</v>
      </c>
      <c r="O20" s="229"/>
      <c r="P20" s="230"/>
      <c r="Q20" s="231"/>
      <c r="R20" s="231"/>
      <c r="S20" s="259"/>
      <c r="T20" s="262"/>
    </row>
    <row r="21" spans="1:20" s="81" customFormat="1" ht="15">
      <c r="A21" s="257" t="s">
        <v>224</v>
      </c>
      <c r="B21" s="220" t="s">
        <v>339</v>
      </c>
      <c r="C21" s="83" t="s">
        <v>340</v>
      </c>
      <c r="D21" s="233">
        <f t="shared" si="1"/>
        <v>19050</v>
      </c>
      <c r="E21" s="225"/>
      <c r="F21" s="226"/>
      <c r="G21" s="226">
        <v>19050</v>
      </c>
      <c r="H21" s="226"/>
      <c r="I21" s="226"/>
      <c r="J21" s="227">
        <f t="shared" si="0"/>
        <v>19050</v>
      </c>
      <c r="K21" s="228"/>
      <c r="L21" s="228"/>
      <c r="M21" s="228"/>
      <c r="N21" s="229">
        <f>SUM(K21:M21)</f>
        <v>0</v>
      </c>
      <c r="O21" s="229"/>
      <c r="P21" s="230"/>
      <c r="Q21" s="231"/>
      <c r="R21" s="231"/>
      <c r="S21" s="259"/>
      <c r="T21" s="262"/>
    </row>
    <row r="22" spans="1:20" s="81" customFormat="1" ht="30">
      <c r="A22" s="257" t="s">
        <v>226</v>
      </c>
      <c r="B22" s="220" t="s">
        <v>182</v>
      </c>
      <c r="C22" s="83" t="s">
        <v>183</v>
      </c>
      <c r="D22" s="233">
        <f t="shared" si="1"/>
        <v>6312694</v>
      </c>
      <c r="E22" s="225"/>
      <c r="F22" s="226"/>
      <c r="G22" s="226">
        <v>6312694</v>
      </c>
      <c r="H22" s="226"/>
      <c r="I22" s="226"/>
      <c r="J22" s="227">
        <f t="shared" si="0"/>
        <v>6312694</v>
      </c>
      <c r="K22" s="228"/>
      <c r="L22" s="228"/>
      <c r="M22" s="228"/>
      <c r="N22" s="229"/>
      <c r="O22" s="229"/>
      <c r="P22" s="230"/>
      <c r="Q22" s="231"/>
      <c r="R22" s="231"/>
      <c r="S22" s="263"/>
      <c r="T22" s="262"/>
    </row>
    <row r="23" spans="1:20" s="81" customFormat="1" ht="15">
      <c r="A23" s="257" t="s">
        <v>233</v>
      </c>
      <c r="B23" s="220" t="s">
        <v>184</v>
      </c>
      <c r="C23" s="83" t="s">
        <v>185</v>
      </c>
      <c r="D23" s="233">
        <f t="shared" si="1"/>
        <v>360000</v>
      </c>
      <c r="E23" s="225"/>
      <c r="F23" s="226"/>
      <c r="G23" s="226"/>
      <c r="H23" s="226"/>
      <c r="I23" s="226"/>
      <c r="J23" s="227"/>
      <c r="K23" s="228"/>
      <c r="L23" s="228"/>
      <c r="M23" s="228">
        <f>1200000-840000</f>
        <v>360000</v>
      </c>
      <c r="N23" s="229">
        <f>SUM(K23:M23)</f>
        <v>360000</v>
      </c>
      <c r="O23" s="229"/>
      <c r="P23" s="230"/>
      <c r="Q23" s="231"/>
      <c r="R23" s="231"/>
      <c r="S23" s="263"/>
      <c r="T23" s="262"/>
    </row>
    <row r="24" spans="1:20" s="81" customFormat="1" ht="15">
      <c r="A24" s="257" t="s">
        <v>235</v>
      </c>
      <c r="B24" s="220" t="s">
        <v>186</v>
      </c>
      <c r="C24" s="83" t="s">
        <v>187</v>
      </c>
      <c r="D24" s="233">
        <f t="shared" si="1"/>
        <v>1899920</v>
      </c>
      <c r="E24" s="225"/>
      <c r="F24" s="226"/>
      <c r="G24" s="226">
        <v>1899920</v>
      </c>
      <c r="H24" s="228"/>
      <c r="I24" s="226"/>
      <c r="J24" s="227">
        <f aca="true" t="shared" si="2" ref="J24:J41">SUM(E24:I24)</f>
        <v>1899920</v>
      </c>
      <c r="K24" s="228"/>
      <c r="L24" s="228"/>
      <c r="M24" s="228"/>
      <c r="N24" s="229"/>
      <c r="O24" s="229"/>
      <c r="P24" s="230"/>
      <c r="Q24" s="231"/>
      <c r="R24" s="231"/>
      <c r="S24" s="263"/>
      <c r="T24" s="262"/>
    </row>
    <row r="25" spans="1:20" s="81" customFormat="1" ht="15">
      <c r="A25" s="257" t="s">
        <v>237</v>
      </c>
      <c r="B25" s="220" t="s">
        <v>188</v>
      </c>
      <c r="C25" s="83" t="s">
        <v>189</v>
      </c>
      <c r="D25" s="233">
        <f t="shared" si="1"/>
        <v>508000</v>
      </c>
      <c r="E25" s="225"/>
      <c r="F25" s="226"/>
      <c r="G25" s="226">
        <f>635000-127000</f>
        <v>508000</v>
      </c>
      <c r="H25" s="228"/>
      <c r="I25" s="226"/>
      <c r="J25" s="227">
        <f t="shared" si="2"/>
        <v>508000</v>
      </c>
      <c r="K25" s="228"/>
      <c r="L25" s="228"/>
      <c r="M25" s="228"/>
      <c r="N25" s="229"/>
      <c r="O25" s="229"/>
      <c r="P25" s="230"/>
      <c r="Q25" s="231"/>
      <c r="R25" s="231"/>
      <c r="S25" s="263"/>
      <c r="T25" s="262"/>
    </row>
    <row r="26" spans="1:20" s="81" customFormat="1" ht="30">
      <c r="A26" s="257" t="s">
        <v>242</v>
      </c>
      <c r="B26" s="220" t="s">
        <v>190</v>
      </c>
      <c r="C26" s="83" t="s">
        <v>191</v>
      </c>
      <c r="D26" s="233">
        <f t="shared" si="1"/>
        <v>3244436</v>
      </c>
      <c r="E26" s="225"/>
      <c r="F26" s="226"/>
      <c r="G26" s="226">
        <f>1953606+290830</f>
        <v>2244436</v>
      </c>
      <c r="H26" s="228"/>
      <c r="I26" s="226"/>
      <c r="J26" s="227">
        <f t="shared" si="2"/>
        <v>2244436</v>
      </c>
      <c r="K26" s="228">
        <v>1000000</v>
      </c>
      <c r="L26" s="228"/>
      <c r="M26" s="228"/>
      <c r="N26" s="229">
        <f aca="true" t="shared" si="3" ref="N26:N41">SUM(K26:M26)</f>
        <v>1000000</v>
      </c>
      <c r="O26" s="229"/>
      <c r="P26" s="230"/>
      <c r="Q26" s="231"/>
      <c r="R26" s="231"/>
      <c r="S26" s="263"/>
      <c r="T26" s="262"/>
    </row>
    <row r="27" spans="1:20" s="81" customFormat="1" ht="15">
      <c r="A27" s="257" t="s">
        <v>244</v>
      </c>
      <c r="B27" s="220" t="s">
        <v>192</v>
      </c>
      <c r="C27" s="83" t="s">
        <v>22</v>
      </c>
      <c r="D27" s="233">
        <f t="shared" si="1"/>
        <v>9809389</v>
      </c>
      <c r="E27" s="225"/>
      <c r="F27" s="226"/>
      <c r="G27" s="226">
        <f>9744490-4825255</f>
        <v>4919235</v>
      </c>
      <c r="H27" s="228"/>
      <c r="I27" s="226">
        <v>4825255</v>
      </c>
      <c r="J27" s="227">
        <f t="shared" si="2"/>
        <v>9744490</v>
      </c>
      <c r="K27" s="228">
        <v>64899</v>
      </c>
      <c r="L27" s="228"/>
      <c r="M27" s="228"/>
      <c r="N27" s="229">
        <f t="shared" si="3"/>
        <v>64899</v>
      </c>
      <c r="O27" s="229"/>
      <c r="P27" s="230"/>
      <c r="Q27" s="231"/>
      <c r="R27" s="231"/>
      <c r="S27" s="263"/>
      <c r="T27" s="262"/>
    </row>
    <row r="28" spans="1:20" s="81" customFormat="1" ht="31.5" customHeight="1">
      <c r="A28" s="257" t="s">
        <v>246</v>
      </c>
      <c r="B28" s="220" t="s">
        <v>193</v>
      </c>
      <c r="C28" s="83" t="s">
        <v>194</v>
      </c>
      <c r="D28" s="233">
        <f t="shared" si="1"/>
        <v>715000</v>
      </c>
      <c r="E28" s="225"/>
      <c r="F28" s="226"/>
      <c r="G28" s="226"/>
      <c r="H28" s="226"/>
      <c r="I28" s="226">
        <f>675000+40000</f>
        <v>715000</v>
      </c>
      <c r="J28" s="227">
        <f t="shared" si="2"/>
        <v>715000</v>
      </c>
      <c r="K28" s="228"/>
      <c r="L28" s="228"/>
      <c r="M28" s="228"/>
      <c r="N28" s="229">
        <f t="shared" si="3"/>
        <v>0</v>
      </c>
      <c r="O28" s="229"/>
      <c r="P28" s="230"/>
      <c r="Q28" s="231"/>
      <c r="R28" s="231"/>
      <c r="S28" s="263"/>
      <c r="T28" s="262"/>
    </row>
    <row r="29" spans="1:20" s="81" customFormat="1" ht="15">
      <c r="A29" s="257" t="s">
        <v>253</v>
      </c>
      <c r="B29" s="220" t="s">
        <v>195</v>
      </c>
      <c r="C29" s="83" t="s">
        <v>25</v>
      </c>
      <c r="D29" s="233">
        <f t="shared" si="1"/>
        <v>908660</v>
      </c>
      <c r="E29" s="225">
        <f>537200+900+53600</f>
        <v>591700</v>
      </c>
      <c r="F29" s="226">
        <f>121404+12916</f>
        <v>134320</v>
      </c>
      <c r="G29" s="226">
        <f>82550</f>
        <v>82550</v>
      </c>
      <c r="H29" s="226"/>
      <c r="I29" s="226"/>
      <c r="J29" s="227">
        <f t="shared" si="2"/>
        <v>808570</v>
      </c>
      <c r="K29" s="228">
        <f>179959-79869</f>
        <v>100090</v>
      </c>
      <c r="L29" s="228"/>
      <c r="M29" s="228"/>
      <c r="N29" s="229">
        <f t="shared" si="3"/>
        <v>100090</v>
      </c>
      <c r="O29" s="229"/>
      <c r="P29" s="230"/>
      <c r="Q29" s="231"/>
      <c r="R29" s="231"/>
      <c r="S29" s="263">
        <v>0.2</v>
      </c>
      <c r="T29" s="262">
        <v>0.2</v>
      </c>
    </row>
    <row r="30" spans="1:20" s="81" customFormat="1" ht="30">
      <c r="A30" s="257" t="s">
        <v>256</v>
      </c>
      <c r="B30" s="220" t="s">
        <v>334</v>
      </c>
      <c r="C30" s="83" t="s">
        <v>335</v>
      </c>
      <c r="D30" s="233">
        <f t="shared" si="1"/>
        <v>3229454</v>
      </c>
      <c r="E30" s="225">
        <f>1981200+4100+18725+4850+23600+11800+210500</f>
        <v>2254775</v>
      </c>
      <c r="F30" s="226">
        <f>449808+4119+902+5192+2596+52212</f>
        <v>514829</v>
      </c>
      <c r="G30" s="226">
        <v>444880</v>
      </c>
      <c r="H30" s="226"/>
      <c r="I30" s="226"/>
      <c r="J30" s="227">
        <f t="shared" si="2"/>
        <v>3214484</v>
      </c>
      <c r="K30" s="228">
        <v>14970</v>
      </c>
      <c r="L30" s="228"/>
      <c r="M30" s="228"/>
      <c r="N30" s="229">
        <f t="shared" si="3"/>
        <v>14970</v>
      </c>
      <c r="O30" s="229"/>
      <c r="P30" s="230"/>
      <c r="Q30" s="231"/>
      <c r="R30" s="231"/>
      <c r="S30" s="263">
        <f>0.75+0.3</f>
        <v>1.05</v>
      </c>
      <c r="T30" s="262">
        <v>1.05</v>
      </c>
    </row>
    <row r="31" spans="1:20" s="81" customFormat="1" ht="15">
      <c r="A31" s="257" t="s">
        <v>258</v>
      </c>
      <c r="B31" s="220" t="s">
        <v>336</v>
      </c>
      <c r="C31" s="83" t="s">
        <v>337</v>
      </c>
      <c r="D31" s="233">
        <f t="shared" si="1"/>
        <v>384710</v>
      </c>
      <c r="E31" s="225">
        <v>320000</v>
      </c>
      <c r="F31" s="226">
        <v>64710</v>
      </c>
      <c r="G31" s="226"/>
      <c r="H31" s="226"/>
      <c r="I31" s="226"/>
      <c r="J31" s="227">
        <f t="shared" si="2"/>
        <v>384710</v>
      </c>
      <c r="K31" s="228"/>
      <c r="L31" s="228"/>
      <c r="M31" s="228"/>
      <c r="N31" s="229">
        <f t="shared" si="3"/>
        <v>0</v>
      </c>
      <c r="O31" s="229"/>
      <c r="P31" s="230"/>
      <c r="Q31" s="231"/>
      <c r="R31" s="231"/>
      <c r="S31" s="263"/>
      <c r="T31" s="262"/>
    </row>
    <row r="32" spans="1:20" s="81" customFormat="1" ht="15">
      <c r="A32" s="257" t="s">
        <v>320</v>
      </c>
      <c r="B32" s="220" t="s">
        <v>196</v>
      </c>
      <c r="C32" s="83" t="s">
        <v>23</v>
      </c>
      <c r="D32" s="233">
        <f t="shared" si="1"/>
        <v>360000</v>
      </c>
      <c r="E32" s="225"/>
      <c r="F32" s="226"/>
      <c r="G32" s="226"/>
      <c r="H32" s="226"/>
      <c r="I32" s="226">
        <f>120000+190000+50000</f>
        <v>360000</v>
      </c>
      <c r="J32" s="227">
        <f t="shared" si="2"/>
        <v>360000</v>
      </c>
      <c r="K32" s="228"/>
      <c r="L32" s="228"/>
      <c r="M32" s="228"/>
      <c r="N32" s="229">
        <f t="shared" si="3"/>
        <v>0</v>
      </c>
      <c r="O32" s="229"/>
      <c r="P32" s="230"/>
      <c r="Q32" s="231"/>
      <c r="R32" s="231"/>
      <c r="S32" s="263"/>
      <c r="T32" s="262"/>
    </row>
    <row r="33" spans="1:20" s="81" customFormat="1" ht="15">
      <c r="A33" s="257" t="s">
        <v>322</v>
      </c>
      <c r="B33" s="220" t="s">
        <v>197</v>
      </c>
      <c r="C33" s="83" t="s">
        <v>198</v>
      </c>
      <c r="D33" s="233">
        <f t="shared" si="1"/>
        <v>50000</v>
      </c>
      <c r="E33" s="225"/>
      <c r="F33" s="226"/>
      <c r="G33" s="226"/>
      <c r="H33" s="226">
        <v>50000</v>
      </c>
      <c r="I33" s="226"/>
      <c r="J33" s="227">
        <f t="shared" si="2"/>
        <v>50000</v>
      </c>
      <c r="K33" s="228"/>
      <c r="L33" s="228"/>
      <c r="M33" s="228"/>
      <c r="N33" s="229">
        <f t="shared" si="3"/>
        <v>0</v>
      </c>
      <c r="O33" s="229"/>
      <c r="P33" s="230"/>
      <c r="Q33" s="231"/>
      <c r="R33" s="231"/>
      <c r="S33" s="263"/>
      <c r="T33" s="262"/>
    </row>
    <row r="34" spans="1:20" s="81" customFormat="1" ht="15">
      <c r="A34" s="257" t="s">
        <v>364</v>
      </c>
      <c r="B34" s="220" t="s">
        <v>273</v>
      </c>
      <c r="C34" s="83" t="s">
        <v>274</v>
      </c>
      <c r="D34" s="233">
        <f t="shared" si="1"/>
        <v>1180727</v>
      </c>
      <c r="E34" s="225">
        <f>367080+5130+8208</f>
        <v>380418</v>
      </c>
      <c r="F34" s="226">
        <f>89023+1770</f>
        <v>90793</v>
      </c>
      <c r="G34" s="226">
        <f>575331+29236+33472+71477</f>
        <v>709516</v>
      </c>
      <c r="H34" s="226"/>
      <c r="I34" s="226"/>
      <c r="J34" s="227">
        <f t="shared" si="2"/>
        <v>1180727</v>
      </c>
      <c r="K34" s="228"/>
      <c r="L34" s="228"/>
      <c r="M34" s="228"/>
      <c r="N34" s="229">
        <f t="shared" si="3"/>
        <v>0</v>
      </c>
      <c r="O34" s="229"/>
      <c r="P34" s="230"/>
      <c r="Q34" s="231"/>
      <c r="R34" s="231"/>
      <c r="S34" s="263"/>
      <c r="T34" s="262"/>
    </row>
    <row r="35" spans="1:20" s="81" customFormat="1" ht="15.75" customHeight="1">
      <c r="A35" s="257" t="s">
        <v>365</v>
      </c>
      <c r="B35" s="220" t="s">
        <v>275</v>
      </c>
      <c r="C35" s="83" t="s">
        <v>276</v>
      </c>
      <c r="D35" s="233">
        <f t="shared" si="1"/>
        <v>248571</v>
      </c>
      <c r="E35" s="225">
        <f>77280+1080+1728</f>
        <v>80088</v>
      </c>
      <c r="F35" s="226">
        <f>18742+267+106</f>
        <v>19115</v>
      </c>
      <c r="G35" s="226">
        <f>132853+2711+13804</f>
        <v>149368</v>
      </c>
      <c r="H35" s="226"/>
      <c r="I35" s="226"/>
      <c r="J35" s="227">
        <f t="shared" si="2"/>
        <v>248571</v>
      </c>
      <c r="K35" s="228"/>
      <c r="L35" s="228"/>
      <c r="M35" s="228"/>
      <c r="N35" s="229">
        <f t="shared" si="3"/>
        <v>0</v>
      </c>
      <c r="O35" s="229"/>
      <c r="P35" s="230"/>
      <c r="Q35" s="231"/>
      <c r="R35" s="231"/>
      <c r="S35" s="263"/>
      <c r="T35" s="262"/>
    </row>
    <row r="36" spans="1:20" s="81" customFormat="1" ht="15">
      <c r="A36" s="257" t="s">
        <v>366</v>
      </c>
      <c r="B36" s="220" t="s">
        <v>275</v>
      </c>
      <c r="C36" s="85" t="s">
        <v>338</v>
      </c>
      <c r="D36" s="233">
        <f t="shared" si="1"/>
        <v>124269</v>
      </c>
      <c r="E36" s="225">
        <f>38640+540+864</f>
        <v>40044</v>
      </c>
      <c r="F36" s="226">
        <f>9371+185</f>
        <v>9556</v>
      </c>
      <c r="G36" s="226">
        <f>92579-36635+18725</f>
        <v>74669</v>
      </c>
      <c r="H36" s="226"/>
      <c r="I36" s="226"/>
      <c r="J36" s="227">
        <f t="shared" si="2"/>
        <v>124269</v>
      </c>
      <c r="K36" s="228"/>
      <c r="L36" s="228"/>
      <c r="M36" s="228"/>
      <c r="N36" s="229">
        <f t="shared" si="3"/>
        <v>0</v>
      </c>
      <c r="O36" s="229"/>
      <c r="P36" s="230"/>
      <c r="Q36" s="231"/>
      <c r="R36" s="231"/>
      <c r="S36" s="263"/>
      <c r="T36" s="262"/>
    </row>
    <row r="37" spans="1:20" s="81" customFormat="1" ht="30">
      <c r="A37" s="257" t="s">
        <v>367</v>
      </c>
      <c r="B37" s="220">
        <v>104051</v>
      </c>
      <c r="C37" s="83" t="s">
        <v>328</v>
      </c>
      <c r="D37" s="233">
        <f t="shared" si="1"/>
        <v>46400</v>
      </c>
      <c r="E37" s="225"/>
      <c r="F37" s="226"/>
      <c r="G37" s="226"/>
      <c r="H37" s="226">
        <v>46400</v>
      </c>
      <c r="I37" s="226"/>
      <c r="J37" s="227">
        <f t="shared" si="2"/>
        <v>46400</v>
      </c>
      <c r="K37" s="228"/>
      <c r="L37" s="228"/>
      <c r="M37" s="228"/>
      <c r="N37" s="229">
        <f t="shared" si="3"/>
        <v>0</v>
      </c>
      <c r="O37" s="229"/>
      <c r="P37" s="230"/>
      <c r="Q37" s="231"/>
      <c r="R37" s="231"/>
      <c r="S37" s="263"/>
      <c r="T37" s="262"/>
    </row>
    <row r="38" spans="1:20" s="81" customFormat="1" ht="30">
      <c r="A38" s="257" t="s">
        <v>368</v>
      </c>
      <c r="B38" s="220">
        <v>106020</v>
      </c>
      <c r="C38" s="83" t="s">
        <v>199</v>
      </c>
      <c r="D38" s="233">
        <f t="shared" si="1"/>
        <v>0</v>
      </c>
      <c r="E38" s="225"/>
      <c r="F38" s="226"/>
      <c r="G38" s="226"/>
      <c r="H38" s="226">
        <f>300000-300000</f>
        <v>0</v>
      </c>
      <c r="I38" s="226"/>
      <c r="J38" s="227">
        <f t="shared" si="2"/>
        <v>0</v>
      </c>
      <c r="K38" s="228"/>
      <c r="L38" s="228"/>
      <c r="M38" s="228"/>
      <c r="N38" s="229">
        <f t="shared" si="3"/>
        <v>0</v>
      </c>
      <c r="O38" s="229"/>
      <c r="P38" s="230"/>
      <c r="Q38" s="231"/>
      <c r="R38" s="231"/>
      <c r="S38" s="263"/>
      <c r="T38" s="262"/>
    </row>
    <row r="39" spans="1:20" s="81" customFormat="1" ht="15">
      <c r="A39" s="257" t="s">
        <v>369</v>
      </c>
      <c r="B39" s="220" t="s">
        <v>200</v>
      </c>
      <c r="C39" s="85" t="s">
        <v>326</v>
      </c>
      <c r="D39" s="233">
        <f t="shared" si="1"/>
        <v>517878</v>
      </c>
      <c r="E39" s="225">
        <f>161000+2250+3600</f>
        <v>166850</v>
      </c>
      <c r="F39" s="226">
        <f>39045+777</f>
        <v>39822</v>
      </c>
      <c r="G39" s="226">
        <f>302046-30013+39173</f>
        <v>311206</v>
      </c>
      <c r="H39" s="226"/>
      <c r="I39" s="226"/>
      <c r="J39" s="227">
        <f t="shared" si="2"/>
        <v>517878</v>
      </c>
      <c r="K39" s="228"/>
      <c r="L39" s="228"/>
      <c r="M39" s="228"/>
      <c r="N39" s="229">
        <f t="shared" si="3"/>
        <v>0</v>
      </c>
      <c r="O39" s="229"/>
      <c r="P39" s="230"/>
      <c r="Q39" s="231"/>
      <c r="R39" s="231"/>
      <c r="S39" s="263"/>
      <c r="T39" s="262"/>
    </row>
    <row r="40" spans="1:20" s="81" customFormat="1" ht="15">
      <c r="A40" s="257" t="s">
        <v>370</v>
      </c>
      <c r="B40" s="220">
        <v>107052</v>
      </c>
      <c r="C40" s="86" t="s">
        <v>201</v>
      </c>
      <c r="D40" s="233">
        <f t="shared" si="1"/>
        <v>662230</v>
      </c>
      <c r="E40" s="225"/>
      <c r="F40" s="226"/>
      <c r="G40" s="226">
        <f>662230-600000</f>
        <v>62230</v>
      </c>
      <c r="H40" s="226"/>
      <c r="I40" s="226">
        <v>600000</v>
      </c>
      <c r="J40" s="227">
        <f t="shared" si="2"/>
        <v>662230</v>
      </c>
      <c r="K40" s="228"/>
      <c r="L40" s="228"/>
      <c r="M40" s="228"/>
      <c r="N40" s="229">
        <f t="shared" si="3"/>
        <v>0</v>
      </c>
      <c r="O40" s="229"/>
      <c r="P40" s="230"/>
      <c r="Q40" s="231"/>
      <c r="R40" s="231"/>
      <c r="S40" s="263"/>
      <c r="T40" s="262"/>
    </row>
    <row r="41" spans="1:20" s="81" customFormat="1" ht="27.75" customHeight="1" thickBot="1">
      <c r="A41" s="257" t="s">
        <v>401</v>
      </c>
      <c r="B41" s="220">
        <v>107060</v>
      </c>
      <c r="C41" s="83" t="s">
        <v>202</v>
      </c>
      <c r="D41" s="233">
        <f t="shared" si="1"/>
        <v>3577000</v>
      </c>
      <c r="E41" s="225"/>
      <c r="F41" s="226"/>
      <c r="G41" s="226">
        <f>711200+50800</f>
        <v>762000</v>
      </c>
      <c r="H41" s="226">
        <f>2715000+300000-80000-120000</f>
        <v>2815000</v>
      </c>
      <c r="I41" s="226"/>
      <c r="J41" s="227">
        <f t="shared" si="2"/>
        <v>3577000</v>
      </c>
      <c r="K41" s="228"/>
      <c r="L41" s="228"/>
      <c r="M41" s="228"/>
      <c r="N41" s="229">
        <f t="shared" si="3"/>
        <v>0</v>
      </c>
      <c r="O41" s="229"/>
      <c r="P41" s="230"/>
      <c r="Q41" s="231"/>
      <c r="R41" s="231"/>
      <c r="S41" s="259"/>
      <c r="T41" s="262"/>
    </row>
    <row r="42" spans="1:20" ht="15" thickBot="1">
      <c r="A42" s="258" t="s">
        <v>426</v>
      </c>
      <c r="B42" s="256"/>
      <c r="C42" s="138" t="s">
        <v>420</v>
      </c>
      <c r="D42" s="232">
        <f aca="true" t="shared" si="4" ref="D42:T42">SUM(D14:D41)</f>
        <v>164232739</v>
      </c>
      <c r="E42" s="232">
        <f t="shared" si="4"/>
        <v>18443639</v>
      </c>
      <c r="F42" s="232">
        <f t="shared" si="4"/>
        <v>4174363</v>
      </c>
      <c r="G42" s="232">
        <f t="shared" si="4"/>
        <v>24835197</v>
      </c>
      <c r="H42" s="232">
        <f t="shared" si="4"/>
        <v>2911400</v>
      </c>
      <c r="I42" s="232">
        <f t="shared" si="4"/>
        <v>44104976</v>
      </c>
      <c r="J42" s="232">
        <f t="shared" si="4"/>
        <v>94469575</v>
      </c>
      <c r="K42" s="232">
        <f t="shared" si="4"/>
        <v>2462559</v>
      </c>
      <c r="L42" s="232">
        <f t="shared" si="4"/>
        <v>64979396</v>
      </c>
      <c r="M42" s="232">
        <f t="shared" si="4"/>
        <v>1200000</v>
      </c>
      <c r="N42" s="232">
        <f t="shared" si="4"/>
        <v>68641955</v>
      </c>
      <c r="O42" s="232">
        <f t="shared" si="4"/>
        <v>1121209</v>
      </c>
      <c r="P42" s="232"/>
      <c r="Q42" s="232"/>
      <c r="R42" s="232">
        <f t="shared" si="4"/>
        <v>1121209</v>
      </c>
      <c r="S42" s="264">
        <f t="shared" si="4"/>
        <v>1.75</v>
      </c>
      <c r="T42" s="264">
        <f t="shared" si="4"/>
        <v>1.75</v>
      </c>
    </row>
    <row r="43" spans="1:20" ht="15">
      <c r="A43" s="258" t="s">
        <v>425</v>
      </c>
      <c r="B43" s="255" t="s">
        <v>273</v>
      </c>
      <c r="C43" s="83" t="s">
        <v>274</v>
      </c>
      <c r="D43" s="233">
        <f>J43+N43+P43+Q43</f>
        <v>6077104</v>
      </c>
      <c r="E43" s="225">
        <f>1918740+103455+154560+46920+190230</f>
        <v>2413905</v>
      </c>
      <c r="F43" s="226">
        <f>427983+34003+16056+41851</f>
        <v>519893</v>
      </c>
      <c r="G43" s="226">
        <f>3091490</f>
        <v>3091490</v>
      </c>
      <c r="H43" s="226"/>
      <c r="I43" s="226"/>
      <c r="J43" s="227">
        <f>SUM(E43:I43)</f>
        <v>6025288</v>
      </c>
      <c r="K43" s="228">
        <v>51816</v>
      </c>
      <c r="L43" s="228"/>
      <c r="M43" s="228"/>
      <c r="N43" s="229">
        <f>SUM(K43:M43)</f>
        <v>51816</v>
      </c>
      <c r="O43" s="229"/>
      <c r="P43" s="230"/>
      <c r="Q43" s="231"/>
      <c r="R43" s="231"/>
      <c r="S43" s="263">
        <v>2</v>
      </c>
      <c r="T43" s="262">
        <v>2</v>
      </c>
    </row>
    <row r="44" spans="1:20" ht="30">
      <c r="A44" s="258" t="s">
        <v>424</v>
      </c>
      <c r="B44" s="220" t="s">
        <v>275</v>
      </c>
      <c r="C44" s="83" t="s">
        <v>276</v>
      </c>
      <c r="D44" s="233">
        <f>J44+N44+P44+Q44</f>
        <v>1204991</v>
      </c>
      <c r="E44" s="225">
        <f>370920+21780+28980+9200+37300</f>
        <v>468180</v>
      </c>
      <c r="F44" s="226">
        <f>82632+6376+3148+8206</f>
        <v>100362</v>
      </c>
      <c r="G44" s="226">
        <v>627305</v>
      </c>
      <c r="H44" s="226"/>
      <c r="I44" s="226"/>
      <c r="J44" s="227">
        <f>SUM(E44:I44)</f>
        <v>1195847</v>
      </c>
      <c r="K44" s="228">
        <v>9144</v>
      </c>
      <c r="L44" s="228"/>
      <c r="M44" s="228"/>
      <c r="N44" s="229">
        <f>SUM(K44:M44)</f>
        <v>9144</v>
      </c>
      <c r="O44" s="229"/>
      <c r="P44" s="230"/>
      <c r="Q44" s="231"/>
      <c r="R44" s="231"/>
      <c r="S44" s="263"/>
      <c r="T44" s="262"/>
    </row>
    <row r="45" spans="1:20" ht="15">
      <c r="A45" s="258" t="s">
        <v>423</v>
      </c>
      <c r="B45" s="220" t="s">
        <v>327</v>
      </c>
      <c r="C45" s="85" t="s">
        <v>338</v>
      </c>
      <c r="D45" s="233">
        <f>J45+N45+P45+Q45</f>
        <v>1679115</v>
      </c>
      <c r="E45" s="225">
        <f>499200+10890+32200+11040+44760</f>
        <v>598090</v>
      </c>
      <c r="F45" s="226">
        <f>112278+7084+3778+9847</f>
        <v>132987</v>
      </c>
      <c r="G45" s="226">
        <v>934830</v>
      </c>
      <c r="H45" s="226"/>
      <c r="I45" s="226"/>
      <c r="J45" s="227">
        <f>SUM(E45:I45)</f>
        <v>1665907</v>
      </c>
      <c r="K45" s="228">
        <v>13208</v>
      </c>
      <c r="L45" s="228"/>
      <c r="M45" s="228"/>
      <c r="N45" s="229">
        <f>SUM(K45:M45)</f>
        <v>13208</v>
      </c>
      <c r="O45" s="229"/>
      <c r="P45" s="230"/>
      <c r="Q45" s="231"/>
      <c r="R45" s="231"/>
      <c r="S45" s="263"/>
      <c r="T45" s="262"/>
    </row>
    <row r="46" spans="1:20" ht="15.75" thickBot="1">
      <c r="A46" s="258" t="s">
        <v>422</v>
      </c>
      <c r="B46" s="221" t="s">
        <v>200</v>
      </c>
      <c r="C46" s="270" t="s">
        <v>326</v>
      </c>
      <c r="D46" s="299">
        <f>J46+N46+P46+Q46</f>
        <v>3590080</v>
      </c>
      <c r="E46" s="298">
        <f>1049140+45375+106260+24840+100710</f>
        <v>1326325</v>
      </c>
      <c r="F46" s="297">
        <f>234665+23377+8500+22156</f>
        <v>288698</v>
      </c>
      <c r="G46" s="297">
        <v>1948387</v>
      </c>
      <c r="H46" s="297"/>
      <c r="I46" s="297"/>
      <c r="J46" s="296">
        <f>SUM(E46:I46)</f>
        <v>3563410</v>
      </c>
      <c r="K46" s="295">
        <v>26670</v>
      </c>
      <c r="L46" s="295"/>
      <c r="M46" s="295"/>
      <c r="N46" s="294">
        <f>SUM(K46:M46)</f>
        <v>26670</v>
      </c>
      <c r="O46" s="294"/>
      <c r="P46" s="293"/>
      <c r="Q46" s="292"/>
      <c r="R46" s="292"/>
      <c r="S46" s="261">
        <v>1</v>
      </c>
      <c r="T46" s="291">
        <v>1</v>
      </c>
    </row>
    <row r="47" spans="1:20" ht="16.5" customHeight="1" thickBot="1">
      <c r="A47" s="258" t="s">
        <v>421</v>
      </c>
      <c r="B47" s="290"/>
      <c r="C47" s="289" t="s">
        <v>419</v>
      </c>
      <c r="D47" s="288">
        <f aca="true" t="shared" si="5" ref="D47:T47">SUM(D43:D46)</f>
        <v>12551290</v>
      </c>
      <c r="E47" s="288">
        <f t="shared" si="5"/>
        <v>4806500</v>
      </c>
      <c r="F47" s="288">
        <f t="shared" si="5"/>
        <v>1041940</v>
      </c>
      <c r="G47" s="288">
        <f t="shared" si="5"/>
        <v>6602012</v>
      </c>
      <c r="H47" s="288"/>
      <c r="I47" s="288"/>
      <c r="J47" s="288">
        <f t="shared" si="5"/>
        <v>12450452</v>
      </c>
      <c r="K47" s="288">
        <f t="shared" si="5"/>
        <v>100838</v>
      </c>
      <c r="L47" s="288"/>
      <c r="M47" s="288"/>
      <c r="N47" s="288">
        <f t="shared" si="5"/>
        <v>100838</v>
      </c>
      <c r="O47" s="288"/>
      <c r="P47" s="288"/>
      <c r="Q47" s="288"/>
      <c r="R47" s="288">
        <f t="shared" si="5"/>
        <v>0</v>
      </c>
      <c r="S47" s="287">
        <f t="shared" si="5"/>
        <v>3</v>
      </c>
      <c r="T47" s="287">
        <f t="shared" si="5"/>
        <v>3</v>
      </c>
    </row>
    <row r="48" spans="1:20" ht="15" thickBot="1">
      <c r="A48" s="258" t="s">
        <v>473</v>
      </c>
      <c r="B48" s="290"/>
      <c r="C48" s="289" t="s">
        <v>418</v>
      </c>
      <c r="D48" s="288">
        <f aca="true" t="shared" si="6" ref="D48:I48">D42+D47</f>
        <v>176784029</v>
      </c>
      <c r="E48" s="288">
        <f t="shared" si="6"/>
        <v>23250139</v>
      </c>
      <c r="F48" s="288">
        <f t="shared" si="6"/>
        <v>5216303</v>
      </c>
      <c r="G48" s="288">
        <f t="shared" si="6"/>
        <v>31437209</v>
      </c>
      <c r="H48" s="288">
        <f t="shared" si="6"/>
        <v>2911400</v>
      </c>
      <c r="I48" s="288">
        <f t="shared" si="6"/>
        <v>44104976</v>
      </c>
      <c r="J48" s="288">
        <f aca="true" t="shared" si="7" ref="J48:T48">J42+J47</f>
        <v>106920027</v>
      </c>
      <c r="K48" s="288">
        <f t="shared" si="7"/>
        <v>2563397</v>
      </c>
      <c r="L48" s="288">
        <f t="shared" si="7"/>
        <v>64979396</v>
      </c>
      <c r="M48" s="288">
        <f t="shared" si="7"/>
        <v>1200000</v>
      </c>
      <c r="N48" s="288">
        <f t="shared" si="7"/>
        <v>68742793</v>
      </c>
      <c r="O48" s="288">
        <f t="shared" si="7"/>
        <v>1121209</v>
      </c>
      <c r="P48" s="288"/>
      <c r="Q48" s="288"/>
      <c r="R48" s="288">
        <f t="shared" si="7"/>
        <v>1121209</v>
      </c>
      <c r="S48" s="287">
        <f t="shared" si="7"/>
        <v>4.75</v>
      </c>
      <c r="T48" s="287">
        <f t="shared" si="7"/>
        <v>4.75</v>
      </c>
    </row>
    <row r="49" ht="12.75">
      <c r="J49" s="362"/>
    </row>
  </sheetData>
  <sheetProtection/>
  <mergeCells count="33">
    <mergeCell ref="H4:K4"/>
    <mergeCell ref="C9:C13"/>
    <mergeCell ref="F11:F13"/>
    <mergeCell ref="B9:B13"/>
    <mergeCell ref="A9:A13"/>
    <mergeCell ref="I11:I13"/>
    <mergeCell ref="D9:D13"/>
    <mergeCell ref="O10:R10"/>
    <mergeCell ref="N11:N13"/>
    <mergeCell ref="O11:O13"/>
    <mergeCell ref="E10:J10"/>
    <mergeCell ref="S10:T10"/>
    <mergeCell ref="E11:E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zoomScalePageLayoutView="0" workbookViewId="0" topLeftCell="A1">
      <selection activeCell="C5" sqref="C5:G5"/>
    </sheetView>
  </sheetViews>
  <sheetFormatPr defaultColWidth="9.00390625" defaultRowHeight="12.75"/>
  <cols>
    <col min="1" max="1" width="4.125" style="135" customWidth="1"/>
    <col min="2" max="2" width="9.125" style="135" customWidth="1"/>
    <col min="3" max="3" width="63.125" style="135" customWidth="1"/>
    <col min="4" max="4" width="24.00390625" style="135" customWidth="1"/>
    <col min="5" max="7" width="26.25390625" style="135" customWidth="1"/>
    <col min="8" max="16384" width="9.125" style="135" customWidth="1"/>
  </cols>
  <sheetData>
    <row r="1" spans="1:7" ht="15.75">
      <c r="A1" s="438" t="s">
        <v>607</v>
      </c>
      <c r="B1" s="407"/>
      <c r="C1" s="407"/>
      <c r="D1" s="407"/>
      <c r="E1" s="407"/>
      <c r="F1" s="407"/>
      <c r="G1" s="407"/>
    </row>
    <row r="2" spans="2:7" s="131" customFormat="1" ht="15.75">
      <c r="B2" s="438"/>
      <c r="C2" s="438"/>
      <c r="D2" s="438"/>
      <c r="E2" s="438"/>
      <c r="F2" s="438"/>
      <c r="G2" s="438"/>
    </row>
    <row r="3" spans="2:7" s="49" customFormat="1" ht="15" customHeight="1">
      <c r="B3" s="439" t="s">
        <v>413</v>
      </c>
      <c r="C3" s="439"/>
      <c r="D3" s="439"/>
      <c r="E3" s="439"/>
      <c r="F3" s="439"/>
      <c r="G3" s="439"/>
    </row>
    <row r="4" spans="4:7" s="133" customFormat="1" ht="15" customHeight="1">
      <c r="D4" s="436"/>
      <c r="E4" s="504"/>
      <c r="F4" s="320"/>
      <c r="G4" s="320"/>
    </row>
    <row r="5" spans="3:7" s="90" customFormat="1" ht="15" customHeight="1">
      <c r="C5" s="436" t="s">
        <v>27</v>
      </c>
      <c r="D5" s="436"/>
      <c r="E5" s="436"/>
      <c r="F5" s="436"/>
      <c r="G5" s="436"/>
    </row>
    <row r="6" spans="3:7" s="90" customFormat="1" ht="15.75">
      <c r="C6" s="437" t="s">
        <v>282</v>
      </c>
      <c r="D6" s="437"/>
      <c r="E6" s="437"/>
      <c r="F6" s="437"/>
      <c r="G6" s="437"/>
    </row>
    <row r="7" spans="3:7" s="90" customFormat="1" ht="15" customHeight="1">
      <c r="C7" s="436" t="s">
        <v>349</v>
      </c>
      <c r="D7" s="436"/>
      <c r="E7" s="436"/>
      <c r="F7" s="436"/>
      <c r="G7" s="436"/>
    </row>
    <row r="8" spans="3:7" s="131" customFormat="1" ht="12" customHeight="1" thickBot="1">
      <c r="C8" s="132"/>
      <c r="D8" s="134"/>
      <c r="E8" s="284"/>
      <c r="F8" s="284"/>
      <c r="G8" s="283"/>
    </row>
    <row r="9" spans="1:7" s="131" customFormat="1" ht="19.5" customHeight="1" thickBot="1">
      <c r="A9" s="505" t="s">
        <v>371</v>
      </c>
      <c r="B9" s="507" t="s">
        <v>158</v>
      </c>
      <c r="C9" s="447" t="s">
        <v>159</v>
      </c>
      <c r="D9" s="450" t="s">
        <v>283</v>
      </c>
      <c r="E9" s="453" t="s">
        <v>266</v>
      </c>
      <c r="F9" s="453"/>
      <c r="G9" s="454"/>
    </row>
    <row r="10" spans="1:7" s="131" customFormat="1" ht="33" customHeight="1" thickBot="1">
      <c r="A10" s="506"/>
      <c r="B10" s="508"/>
      <c r="C10" s="448"/>
      <c r="D10" s="451"/>
      <c r="E10" s="280" t="s">
        <v>267</v>
      </c>
      <c r="F10" s="282" t="s">
        <v>268</v>
      </c>
      <c r="G10" s="281" t="s">
        <v>269</v>
      </c>
    </row>
    <row r="11" spans="1:7" s="131" customFormat="1" ht="22.5" customHeight="1">
      <c r="A11" s="506"/>
      <c r="B11" s="508"/>
      <c r="C11" s="448"/>
      <c r="D11" s="451"/>
      <c r="E11" s="455" t="s">
        <v>270</v>
      </c>
      <c r="F11" s="456"/>
      <c r="G11" s="457"/>
    </row>
    <row r="12" spans="1:7" ht="13.5" thickBot="1">
      <c r="A12" s="506"/>
      <c r="B12" s="508"/>
      <c r="C12" s="448"/>
      <c r="D12" s="451"/>
      <c r="E12" s="509"/>
      <c r="F12" s="510"/>
      <c r="G12" s="511"/>
    </row>
    <row r="13" spans="1:7" ht="30">
      <c r="A13" s="275" t="s">
        <v>30</v>
      </c>
      <c r="B13" s="274" t="s">
        <v>175</v>
      </c>
      <c r="C13" s="350" t="s">
        <v>176</v>
      </c>
      <c r="D13" s="351">
        <f aca="true" t="shared" si="0" ref="D13:D40">SUM(E13:G13)</f>
        <v>58546193</v>
      </c>
      <c r="E13" s="352">
        <f>95000+1221000+9400+4687100+1640303+703065+246045+900000+294270+2234787+3583240+101600+444000+97680+143179+64122+89764+38415438+5185082+115989+806700+65080-1181000-606235-120000-499999+120000-190000-287259+66664+46922+64999+120000-7855+326400+28998+268900-2228909-40000-50000-317500-499999-392840-123482-455060-495519+192746-143179+111000+24420-478864-50800+317500</f>
        <v>54662893</v>
      </c>
      <c r="F13" s="353">
        <f>30000+1874800+450000+4956+182080+5310+101156+278800-1+2250+840000+80000+3078+23000+3800+4071</f>
        <v>3883300</v>
      </c>
      <c r="G13" s="354"/>
    </row>
    <row r="14" spans="1:7" ht="15">
      <c r="A14" s="224" t="s">
        <v>20</v>
      </c>
      <c r="B14" s="242" t="s">
        <v>177</v>
      </c>
      <c r="C14" s="243" t="s">
        <v>24</v>
      </c>
      <c r="D14" s="319">
        <f t="shared" si="0"/>
        <v>64340</v>
      </c>
      <c r="E14" s="318">
        <v>64340</v>
      </c>
      <c r="F14" s="279"/>
      <c r="G14" s="278"/>
    </row>
    <row r="15" spans="1:7" ht="15">
      <c r="A15" s="223" t="s">
        <v>31</v>
      </c>
      <c r="B15" s="220" t="s">
        <v>178</v>
      </c>
      <c r="C15" s="83" t="s">
        <v>179</v>
      </c>
      <c r="D15" s="304">
        <f t="shared" si="0"/>
        <v>1672790</v>
      </c>
      <c r="E15" s="317">
        <f>244790+120000+127000</f>
        <v>491790</v>
      </c>
      <c r="F15" s="273">
        <v>1181000</v>
      </c>
      <c r="G15" s="272"/>
    </row>
    <row r="16" spans="1:7" ht="15">
      <c r="A16" s="223" t="s">
        <v>79</v>
      </c>
      <c r="B16" s="220" t="s">
        <v>271</v>
      </c>
      <c r="C16" s="83" t="s">
        <v>272</v>
      </c>
      <c r="D16" s="304">
        <f t="shared" si="0"/>
        <v>1121209</v>
      </c>
      <c r="E16" s="317">
        <v>1121209</v>
      </c>
      <c r="F16" s="273"/>
      <c r="G16" s="272"/>
    </row>
    <row r="17" spans="1:7" ht="15">
      <c r="A17" s="223" t="s">
        <v>80</v>
      </c>
      <c r="B17" s="220" t="s">
        <v>466</v>
      </c>
      <c r="C17" s="83" t="s">
        <v>467</v>
      </c>
      <c r="D17" s="304">
        <f t="shared" si="0"/>
        <v>2177520</v>
      </c>
      <c r="E17" s="317">
        <f>722670+501752+287259+5979+163060+17936+478864</f>
        <v>2177520</v>
      </c>
      <c r="F17" s="273"/>
      <c r="G17" s="272"/>
    </row>
    <row r="18" spans="1:7" ht="15">
      <c r="A18" s="223" t="s">
        <v>80</v>
      </c>
      <c r="B18" s="84" t="s">
        <v>360</v>
      </c>
      <c r="C18" s="83" t="s">
        <v>361</v>
      </c>
      <c r="D18" s="304">
        <f t="shared" si="0"/>
        <v>66465629</v>
      </c>
      <c r="E18" s="317">
        <f>10000000+499999+606235+12630487+40000000+2228909+499999</f>
        <v>66465629</v>
      </c>
      <c r="F18" s="273"/>
      <c r="G18" s="272"/>
    </row>
    <row r="19" spans="1:7" ht="27" customHeight="1">
      <c r="A19" s="223" t="s">
        <v>86</v>
      </c>
      <c r="B19" s="220" t="s">
        <v>180</v>
      </c>
      <c r="C19" s="83" t="s">
        <v>181</v>
      </c>
      <c r="D19" s="304">
        <f t="shared" si="0"/>
        <v>26670</v>
      </c>
      <c r="E19" s="317">
        <v>26670</v>
      </c>
      <c r="F19" s="273"/>
      <c r="G19" s="272"/>
    </row>
    <row r="20" spans="1:7" ht="15">
      <c r="A20" s="223" t="s">
        <v>222</v>
      </c>
      <c r="B20" s="220" t="s">
        <v>339</v>
      </c>
      <c r="C20" s="83" t="s">
        <v>340</v>
      </c>
      <c r="D20" s="304">
        <f t="shared" si="0"/>
        <v>19050</v>
      </c>
      <c r="E20" s="248">
        <v>19050</v>
      </c>
      <c r="F20" s="89"/>
      <c r="G20" s="244"/>
    </row>
    <row r="21" spans="1:7" ht="15">
      <c r="A21" s="223" t="s">
        <v>224</v>
      </c>
      <c r="B21" s="220" t="s">
        <v>182</v>
      </c>
      <c r="C21" s="83" t="s">
        <v>183</v>
      </c>
      <c r="D21" s="304">
        <f t="shared" si="0"/>
        <v>6312694</v>
      </c>
      <c r="E21" s="317">
        <v>6312694</v>
      </c>
      <c r="F21" s="273"/>
      <c r="G21" s="272"/>
    </row>
    <row r="22" spans="1:7" ht="15">
      <c r="A22" s="223" t="s">
        <v>226</v>
      </c>
      <c r="B22" s="220" t="s">
        <v>184</v>
      </c>
      <c r="C22" s="83" t="s">
        <v>185</v>
      </c>
      <c r="D22" s="304">
        <f t="shared" si="0"/>
        <v>360000</v>
      </c>
      <c r="E22" s="317"/>
      <c r="F22" s="273">
        <f>1200000-840000</f>
        <v>360000</v>
      </c>
      <c r="G22" s="272"/>
    </row>
    <row r="23" spans="1:7" ht="15">
      <c r="A23" s="223" t="s">
        <v>233</v>
      </c>
      <c r="B23" s="220" t="s">
        <v>186</v>
      </c>
      <c r="C23" s="83" t="s">
        <v>187</v>
      </c>
      <c r="D23" s="304">
        <f t="shared" si="0"/>
        <v>1899920</v>
      </c>
      <c r="E23" s="317">
        <v>1899920</v>
      </c>
      <c r="F23" s="273"/>
      <c r="G23" s="272"/>
    </row>
    <row r="24" spans="1:7" ht="15">
      <c r="A24" s="223" t="s">
        <v>235</v>
      </c>
      <c r="B24" s="220" t="s">
        <v>188</v>
      </c>
      <c r="C24" s="83" t="s">
        <v>189</v>
      </c>
      <c r="D24" s="304">
        <f t="shared" si="0"/>
        <v>508000</v>
      </c>
      <c r="E24" s="317">
        <f>635000-127000</f>
        <v>508000</v>
      </c>
      <c r="F24" s="273"/>
      <c r="G24" s="272"/>
    </row>
    <row r="25" spans="1:7" ht="15">
      <c r="A25" s="223" t="s">
        <v>237</v>
      </c>
      <c r="B25" s="220" t="s">
        <v>190</v>
      </c>
      <c r="C25" s="83" t="s">
        <v>191</v>
      </c>
      <c r="D25" s="304">
        <f t="shared" si="0"/>
        <v>3244436</v>
      </c>
      <c r="E25" s="317">
        <f>1953606+290830+1000000</f>
        <v>3244436</v>
      </c>
      <c r="F25" s="273"/>
      <c r="G25" s="272"/>
    </row>
    <row r="26" spans="1:7" ht="15">
      <c r="A26" s="223" t="s">
        <v>242</v>
      </c>
      <c r="B26" s="220" t="s">
        <v>192</v>
      </c>
      <c r="C26" s="83" t="s">
        <v>22</v>
      </c>
      <c r="D26" s="304">
        <f t="shared" si="0"/>
        <v>9809389</v>
      </c>
      <c r="E26" s="317">
        <f>9744490+64899</f>
        <v>9809389</v>
      </c>
      <c r="F26" s="273"/>
      <c r="G26" s="272"/>
    </row>
    <row r="27" spans="1:7" ht="15">
      <c r="A27" s="223" t="s">
        <v>244</v>
      </c>
      <c r="B27" s="220" t="s">
        <v>193</v>
      </c>
      <c r="C27" s="83" t="s">
        <v>194</v>
      </c>
      <c r="D27" s="304">
        <f t="shared" si="0"/>
        <v>715000</v>
      </c>
      <c r="E27" s="317">
        <f>675000+40000</f>
        <v>715000</v>
      </c>
      <c r="F27" s="273"/>
      <c r="G27" s="272"/>
    </row>
    <row r="28" spans="1:7" ht="15">
      <c r="A28" s="223" t="s">
        <v>246</v>
      </c>
      <c r="B28" s="220" t="s">
        <v>195</v>
      </c>
      <c r="C28" s="83" t="s">
        <v>25</v>
      </c>
      <c r="D28" s="304">
        <f t="shared" si="0"/>
        <v>908660</v>
      </c>
      <c r="E28" s="317">
        <f>526400+117708+82550+179959+44400+9768-79869</f>
        <v>880916</v>
      </c>
      <c r="F28" s="273">
        <f>10800+1784+1912+900+9200+1520+1628</f>
        <v>27744</v>
      </c>
      <c r="G28" s="272"/>
    </row>
    <row r="29" spans="1:7" ht="15">
      <c r="A29" s="223" t="s">
        <v>253</v>
      </c>
      <c r="B29" s="220" t="s">
        <v>334</v>
      </c>
      <c r="C29" s="83" t="s">
        <v>341</v>
      </c>
      <c r="D29" s="304">
        <f t="shared" si="0"/>
        <v>3229454</v>
      </c>
      <c r="E29" s="317">
        <f>789600+1134900+430405+444880+27846+28792+162200+35684+14970+14396</f>
        <v>3083673</v>
      </c>
      <c r="F29" s="273">
        <f>80953+48300+7979+8549</f>
        <v>145781</v>
      </c>
      <c r="G29" s="272"/>
    </row>
    <row r="30" spans="1:7" ht="15">
      <c r="A30" s="223" t="s">
        <v>256</v>
      </c>
      <c r="B30" s="220" t="s">
        <v>342</v>
      </c>
      <c r="C30" s="83" t="s">
        <v>343</v>
      </c>
      <c r="D30" s="304">
        <f t="shared" si="0"/>
        <v>384710</v>
      </c>
      <c r="E30" s="317">
        <v>384710</v>
      </c>
      <c r="F30" s="273"/>
      <c r="G30" s="272"/>
    </row>
    <row r="31" spans="1:7" ht="15">
      <c r="A31" s="223" t="s">
        <v>258</v>
      </c>
      <c r="B31" s="220" t="s">
        <v>196</v>
      </c>
      <c r="C31" s="83" t="s">
        <v>23</v>
      </c>
      <c r="D31" s="304">
        <f t="shared" si="0"/>
        <v>360000</v>
      </c>
      <c r="E31" s="317"/>
      <c r="F31" s="273">
        <f>120000+190000+50000</f>
        <v>360000</v>
      </c>
      <c r="G31" s="272"/>
    </row>
    <row r="32" spans="1:7" ht="15">
      <c r="A32" s="223" t="s">
        <v>320</v>
      </c>
      <c r="B32" s="220" t="s">
        <v>197</v>
      </c>
      <c r="C32" s="83" t="s">
        <v>198</v>
      </c>
      <c r="D32" s="304">
        <f t="shared" si="0"/>
        <v>50000</v>
      </c>
      <c r="E32" s="317"/>
      <c r="F32" s="273">
        <v>50000</v>
      </c>
      <c r="G32" s="272"/>
    </row>
    <row r="33" spans="1:7" ht="15">
      <c r="A33" s="223" t="s">
        <v>322</v>
      </c>
      <c r="B33" s="220" t="s">
        <v>273</v>
      </c>
      <c r="C33" s="83" t="s">
        <v>274</v>
      </c>
      <c r="D33" s="304">
        <f t="shared" si="0"/>
        <v>1180727</v>
      </c>
      <c r="E33" s="317">
        <f>2230740+498158+3738298+51816-5561506+73928+8208+64478+71477</f>
        <v>1175597</v>
      </c>
      <c r="F33" s="273">
        <f>55080+9099+9749-73928+5130</f>
        <v>5130</v>
      </c>
      <c r="G33" s="272"/>
    </row>
    <row r="34" spans="1:7" ht="15">
      <c r="A34" s="223" t="s">
        <v>364</v>
      </c>
      <c r="B34" s="220" t="s">
        <v>275</v>
      </c>
      <c r="C34" s="83" t="s">
        <v>276</v>
      </c>
      <c r="D34" s="304">
        <f t="shared" si="0"/>
        <v>248571</v>
      </c>
      <c r="E34" s="317"/>
      <c r="F34" s="273">
        <f>1332680-1103805+1080+1728+3084+13804</f>
        <v>248571</v>
      </c>
      <c r="G34" s="272"/>
    </row>
    <row r="35" spans="1:7" ht="15">
      <c r="A35" s="223" t="s">
        <v>365</v>
      </c>
      <c r="B35" s="220" t="s">
        <v>275</v>
      </c>
      <c r="C35" s="83" t="s">
        <v>344</v>
      </c>
      <c r="D35" s="304">
        <f t="shared" si="0"/>
        <v>124269</v>
      </c>
      <c r="E35" s="317"/>
      <c r="F35" s="273">
        <f>1718831-1578241+540+864-36450+18725</f>
        <v>124269</v>
      </c>
      <c r="G35" s="272"/>
    </row>
    <row r="36" spans="1:7" ht="15">
      <c r="A36" s="223" t="s">
        <v>366</v>
      </c>
      <c r="B36" s="220">
        <v>104051</v>
      </c>
      <c r="C36" s="86" t="s">
        <v>328</v>
      </c>
      <c r="D36" s="304">
        <f t="shared" si="0"/>
        <v>46400</v>
      </c>
      <c r="E36" s="317"/>
      <c r="F36" s="273"/>
      <c r="G36" s="272">
        <v>46400</v>
      </c>
    </row>
    <row r="37" spans="1:7" ht="15">
      <c r="A37" s="223" t="s">
        <v>367</v>
      </c>
      <c r="B37" s="220">
        <v>106020</v>
      </c>
      <c r="C37" s="83" t="s">
        <v>199</v>
      </c>
      <c r="D37" s="304">
        <f t="shared" si="0"/>
        <v>0</v>
      </c>
      <c r="E37" s="317">
        <f>300000-300000</f>
        <v>0</v>
      </c>
      <c r="F37" s="273"/>
      <c r="G37" s="272"/>
    </row>
    <row r="38" spans="1:14" ht="15">
      <c r="A38" s="223" t="s">
        <v>368</v>
      </c>
      <c r="B38" s="220" t="s">
        <v>200</v>
      </c>
      <c r="C38" s="246" t="s">
        <v>326</v>
      </c>
      <c r="D38" s="304">
        <f t="shared" si="0"/>
        <v>517878</v>
      </c>
      <c r="E38" s="317">
        <f>1180980+263731+2289606+26670-3258896+3600-29236+39173</f>
        <v>515628</v>
      </c>
      <c r="F38" s="273">
        <v>2250</v>
      </c>
      <c r="G38" s="272"/>
      <c r="H38" s="198"/>
      <c r="I38" s="198"/>
      <c r="J38" s="198"/>
      <c r="K38" s="198"/>
      <c r="L38" s="198"/>
      <c r="M38" s="198"/>
      <c r="N38" s="198"/>
    </row>
    <row r="39" spans="1:14" ht="15">
      <c r="A39" s="223" t="s">
        <v>369</v>
      </c>
      <c r="B39" s="220">
        <v>107052</v>
      </c>
      <c r="C39" s="86" t="s">
        <v>201</v>
      </c>
      <c r="D39" s="304">
        <f t="shared" si="0"/>
        <v>662230</v>
      </c>
      <c r="E39" s="249">
        <v>662230</v>
      </c>
      <c r="F39" s="89"/>
      <c r="G39" s="244"/>
      <c r="H39" s="199"/>
      <c r="I39" s="199"/>
      <c r="J39" s="200"/>
      <c r="K39" s="201"/>
      <c r="L39" s="201"/>
      <c r="M39" s="201"/>
      <c r="N39" s="200"/>
    </row>
    <row r="40" spans="1:7" ht="15.75" thickBot="1">
      <c r="A40" s="223" t="s">
        <v>370</v>
      </c>
      <c r="B40" s="220">
        <v>107060</v>
      </c>
      <c r="C40" s="83" t="s">
        <v>202</v>
      </c>
      <c r="D40" s="304">
        <f t="shared" si="0"/>
        <v>3577000</v>
      </c>
      <c r="E40" s="317">
        <f>2715000+300000-80000-120000+711200+50800</f>
        <v>3577000</v>
      </c>
      <c r="F40" s="273"/>
      <c r="G40" s="272"/>
    </row>
    <row r="41" spans="1:7" ht="15" customHeight="1" thickBot="1">
      <c r="A41" s="245" t="s">
        <v>401</v>
      </c>
      <c r="B41" s="235"/>
      <c r="C41" s="138" t="s">
        <v>420</v>
      </c>
      <c r="D41" s="276">
        <f>SUM(D13:D40)</f>
        <v>164232739</v>
      </c>
      <c r="E41" s="316">
        <f>SUM(E13:E40)</f>
        <v>157798294</v>
      </c>
      <c r="F41" s="315">
        <f>SUM(F13:F40)</f>
        <v>6388045</v>
      </c>
      <c r="G41" s="315">
        <f>SUM(G13:G40)</f>
        <v>46400</v>
      </c>
    </row>
    <row r="42" spans="1:7" ht="15">
      <c r="A42" s="258" t="s">
        <v>426</v>
      </c>
      <c r="B42" s="255" t="s">
        <v>273</v>
      </c>
      <c r="C42" s="83" t="s">
        <v>274</v>
      </c>
      <c r="D42" s="304">
        <f>SUM(E42:G42)</f>
        <v>6077104</v>
      </c>
      <c r="E42" s="314">
        <f>5490029-73928+103455+154560+34003+190230+41851</f>
        <v>5940200</v>
      </c>
      <c r="F42" s="313">
        <f>73928+46920+16056</f>
        <v>136904</v>
      </c>
      <c r="G42" s="312"/>
    </row>
    <row r="43" spans="1:7" ht="15">
      <c r="A43" s="258" t="s">
        <v>425</v>
      </c>
      <c r="B43" s="220" t="s">
        <v>275</v>
      </c>
      <c r="C43" s="83" t="s">
        <v>276</v>
      </c>
      <c r="D43" s="304">
        <f>SUM(E43:G43)</f>
        <v>1204991</v>
      </c>
      <c r="E43" s="311"/>
      <c r="F43" s="310">
        <f>1090001+21780+28980+6376+9200+3148+37300+8206</f>
        <v>1204991</v>
      </c>
      <c r="G43" s="309"/>
    </row>
    <row r="44" spans="1:7" ht="15">
      <c r="A44" s="258" t="s">
        <v>424</v>
      </c>
      <c r="B44" s="220" t="s">
        <v>327</v>
      </c>
      <c r="C44" s="246" t="s">
        <v>338</v>
      </c>
      <c r="D44" s="304">
        <f>SUM(E44:G44)</f>
        <v>1679115</v>
      </c>
      <c r="E44" s="308"/>
      <c r="F44" s="307">
        <f>1559516+10890+32200+7084+11040+3778+44760+9847</f>
        <v>1679115</v>
      </c>
      <c r="G44" s="306"/>
    </row>
    <row r="45" spans="1:7" ht="15.75" thickBot="1">
      <c r="A45" s="258" t="s">
        <v>423</v>
      </c>
      <c r="B45" s="221" t="s">
        <v>200</v>
      </c>
      <c r="C45" s="305" t="s">
        <v>326</v>
      </c>
      <c r="D45" s="304">
        <f>SUM(E45:G45)</f>
        <v>3590080</v>
      </c>
      <c r="E45" s="303">
        <f>3219734+45375+106260+23377+100710+22156</f>
        <v>3517612</v>
      </c>
      <c r="F45" s="302">
        <f>39128+24840+8500</f>
        <v>72468</v>
      </c>
      <c r="G45" s="301"/>
    </row>
    <row r="46" spans="1:7" ht="15" thickBot="1">
      <c r="A46" s="258" t="s">
        <v>422</v>
      </c>
      <c r="B46" s="290"/>
      <c r="C46" s="247" t="s">
        <v>419</v>
      </c>
      <c r="D46" s="265">
        <f>SUM(D42:D45)</f>
        <v>12551290</v>
      </c>
      <c r="E46" s="265">
        <f>SUM(E42:E45)</f>
        <v>9457812</v>
      </c>
      <c r="F46" s="265">
        <f>SUM(F42:F45)</f>
        <v>3093478</v>
      </c>
      <c r="G46" s="265"/>
    </row>
    <row r="47" spans="1:7" ht="15" thickBot="1">
      <c r="A47" s="258" t="s">
        <v>421</v>
      </c>
      <c r="B47" s="290"/>
      <c r="C47" s="247" t="s">
        <v>418</v>
      </c>
      <c r="D47" s="265">
        <f>D41+D46</f>
        <v>176784029</v>
      </c>
      <c r="E47" s="265">
        <f>E41+E46</f>
        <v>167256106</v>
      </c>
      <c r="F47" s="265">
        <f>F41+F46</f>
        <v>9481523</v>
      </c>
      <c r="G47" s="265"/>
    </row>
    <row r="49" ht="12.75">
      <c r="D49" s="300"/>
    </row>
  </sheetData>
  <sheetProtection/>
  <mergeCells count="13">
    <mergeCell ref="A9:A12"/>
    <mergeCell ref="B9:B12"/>
    <mergeCell ref="C9:C12"/>
    <mergeCell ref="D9:D12"/>
    <mergeCell ref="E9:G9"/>
    <mergeCell ref="E11:G12"/>
    <mergeCell ref="B3:G3"/>
    <mergeCell ref="C5:G5"/>
    <mergeCell ref="A1:G1"/>
    <mergeCell ref="C6:G6"/>
    <mergeCell ref="C7:G7"/>
    <mergeCell ref="B2:G2"/>
    <mergeCell ref="D4:E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IU35"/>
  <sheetViews>
    <sheetView view="pageBreakPreview" zoomScale="60" zoomScalePageLayoutView="0" workbookViewId="0" topLeftCell="A1">
      <selection activeCell="I16" sqref="I16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438" t="s">
        <v>608</v>
      </c>
      <c r="B1" s="438"/>
      <c r="C1" s="438"/>
      <c r="D1" s="438"/>
      <c r="E1" s="438"/>
      <c r="F1" s="438"/>
    </row>
    <row r="3" spans="1:10" ht="15.75">
      <c r="A3" s="439" t="s">
        <v>414</v>
      </c>
      <c r="B3" s="439"/>
      <c r="C3" s="439"/>
      <c r="D3" s="439"/>
      <c r="E3" s="439"/>
      <c r="F3" s="439"/>
      <c r="G3" s="54"/>
      <c r="H3" s="54"/>
      <c r="I3" s="54"/>
      <c r="J3" s="54"/>
    </row>
    <row r="4" spans="1:6" ht="15">
      <c r="A4" s="514"/>
      <c r="B4" s="514"/>
      <c r="C4" s="514"/>
      <c r="D4" s="514"/>
      <c r="E4" s="514"/>
      <c r="F4" s="514"/>
    </row>
    <row r="5" spans="1:6" ht="15">
      <c r="A5" s="514"/>
      <c r="B5" s="514"/>
      <c r="C5" s="514"/>
      <c r="D5" s="514"/>
      <c r="E5" s="514"/>
      <c r="F5" s="514"/>
    </row>
    <row r="6" spans="3:5" ht="12.75" customHeight="1">
      <c r="C6" s="512" t="s">
        <v>459</v>
      </c>
      <c r="D6" s="513"/>
      <c r="E6" s="513"/>
    </row>
    <row r="7" spans="1:6" s="20" customFormat="1" ht="15.75">
      <c r="A7" s="515" t="s">
        <v>4</v>
      </c>
      <c r="B7" s="515"/>
      <c r="C7" s="515"/>
      <c r="D7" s="515"/>
      <c r="E7" s="515"/>
      <c r="F7" s="515"/>
    </row>
    <row r="8" spans="1:6" s="20" customFormat="1" ht="15.75">
      <c r="A8" s="515" t="s">
        <v>345</v>
      </c>
      <c r="B8" s="515"/>
      <c r="C8" s="515"/>
      <c r="D8" s="515"/>
      <c r="E8" s="515"/>
      <c r="F8" s="515"/>
    </row>
    <row r="9" spans="1:6" ht="15">
      <c r="A9" s="514" t="s">
        <v>372</v>
      </c>
      <c r="B9" s="514"/>
      <c r="C9" s="514"/>
      <c r="D9" s="514"/>
      <c r="E9" s="514"/>
      <c r="F9" s="514"/>
    </row>
    <row r="10" ht="15">
      <c r="F10" s="87" t="s">
        <v>350</v>
      </c>
    </row>
    <row r="11" spans="1:6" ht="15">
      <c r="A11" s="516" t="s">
        <v>0</v>
      </c>
      <c r="B11" s="517"/>
      <c r="C11" s="517"/>
      <c r="D11" s="517"/>
      <c r="E11" s="518"/>
      <c r="F11" s="525" t="s">
        <v>9</v>
      </c>
    </row>
    <row r="12" spans="1:6" ht="15">
      <c r="A12" s="519"/>
      <c r="B12" s="520"/>
      <c r="C12" s="520"/>
      <c r="D12" s="520"/>
      <c r="E12" s="521"/>
      <c r="F12" s="526"/>
    </row>
    <row r="13" spans="1:6" ht="15">
      <c r="A13" s="522"/>
      <c r="B13" s="523"/>
      <c r="C13" s="523"/>
      <c r="D13" s="523"/>
      <c r="E13" s="524"/>
      <c r="F13" s="527"/>
    </row>
    <row r="14" spans="1:6" ht="15">
      <c r="A14" s="13" t="s">
        <v>203</v>
      </c>
      <c r="E14" s="21"/>
      <c r="F14" s="22"/>
    </row>
    <row r="15" spans="1:2" s="13" customFormat="1" ht="15">
      <c r="A15" s="87"/>
      <c r="B15" s="11"/>
    </row>
    <row r="16" spans="1:5" ht="29.25" customHeight="1">
      <c r="A16" s="87"/>
      <c r="B16" s="435" t="s">
        <v>204</v>
      </c>
      <c r="C16" s="435"/>
      <c r="D16" s="435"/>
      <c r="E16" s="435"/>
    </row>
    <row r="17" spans="1:6" ht="33.75" customHeight="1">
      <c r="A17" s="12" t="s">
        <v>31</v>
      </c>
      <c r="B17" s="528" t="s">
        <v>474</v>
      </c>
      <c r="C17" s="431"/>
      <c r="D17" s="431"/>
      <c r="E17" s="431"/>
      <c r="F17" s="27">
        <v>600000</v>
      </c>
    </row>
    <row r="18" spans="1:6" ht="33.75" customHeight="1">
      <c r="A18" s="13"/>
      <c r="B18" s="435" t="s">
        <v>205</v>
      </c>
      <c r="C18" s="435"/>
      <c r="D18" s="435"/>
      <c r="E18" s="435"/>
      <c r="F18" s="28">
        <f>SUM(F17:F17)</f>
        <v>600000</v>
      </c>
    </row>
    <row r="19" ht="13.5" customHeight="1">
      <c r="F19" s="27"/>
    </row>
    <row r="20" spans="1:6" ht="33" customHeight="1">
      <c r="A20" s="13"/>
      <c r="B20" s="435" t="s">
        <v>206</v>
      </c>
      <c r="C20" s="435"/>
      <c r="D20" s="435"/>
      <c r="E20" s="435"/>
      <c r="F20" s="27"/>
    </row>
    <row r="21" spans="1:6" ht="18.75" customHeight="1">
      <c r="A21" s="88" t="s">
        <v>30</v>
      </c>
      <c r="B21" s="14" t="s">
        <v>55</v>
      </c>
      <c r="F21" s="27">
        <v>69700</v>
      </c>
    </row>
    <row r="22" spans="1:6" ht="13.5" customHeight="1">
      <c r="A22" s="12" t="s">
        <v>20</v>
      </c>
      <c r="B22" s="11" t="s">
        <v>21</v>
      </c>
      <c r="F22" s="27">
        <v>209100</v>
      </c>
    </row>
    <row r="23" spans="1:255" ht="15.75">
      <c r="A23" s="12" t="s">
        <v>31</v>
      </c>
      <c r="B23" s="16" t="s">
        <v>18</v>
      </c>
      <c r="C23" s="16"/>
      <c r="D23" s="16"/>
      <c r="E23" s="16"/>
      <c r="F23" s="27">
        <f>40000+190000</f>
        <v>230000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15.75">
      <c r="A24" s="12" t="s">
        <v>79</v>
      </c>
      <c r="B24" s="16" t="s">
        <v>19</v>
      </c>
      <c r="C24" s="16"/>
      <c r="D24" s="16"/>
      <c r="E24" s="16"/>
      <c r="F24" s="27">
        <v>40000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5.75">
      <c r="A25" s="12" t="s">
        <v>80</v>
      </c>
      <c r="B25" s="16" t="s">
        <v>33</v>
      </c>
      <c r="C25" s="16"/>
      <c r="D25" s="16"/>
      <c r="E25" s="16"/>
      <c r="F25" s="27">
        <f>40000+50000</f>
        <v>90000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5.75">
      <c r="A26" s="12" t="s">
        <v>86</v>
      </c>
      <c r="B26" s="16" t="s">
        <v>34</v>
      </c>
      <c r="C26" s="16"/>
      <c r="D26" s="16"/>
      <c r="E26" s="16"/>
      <c r="F26" s="27">
        <v>75000</v>
      </c>
      <c r="G26" s="39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6" ht="13.5" customHeight="1">
      <c r="A27" s="12" t="s">
        <v>222</v>
      </c>
      <c r="B27" s="16" t="s">
        <v>56</v>
      </c>
      <c r="F27" s="27">
        <v>600000</v>
      </c>
    </row>
    <row r="28" spans="1:6" ht="13.5" customHeight="1">
      <c r="A28" s="368" t="s">
        <v>224</v>
      </c>
      <c r="B28" s="11" t="s">
        <v>489</v>
      </c>
      <c r="F28" s="27">
        <v>80000</v>
      </c>
    </row>
    <row r="29" spans="1:6" ht="13.5" customHeight="1">
      <c r="A29" s="368" t="s">
        <v>546</v>
      </c>
      <c r="B29" s="11" t="s">
        <v>547</v>
      </c>
      <c r="F29" s="27">
        <v>40000</v>
      </c>
    </row>
    <row r="30" spans="1:8" ht="32.25" customHeight="1">
      <c r="A30" s="13"/>
      <c r="B30" s="435" t="s">
        <v>207</v>
      </c>
      <c r="C30" s="435"/>
      <c r="D30" s="435"/>
      <c r="E30" s="435"/>
      <c r="F30" s="28">
        <f>SUM(F21:F29)</f>
        <v>1433800</v>
      </c>
      <c r="G30" s="15"/>
      <c r="H30" s="15"/>
    </row>
    <row r="31" spans="1:8" ht="12.75" customHeight="1">
      <c r="A31" s="13"/>
      <c r="F31" s="27"/>
      <c r="G31" s="15"/>
      <c r="H31" s="15"/>
    </row>
    <row r="32" spans="1:7" s="17" customFormat="1" ht="15.75">
      <c r="A32" s="13" t="s">
        <v>208</v>
      </c>
      <c r="F32" s="28">
        <f>F30+F18</f>
        <v>2033800</v>
      </c>
      <c r="G32" s="18"/>
    </row>
    <row r="33" spans="1:7" s="17" customFormat="1" ht="15.75">
      <c r="A33" s="13"/>
      <c r="F33" s="28"/>
      <c r="G33" s="18"/>
    </row>
    <row r="34" spans="6:7" s="17" customFormat="1" ht="15.75">
      <c r="F34" s="27"/>
      <c r="G34" s="18"/>
    </row>
    <row r="35" spans="1:6" s="19" customFormat="1" ht="18.75">
      <c r="A35" s="19" t="s">
        <v>6</v>
      </c>
      <c r="F35" s="26">
        <f>F32</f>
        <v>2033800</v>
      </c>
    </row>
  </sheetData>
  <sheetProtection/>
  <mergeCells count="15">
    <mergeCell ref="A9:F9"/>
    <mergeCell ref="A8:F8"/>
    <mergeCell ref="B20:E20"/>
    <mergeCell ref="B30:E30"/>
    <mergeCell ref="A11:E13"/>
    <mergeCell ref="B16:E16"/>
    <mergeCell ref="B18:E18"/>
    <mergeCell ref="F11:F13"/>
    <mergeCell ref="B17:E17"/>
    <mergeCell ref="A1:F1"/>
    <mergeCell ref="C6:E6"/>
    <mergeCell ref="A3:F3"/>
    <mergeCell ref="A4:F4"/>
    <mergeCell ref="A5:F5"/>
    <mergeCell ref="A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C55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78.00390625" style="0" customWidth="1"/>
    <col min="3" max="3" width="15.75390625" style="0" customWidth="1"/>
  </cols>
  <sheetData>
    <row r="2" spans="1:3" ht="12.75">
      <c r="A2" s="407" t="s">
        <v>609</v>
      </c>
      <c r="B2" s="407"/>
      <c r="C2" s="407"/>
    </row>
    <row r="3" spans="1:3" ht="12.75">
      <c r="A3" s="286"/>
      <c r="B3" s="286"/>
      <c r="C3" s="286"/>
    </row>
    <row r="4" spans="1:2" ht="15.75">
      <c r="A4" s="439" t="s">
        <v>522</v>
      </c>
      <c r="B4" s="439"/>
    </row>
    <row r="6" ht="12.75">
      <c r="B6" s="376"/>
    </row>
    <row r="7" ht="12.75">
      <c r="B7" s="377" t="s">
        <v>284</v>
      </c>
    </row>
    <row r="8" ht="12.75">
      <c r="B8" s="377" t="s">
        <v>505</v>
      </c>
    </row>
    <row r="9" spans="2:3" ht="12.75">
      <c r="B9" s="377" t="s">
        <v>349</v>
      </c>
      <c r="C9" s="286" t="s">
        <v>404</v>
      </c>
    </row>
    <row r="10" ht="13.5" thickBot="1">
      <c r="C10" s="379"/>
    </row>
    <row r="11" spans="1:3" ht="12.75">
      <c r="A11" s="529" t="s">
        <v>356</v>
      </c>
      <c r="B11" s="532" t="s">
        <v>516</v>
      </c>
      <c r="C11" s="529" t="s">
        <v>8</v>
      </c>
    </row>
    <row r="12" spans="1:3" ht="12.75">
      <c r="A12" s="530"/>
      <c r="B12" s="533"/>
      <c r="C12" s="535"/>
    </row>
    <row r="13" spans="1:3" ht="13.5" thickBot="1">
      <c r="A13" s="531"/>
      <c r="B13" s="534"/>
      <c r="C13" s="536"/>
    </row>
    <row r="15" spans="1:3" ht="31.5">
      <c r="A15" s="286" t="s">
        <v>30</v>
      </c>
      <c r="B15" s="383" t="s">
        <v>506</v>
      </c>
      <c r="C15" s="384"/>
    </row>
    <row r="16" spans="1:3" ht="15.75">
      <c r="A16" s="393" t="s">
        <v>376</v>
      </c>
      <c r="B16" s="20" t="s">
        <v>507</v>
      </c>
      <c r="C16" s="384">
        <v>80000</v>
      </c>
    </row>
    <row r="17" spans="1:3" ht="15.75">
      <c r="A17" s="394" t="s">
        <v>379</v>
      </c>
      <c r="B17" s="20" t="s">
        <v>508</v>
      </c>
      <c r="C17" s="385">
        <v>21600</v>
      </c>
    </row>
    <row r="18" spans="1:3" ht="15.75">
      <c r="A18" s="394" t="s">
        <v>380</v>
      </c>
      <c r="B18" s="17" t="s">
        <v>2</v>
      </c>
      <c r="C18" s="18">
        <v>101600</v>
      </c>
    </row>
    <row r="19" spans="1:3" ht="15.75">
      <c r="A19" s="286" t="s">
        <v>20</v>
      </c>
      <c r="B19" s="386" t="s">
        <v>517</v>
      </c>
      <c r="C19" s="384"/>
    </row>
    <row r="20" spans="1:3" ht="15.75">
      <c r="A20" s="393" t="s">
        <v>559</v>
      </c>
      <c r="B20" s="20" t="s">
        <v>509</v>
      </c>
      <c r="C20" s="384">
        <f>141700-51101-11787</f>
        <v>78812</v>
      </c>
    </row>
    <row r="21" spans="1:3" ht="15.75">
      <c r="A21" s="394" t="s">
        <v>560</v>
      </c>
      <c r="B21" s="20" t="s">
        <v>508</v>
      </c>
      <c r="C21" s="385">
        <f>38259-13798-3183</f>
        <v>21278</v>
      </c>
    </row>
    <row r="22" spans="1:3" ht="15.75">
      <c r="A22" s="394" t="s">
        <v>581</v>
      </c>
      <c r="B22" s="17" t="s">
        <v>2</v>
      </c>
      <c r="C22" s="18">
        <f>C20+C21</f>
        <v>100090</v>
      </c>
    </row>
    <row r="23" spans="1:3" ht="15.75">
      <c r="A23" s="286" t="s">
        <v>31</v>
      </c>
      <c r="B23" s="387" t="s">
        <v>518</v>
      </c>
      <c r="C23" s="384"/>
    </row>
    <row r="24" spans="1:3" ht="15.75">
      <c r="A24" s="393" t="s">
        <v>388</v>
      </c>
      <c r="B24" s="20" t="s">
        <v>519</v>
      </c>
      <c r="C24" s="384">
        <v>787402</v>
      </c>
    </row>
    <row r="25" spans="1:3" ht="15.75">
      <c r="A25" s="394" t="s">
        <v>582</v>
      </c>
      <c r="B25" s="20" t="s">
        <v>508</v>
      </c>
      <c r="C25" s="385">
        <v>212598</v>
      </c>
    </row>
    <row r="26" spans="1:3" ht="15.75">
      <c r="A26" s="394" t="s">
        <v>583</v>
      </c>
      <c r="B26" s="17" t="s">
        <v>2</v>
      </c>
      <c r="C26" s="18">
        <f>C24+C25</f>
        <v>1000000</v>
      </c>
    </row>
    <row r="27" spans="1:3" ht="15.75">
      <c r="A27" s="286" t="s">
        <v>79</v>
      </c>
      <c r="B27" s="387" t="s">
        <v>520</v>
      </c>
      <c r="C27" s="20"/>
    </row>
    <row r="28" spans="1:3" ht="15.75">
      <c r="A28" s="393" t="s">
        <v>396</v>
      </c>
      <c r="B28" s="388" t="s">
        <v>521</v>
      </c>
      <c r="C28" s="389">
        <v>1181000</v>
      </c>
    </row>
    <row r="29" spans="1:3" ht="15.75">
      <c r="A29" s="394" t="s">
        <v>397</v>
      </c>
      <c r="B29" s="17" t="s">
        <v>2</v>
      </c>
      <c r="C29" s="213">
        <v>1181000</v>
      </c>
    </row>
    <row r="30" spans="1:3" ht="15.75">
      <c r="A30" s="286" t="s">
        <v>80</v>
      </c>
      <c r="B30" s="387" t="s">
        <v>570</v>
      </c>
      <c r="C30" s="20"/>
    </row>
    <row r="31" spans="1:3" ht="15.75">
      <c r="A31" s="393" t="s">
        <v>584</v>
      </c>
      <c r="B31" s="20" t="s">
        <v>574</v>
      </c>
      <c r="C31" s="384">
        <v>51101</v>
      </c>
    </row>
    <row r="32" spans="1:3" ht="15.75">
      <c r="A32" s="394" t="s">
        <v>600</v>
      </c>
      <c r="B32" s="20" t="s">
        <v>508</v>
      </c>
      <c r="C32" s="390">
        <v>13798</v>
      </c>
    </row>
    <row r="33" spans="1:3" ht="15.75">
      <c r="A33" s="394" t="s">
        <v>585</v>
      </c>
      <c r="B33" s="17" t="s">
        <v>2</v>
      </c>
      <c r="C33" s="18">
        <f>C31+C32</f>
        <v>64899</v>
      </c>
    </row>
    <row r="34" spans="1:3" ht="19.5" customHeight="1">
      <c r="A34" s="286" t="s">
        <v>86</v>
      </c>
      <c r="B34" s="387" t="s">
        <v>571</v>
      </c>
      <c r="C34" s="20"/>
    </row>
    <row r="35" spans="1:3" ht="15.75">
      <c r="A35" s="393" t="s">
        <v>586</v>
      </c>
      <c r="B35" s="20" t="s">
        <v>573</v>
      </c>
      <c r="C35" s="384">
        <v>11787</v>
      </c>
    </row>
    <row r="36" spans="1:3" ht="15.75">
      <c r="A36" s="394" t="s">
        <v>587</v>
      </c>
      <c r="B36" s="20" t="s">
        <v>508</v>
      </c>
      <c r="C36" s="390">
        <v>3183</v>
      </c>
    </row>
    <row r="37" spans="1:3" ht="15.75">
      <c r="A37" s="394" t="s">
        <v>588</v>
      </c>
      <c r="B37" s="17" t="s">
        <v>2</v>
      </c>
      <c r="C37" s="18">
        <f>C35+C36</f>
        <v>14970</v>
      </c>
    </row>
    <row r="38" spans="1:3" ht="15.75">
      <c r="A38" s="394" t="s">
        <v>222</v>
      </c>
      <c r="B38" s="391" t="s">
        <v>510</v>
      </c>
      <c r="C38" s="384"/>
    </row>
    <row r="39" spans="1:3" ht="15.75">
      <c r="A39" s="394" t="s">
        <v>594</v>
      </c>
      <c r="B39" s="20" t="s">
        <v>511</v>
      </c>
      <c r="C39" s="384">
        <v>40800</v>
      </c>
    </row>
    <row r="40" spans="1:3" ht="15.75">
      <c r="A40" s="394" t="s">
        <v>589</v>
      </c>
      <c r="B40" s="20" t="s">
        <v>508</v>
      </c>
      <c r="C40" s="385">
        <v>11016</v>
      </c>
    </row>
    <row r="41" spans="1:3" ht="15.75">
      <c r="A41" s="394" t="s">
        <v>590</v>
      </c>
      <c r="B41" s="17" t="s">
        <v>2</v>
      </c>
      <c r="C41" s="18">
        <v>51816</v>
      </c>
    </row>
    <row r="42" spans="1:3" ht="15.75">
      <c r="A42" s="394" t="s">
        <v>224</v>
      </c>
      <c r="B42" s="386" t="s">
        <v>512</v>
      </c>
      <c r="C42" s="384"/>
    </row>
    <row r="43" spans="1:3" ht="15.75">
      <c r="A43" s="394" t="s">
        <v>593</v>
      </c>
      <c r="B43" s="20" t="s">
        <v>511</v>
      </c>
      <c r="C43" s="384">
        <v>7200</v>
      </c>
    </row>
    <row r="44" spans="1:3" ht="15.75">
      <c r="A44" s="394" t="s">
        <v>591</v>
      </c>
      <c r="B44" s="20" t="s">
        <v>508</v>
      </c>
      <c r="C44" s="385">
        <v>1944</v>
      </c>
    </row>
    <row r="45" spans="1:3" ht="15.75">
      <c r="A45" s="394" t="s">
        <v>592</v>
      </c>
      <c r="B45" s="17" t="s">
        <v>2</v>
      </c>
      <c r="C45" s="18">
        <v>9144</v>
      </c>
    </row>
    <row r="46" spans="1:3" ht="15.75">
      <c r="A46" s="286" t="s">
        <v>226</v>
      </c>
      <c r="B46" s="386" t="s">
        <v>513</v>
      </c>
      <c r="C46" s="384"/>
    </row>
    <row r="47" spans="1:3" ht="15.75">
      <c r="A47" s="393" t="s">
        <v>580</v>
      </c>
      <c r="B47" s="20" t="s">
        <v>511</v>
      </c>
      <c r="C47" s="384">
        <v>10400</v>
      </c>
    </row>
    <row r="48" spans="1:3" ht="15.75">
      <c r="A48" s="393" t="s">
        <v>595</v>
      </c>
      <c r="B48" s="20" t="s">
        <v>508</v>
      </c>
      <c r="C48" s="385">
        <v>2808</v>
      </c>
    </row>
    <row r="49" spans="1:3" ht="15.75">
      <c r="A49" s="394" t="s">
        <v>596</v>
      </c>
      <c r="B49" s="17" t="s">
        <v>2</v>
      </c>
      <c r="C49" s="18">
        <v>13208</v>
      </c>
    </row>
    <row r="50" spans="1:3" ht="15.75">
      <c r="A50" s="286" t="s">
        <v>233</v>
      </c>
      <c r="B50" s="386" t="s">
        <v>514</v>
      </c>
      <c r="C50" s="384"/>
    </row>
    <row r="51" spans="1:3" ht="15.75">
      <c r="A51" s="394" t="s">
        <v>597</v>
      </c>
      <c r="B51" s="20" t="s">
        <v>511</v>
      </c>
      <c r="C51" s="384">
        <v>21000</v>
      </c>
    </row>
    <row r="52" spans="1:3" ht="15.75">
      <c r="A52" s="394" t="s">
        <v>598</v>
      </c>
      <c r="B52" s="20" t="s">
        <v>508</v>
      </c>
      <c r="C52" s="385">
        <v>5670</v>
      </c>
    </row>
    <row r="53" spans="1:3" ht="15.75">
      <c r="A53" s="394" t="s">
        <v>599</v>
      </c>
      <c r="B53" s="17" t="s">
        <v>2</v>
      </c>
      <c r="C53" s="18">
        <v>26670</v>
      </c>
    </row>
    <row r="54" spans="1:3" ht="15.75">
      <c r="A54" s="286"/>
      <c r="B54" s="20"/>
      <c r="C54" s="18"/>
    </row>
    <row r="55" spans="1:3" ht="15.75">
      <c r="A55" s="395" t="s">
        <v>235</v>
      </c>
      <c r="B55" s="17" t="s">
        <v>515</v>
      </c>
      <c r="C55" s="18">
        <f>C18+C22+C26+C29+C33+C41+C45+C49+C53+C37</f>
        <v>2563397</v>
      </c>
    </row>
  </sheetData>
  <sheetProtection/>
  <mergeCells count="5">
    <mergeCell ref="A11:A13"/>
    <mergeCell ref="B11:B13"/>
    <mergeCell ref="A2:C2"/>
    <mergeCell ref="A4:B4"/>
    <mergeCell ref="C11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2.625" style="0" customWidth="1"/>
    <col min="2" max="2" width="68.625" style="0" customWidth="1"/>
    <col min="3" max="3" width="13.25390625" style="0" customWidth="1"/>
  </cols>
  <sheetData>
    <row r="1" spans="2:3" ht="12.75">
      <c r="B1" s="407" t="s">
        <v>610</v>
      </c>
      <c r="C1" s="407"/>
    </row>
    <row r="3" ht="12.75">
      <c r="A3" t="s">
        <v>548</v>
      </c>
    </row>
    <row r="5" spans="1:3" ht="21" customHeight="1">
      <c r="A5" s="537"/>
      <c r="B5" s="537"/>
      <c r="C5" s="537"/>
    </row>
    <row r="6" spans="1:3" ht="12.75">
      <c r="A6" s="378"/>
      <c r="B6" s="377" t="s">
        <v>27</v>
      </c>
      <c r="C6" s="378"/>
    </row>
    <row r="7" spans="1:3" ht="12.75">
      <c r="A7" s="378"/>
      <c r="B7" s="377" t="s">
        <v>549</v>
      </c>
      <c r="C7" s="378"/>
    </row>
    <row r="8" spans="1:3" ht="12.75">
      <c r="A8" s="378"/>
      <c r="B8" s="377" t="s">
        <v>349</v>
      </c>
      <c r="C8" s="378"/>
    </row>
    <row r="9" spans="1:3" ht="13.5" thickBot="1">
      <c r="A9" s="378"/>
      <c r="B9" s="378"/>
      <c r="C9" s="378"/>
    </row>
    <row r="10" spans="1:3" ht="35.25" customHeight="1" thickBot="1">
      <c r="A10" s="381" t="s">
        <v>371</v>
      </c>
      <c r="B10" s="381" t="s">
        <v>0</v>
      </c>
      <c r="C10" s="382" t="s">
        <v>569</v>
      </c>
    </row>
    <row r="14" spans="1:3" ht="15.75">
      <c r="A14" s="396" t="s">
        <v>30</v>
      </c>
      <c r="B14" s="17" t="s">
        <v>550</v>
      </c>
      <c r="C14" s="20"/>
    </row>
    <row r="15" spans="1:3" ht="15.75">
      <c r="A15" s="396"/>
      <c r="B15" s="20"/>
      <c r="C15" s="20"/>
    </row>
    <row r="16" spans="1:3" ht="15.75">
      <c r="A16" s="397" t="s">
        <v>376</v>
      </c>
      <c r="B16" s="20" t="s">
        <v>551</v>
      </c>
      <c r="C16" s="20"/>
    </row>
    <row r="17" spans="1:3" ht="29.25" customHeight="1">
      <c r="A17" s="398" t="s">
        <v>377</v>
      </c>
      <c r="B17" s="60" t="s">
        <v>552</v>
      </c>
      <c r="C17" s="384">
        <v>7874016</v>
      </c>
    </row>
    <row r="18" spans="1:3" ht="15.75">
      <c r="A18" s="398" t="s">
        <v>378</v>
      </c>
      <c r="B18" s="20" t="s">
        <v>553</v>
      </c>
      <c r="C18" s="392">
        <v>2125984</v>
      </c>
    </row>
    <row r="19" spans="1:3" ht="15.75">
      <c r="A19" s="399" t="s">
        <v>558</v>
      </c>
      <c r="B19" s="17" t="s">
        <v>554</v>
      </c>
      <c r="C19" s="18">
        <v>10000000</v>
      </c>
    </row>
    <row r="20" spans="1:3" ht="15.75">
      <c r="A20" s="399"/>
      <c r="B20" s="17"/>
      <c r="C20" s="18"/>
    </row>
    <row r="21" spans="1:3" ht="15.75">
      <c r="A21" s="399" t="s">
        <v>561</v>
      </c>
      <c r="B21" s="20" t="s">
        <v>567</v>
      </c>
      <c r="C21" s="384">
        <v>11700312</v>
      </c>
    </row>
    <row r="22" spans="1:3" ht="15.75">
      <c r="A22" s="398" t="s">
        <v>562</v>
      </c>
      <c r="B22" s="20" t="s">
        <v>553</v>
      </c>
      <c r="C22" s="392">
        <v>3159084</v>
      </c>
    </row>
    <row r="23" spans="1:3" ht="15.75">
      <c r="A23" s="399" t="s">
        <v>563</v>
      </c>
      <c r="B23" s="17" t="s">
        <v>554</v>
      </c>
      <c r="C23" s="18">
        <f>C21+C22</f>
        <v>14859396</v>
      </c>
    </row>
    <row r="24" spans="1:3" ht="15.75">
      <c r="A24" s="399"/>
      <c r="B24" s="17"/>
      <c r="C24" s="18"/>
    </row>
    <row r="25" spans="1:3" ht="15.75">
      <c r="A25" s="399" t="s">
        <v>564</v>
      </c>
      <c r="B25" s="20" t="s">
        <v>568</v>
      </c>
      <c r="C25" s="384">
        <v>31496063</v>
      </c>
    </row>
    <row r="26" spans="1:3" ht="15.75">
      <c r="A26" s="398" t="s">
        <v>565</v>
      </c>
      <c r="B26" s="20" t="s">
        <v>553</v>
      </c>
      <c r="C26" s="392">
        <v>8503937</v>
      </c>
    </row>
    <row r="27" spans="1:3" ht="15.75">
      <c r="A27" s="399" t="s">
        <v>566</v>
      </c>
      <c r="B27" s="17" t="s">
        <v>554</v>
      </c>
      <c r="C27" s="18">
        <f>C25+C26</f>
        <v>40000000</v>
      </c>
    </row>
    <row r="28" spans="1:3" ht="15.75">
      <c r="A28" s="399"/>
      <c r="B28" s="17"/>
      <c r="C28" s="18"/>
    </row>
    <row r="29" spans="1:3" ht="15.75">
      <c r="A29" s="396"/>
      <c r="B29" s="20"/>
      <c r="C29" s="20"/>
    </row>
    <row r="30" spans="1:3" ht="15.75">
      <c r="A30" s="396" t="s">
        <v>20</v>
      </c>
      <c r="B30" s="17" t="s">
        <v>555</v>
      </c>
      <c r="C30" s="20"/>
    </row>
    <row r="31" spans="1:3" ht="15.75">
      <c r="A31" s="396"/>
      <c r="B31" s="17"/>
      <c r="C31" s="20"/>
    </row>
    <row r="32" spans="1:3" ht="15.75">
      <c r="A32" s="399" t="s">
        <v>559</v>
      </c>
      <c r="B32" s="20" t="s">
        <v>556</v>
      </c>
      <c r="C32" s="392">
        <v>120000</v>
      </c>
    </row>
    <row r="33" spans="1:3" ht="15.75">
      <c r="A33" s="399" t="s">
        <v>560</v>
      </c>
      <c r="B33" s="17" t="s">
        <v>2</v>
      </c>
      <c r="C33" s="18">
        <v>120000</v>
      </c>
    </row>
    <row r="34" spans="1:3" ht="15.75">
      <c r="A34" s="396"/>
      <c r="B34" s="20"/>
      <c r="C34" s="20"/>
    </row>
    <row r="35" spans="1:3" ht="15.75">
      <c r="A35" s="397" t="s">
        <v>31</v>
      </c>
      <c r="B35" s="17" t="s">
        <v>557</v>
      </c>
      <c r="C35" s="18">
        <f>C19+C23+C33+C27</f>
        <v>64979396</v>
      </c>
    </row>
    <row r="36" spans="1:3" ht="15.75">
      <c r="A36" s="20"/>
      <c r="B36" s="20"/>
      <c r="C36" s="20"/>
    </row>
  </sheetData>
  <sheetProtection/>
  <mergeCells count="2">
    <mergeCell ref="A5:C5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2017-12-06T13:14:45Z</cp:lastPrinted>
  <dcterms:created xsi:type="dcterms:W3CDTF">2002-11-26T17:22:50Z</dcterms:created>
  <dcterms:modified xsi:type="dcterms:W3CDTF">2017-12-06T13:14:49Z</dcterms:modified>
  <cp:category/>
  <cp:version/>
  <cp:contentType/>
  <cp:contentStatus/>
</cp:coreProperties>
</file>