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1"/>
  </bookViews>
  <sheets>
    <sheet name="2019. kv." sheetId="1" r:id="rId1"/>
    <sheet name="MÉRLEG " sheetId="2" r:id="rId2"/>
  </sheets>
  <definedNames>
    <definedName name="_xlnm.Print_Area" localSheetId="0">'2019. kv.'!$A$1:$D$428</definedName>
  </definedNames>
  <calcPr fullCalcOnLoad="1"/>
</workbook>
</file>

<file path=xl/sharedStrings.xml><?xml version="1.0" encoding="utf-8"?>
<sst xmlns="http://schemas.openxmlformats.org/spreadsheetml/2006/main" count="654" uniqueCount="396">
  <si>
    <t>BEVÉTELEK RÉSZLETEZÉSE</t>
  </si>
  <si>
    <t xml:space="preserve">                             Összesen:</t>
  </si>
  <si>
    <t>BEVÉTELEK MINDÖSSZESEN:</t>
  </si>
  <si>
    <t>KIADÁSOK RÉSZLETEZÉSE</t>
  </si>
  <si>
    <t>Személyi juttatások</t>
  </si>
  <si>
    <t>Munkaadót terhelő járulékok</t>
  </si>
  <si>
    <t>Dologi kiadások</t>
  </si>
  <si>
    <t>Ezer forintban</t>
  </si>
  <si>
    <t>KIADÁSOK ÉS BEVÉTELEK ÖSSZESÍTETT ELŐIRÁNYZATA</t>
  </si>
  <si>
    <t>KIADÁSOK</t>
  </si>
  <si>
    <t xml:space="preserve">                    Kiadások összesen:</t>
  </si>
  <si>
    <t>BEVÉTELEK</t>
  </si>
  <si>
    <t xml:space="preserve">                     Bevételek összesen:</t>
  </si>
  <si>
    <t xml:space="preserve">                                      AZ ÖNKORMÁNYZAT MÉRLEGE</t>
  </si>
  <si>
    <t>Működési</t>
  </si>
  <si>
    <t>Felhalmozási</t>
  </si>
  <si>
    <t xml:space="preserve">                                Összesen:</t>
  </si>
  <si>
    <t xml:space="preserve">   </t>
  </si>
  <si>
    <t xml:space="preserve">   Összesen:</t>
  </si>
  <si>
    <t>Személyi juttatás</t>
  </si>
  <si>
    <t>ezer forintban</t>
  </si>
  <si>
    <t>1. számú melléklet</t>
  </si>
  <si>
    <t xml:space="preserve">  Önkormányzatnak</t>
  </si>
  <si>
    <t>Speciális célú támogatások</t>
  </si>
  <si>
    <t>3.számú melléklet</t>
  </si>
  <si>
    <t>Közhatalmi bevételek</t>
  </si>
  <si>
    <t>4. számú melléklet</t>
  </si>
  <si>
    <t>2. számú melléklet</t>
  </si>
  <si>
    <t>KÖZVILÁGÍTÁS</t>
  </si>
  <si>
    <t>KÖZTEMETŐ-FENNTARTÁS ÉS MŰKÖDTETÉS</t>
  </si>
  <si>
    <t>Közvilágítás</t>
  </si>
  <si>
    <t>Köztemető-fenntartás és működtetés</t>
  </si>
  <si>
    <t>Rovatrend</t>
  </si>
  <si>
    <t>B11</t>
  </si>
  <si>
    <t>ÖNKORMÁNYZATOK MŰKÖDÉSI TÁMOGATÁSA</t>
  </si>
  <si>
    <t>B111</t>
  </si>
  <si>
    <t>forintban</t>
  </si>
  <si>
    <t>B113</t>
  </si>
  <si>
    <t>B114</t>
  </si>
  <si>
    <t>Kulturális feladatok támogatása</t>
  </si>
  <si>
    <t>B3</t>
  </si>
  <si>
    <t>KÖZHATALMI BEVÉTELEK</t>
  </si>
  <si>
    <t>B354</t>
  </si>
  <si>
    <t>Gépjárműadók</t>
  </si>
  <si>
    <t>B34</t>
  </si>
  <si>
    <t>Vagyoni típusú adók</t>
  </si>
  <si>
    <t>B813</t>
  </si>
  <si>
    <t>MARADVÁNY IGÉNYBEVÉTELE</t>
  </si>
  <si>
    <t>B8131</t>
  </si>
  <si>
    <t>Előző évi költségvetési maradvány igénybevét.</t>
  </si>
  <si>
    <t>kormányzati</t>
  </si>
  <si>
    <t>funkció</t>
  </si>
  <si>
    <t>011130</t>
  </si>
  <si>
    <t>ÖNKORMÁNYZATOK ÉS ÖNKORMÁNYZATI HIVATALOK</t>
  </si>
  <si>
    <t>JOGALKOTÓ ÉS ÁLTALÁNOS IGAZGATÁSI TEV.</t>
  </si>
  <si>
    <t>rovatrend</t>
  </si>
  <si>
    <t>K1</t>
  </si>
  <si>
    <t>K12</t>
  </si>
  <si>
    <t>Külső személyi juttatások</t>
  </si>
  <si>
    <t>K121</t>
  </si>
  <si>
    <t>K2</t>
  </si>
  <si>
    <t>K312</t>
  </si>
  <si>
    <t>Üzemeltetési anyagok beszerzése</t>
  </si>
  <si>
    <t>K351</t>
  </si>
  <si>
    <t>Előzetesen felszámított ált.forg.adó</t>
  </si>
  <si>
    <t xml:space="preserve">                                     összesen:</t>
  </si>
  <si>
    <t>K3</t>
  </si>
  <si>
    <t>K337</t>
  </si>
  <si>
    <t>Egyéb szolgáltatások</t>
  </si>
  <si>
    <t>045160</t>
  </si>
  <si>
    <t>K334</t>
  </si>
  <si>
    <t>Karbantartási, kisjavítási szolgáltatás</t>
  </si>
  <si>
    <t>064010</t>
  </si>
  <si>
    <t>K331</t>
  </si>
  <si>
    <t>Közüzemi díjak</t>
  </si>
  <si>
    <t>013320</t>
  </si>
  <si>
    <t>066020</t>
  </si>
  <si>
    <t>VÁROS-, KÖZSÉGGAZDÁLKODÁSI EGYÉB SZOLGÁLTATÁSOK</t>
  </si>
  <si>
    <t xml:space="preserve">ZÖLDTERÜLET- GAZDÁLKODÁSSAL KAPCS. FELADATOK </t>
  </si>
  <si>
    <t>ÖNKORMÁNYZATI HIVATAL</t>
  </si>
  <si>
    <t>EGYÉB SZOLGÁLTATÁSOK</t>
  </si>
  <si>
    <t>EGYÉB MŰKÖDÉSI CÉLÚ TÁMOGATÁSOK</t>
  </si>
  <si>
    <t>K506</t>
  </si>
  <si>
    <t>Egyéb műk. célú tám. államházt.belülre</t>
  </si>
  <si>
    <t>K511</t>
  </si>
  <si>
    <t>Egyéb  műk. célú támogatás államházt.kívülre</t>
  </si>
  <si>
    <t xml:space="preserve">  községgazdálkodás összesen:</t>
  </si>
  <si>
    <t>104051</t>
  </si>
  <si>
    <t>CSALÁDI TÁMOGATÁSOK</t>
  </si>
  <si>
    <t>K42</t>
  </si>
  <si>
    <t>ELLÁTOTTAK PÉNZBELI JUTTATÁSAI</t>
  </si>
  <si>
    <t>EGYÉB NEM INTÉZMÉNYI ELLÁTÁSOK</t>
  </si>
  <si>
    <t>K48</t>
  </si>
  <si>
    <t xml:space="preserve">                    Ellátottak juttatása összesen:</t>
  </si>
  <si>
    <t>041233</t>
  </si>
  <si>
    <t>HOSSZABB IDŐTARTAMÚ KÖZFOGLALKOZTATÁS</t>
  </si>
  <si>
    <t>K1101</t>
  </si>
  <si>
    <t>KIADÁSOK ÖSSZESEN:</t>
  </si>
  <si>
    <t>Közutak, hídak üzemeltetése, fenntartása</t>
  </si>
  <si>
    <t>Város-, községgazdálkodási egyéb szolg.</t>
  </si>
  <si>
    <t>Ellátottak juttatásai</t>
  </si>
  <si>
    <t>Hosszabb időtartamú közfoglalkoztatás</t>
  </si>
  <si>
    <t>Önkormányzatok jogalkotó és igazg.tev.</t>
  </si>
  <si>
    <t>Önkormányzatok működési támogatása</t>
  </si>
  <si>
    <t>Maradvány igénybevétele</t>
  </si>
  <si>
    <t>Egyéb működési célú támogatások</t>
  </si>
  <si>
    <t>Működési célú támogatási bevétel</t>
  </si>
  <si>
    <t>K322</t>
  </si>
  <si>
    <t>Egyéb kommunikációs szolgáltatás</t>
  </si>
  <si>
    <t>Egyéb szolgáltatás</t>
  </si>
  <si>
    <t>082044</t>
  </si>
  <si>
    <t>KÖNYVTÁRI SZOLGÁLTATÁSOK</t>
  </si>
  <si>
    <t>Könyvtári szolgáltatások</t>
  </si>
  <si>
    <t>Helyi önkormányzatok működésének általános támogatása</t>
  </si>
  <si>
    <t>Felújítás</t>
  </si>
  <si>
    <t>Szociális feladatok egyéb támogatás</t>
  </si>
  <si>
    <t>összesen:</t>
  </si>
  <si>
    <t>ÖSSZESEN:</t>
  </si>
  <si>
    <t>Védőnői szolgálat</t>
  </si>
  <si>
    <t>összesen</t>
  </si>
  <si>
    <t>Nonprofit gazdasági társaságnak</t>
  </si>
  <si>
    <t>Lakott külterület</t>
  </si>
  <si>
    <t xml:space="preserve">Egyéb kötelező önkorm. feladatok tám. </t>
  </si>
  <si>
    <t>Település-üzemeltetéshez kapcsolódó tám.</t>
  </si>
  <si>
    <t>Kiegészítés</t>
  </si>
  <si>
    <t>Üdölőhelyi feladat tám. (idegen forgalmi adó)</t>
  </si>
  <si>
    <t>Tanyagondnoki szolgálat támogatása</t>
  </si>
  <si>
    <t>Villamos energia</t>
  </si>
  <si>
    <t>Karbantartás, kisjavítás</t>
  </si>
  <si>
    <t>Bérleti díjak</t>
  </si>
  <si>
    <t>FALUGONDNOKI SZOLGÁLAT</t>
  </si>
  <si>
    <t>Személyi juttatás december</t>
  </si>
  <si>
    <t>Személyi juttatás januártól</t>
  </si>
  <si>
    <t>Ruházati költségtérítés</t>
  </si>
  <si>
    <t>Dologi kiadás</t>
  </si>
  <si>
    <t>Hajtó és kenőanyag</t>
  </si>
  <si>
    <t>Telefonszámla</t>
  </si>
  <si>
    <t>Biztosítás</t>
  </si>
  <si>
    <t>Zöldterület gazdálkodás</t>
  </si>
  <si>
    <t>Közvilágítás fenntartás</t>
  </si>
  <si>
    <t>Közutak fenntartása</t>
  </si>
  <si>
    <t>működési támogatás összesen:</t>
  </si>
  <si>
    <t>magánszemélyek kommunális adója</t>
  </si>
  <si>
    <t>09111</t>
  </si>
  <si>
    <t>091131</t>
  </si>
  <si>
    <t>091141</t>
  </si>
  <si>
    <t>Települési önk. szociális gyermekjóléti fel.tám.</t>
  </si>
  <si>
    <t>0935411</t>
  </si>
  <si>
    <t>093431</t>
  </si>
  <si>
    <t>0981311</t>
  </si>
  <si>
    <t>051211</t>
  </si>
  <si>
    <t>05211</t>
  </si>
  <si>
    <t>0531221</t>
  </si>
  <si>
    <t>0531261</t>
  </si>
  <si>
    <t>0532211</t>
  </si>
  <si>
    <t>irodaszer</t>
  </si>
  <si>
    <t>0533111</t>
  </si>
  <si>
    <t>0533131</t>
  </si>
  <si>
    <t>0533121</t>
  </si>
  <si>
    <t>053511</t>
  </si>
  <si>
    <t>0533791</t>
  </si>
  <si>
    <t>053341</t>
  </si>
  <si>
    <t>053331</t>
  </si>
  <si>
    <t>Közüzemi díj</t>
  </si>
  <si>
    <t>K33</t>
  </si>
  <si>
    <t>0531231</t>
  </si>
  <si>
    <t>hajtó,kenőanyag fűnyíráshoz</t>
  </si>
  <si>
    <t>egyéb üzemeltetési anyagok (alkatrész, virágok, fák)</t>
  </si>
  <si>
    <t>biztosítási díjak</t>
  </si>
  <si>
    <t>Háziorvosi ügyelet</t>
  </si>
  <si>
    <t>05506071</t>
  </si>
  <si>
    <t>Társulásnak</t>
  </si>
  <si>
    <t>05511021</t>
  </si>
  <si>
    <t>Szinergia</t>
  </si>
  <si>
    <t>Nefela</t>
  </si>
  <si>
    <t>05110111</t>
  </si>
  <si>
    <t>05241</t>
  </si>
  <si>
    <t>05271</t>
  </si>
  <si>
    <t>0533721</t>
  </si>
  <si>
    <t>pénzbeli és természetbeni gyermekvéd.tám.</t>
  </si>
  <si>
    <t>Temetési segély</t>
  </si>
  <si>
    <t>Köztemetés</t>
  </si>
  <si>
    <t>iparűzési adó</t>
  </si>
  <si>
    <t>építményadó</t>
  </si>
  <si>
    <t>talajterhelési díj</t>
  </si>
  <si>
    <t>093411</t>
  </si>
  <si>
    <t>0935111</t>
  </si>
  <si>
    <t>0935521</t>
  </si>
  <si>
    <t>B35</t>
  </si>
  <si>
    <t>BERUHÁZÁS</t>
  </si>
  <si>
    <t>05641</t>
  </si>
  <si>
    <t>05671</t>
  </si>
  <si>
    <t>Vízdíj</t>
  </si>
  <si>
    <t xml:space="preserve">Internet </t>
  </si>
  <si>
    <t>0532111</t>
  </si>
  <si>
    <t>Előzetesen felszámított ált.forg.adó (27%)</t>
  </si>
  <si>
    <t>K321</t>
  </si>
  <si>
    <t>054851</t>
  </si>
  <si>
    <t>054861</t>
  </si>
  <si>
    <t>054871</t>
  </si>
  <si>
    <t>0511011</t>
  </si>
  <si>
    <t>B16</t>
  </si>
  <si>
    <t>0916061</t>
  </si>
  <si>
    <t xml:space="preserve">EGYÉB MŰKÖDÉSI CÉLÚ TÁMOGATÁSOK </t>
  </si>
  <si>
    <t>államháztartáson belül</t>
  </si>
  <si>
    <t xml:space="preserve">  Elkülönített állami pénzalapoktól</t>
  </si>
  <si>
    <t>Közfoglalkoztatás támogatása</t>
  </si>
  <si>
    <t>Beruházás</t>
  </si>
  <si>
    <t>K67</t>
  </si>
  <si>
    <t>Falugondnoki szolgálat</t>
  </si>
  <si>
    <t>egyéb műk. c. tám. áh-n belülre összesen:</t>
  </si>
  <si>
    <t>0531241</t>
  </si>
  <si>
    <t xml:space="preserve">KÖZUTAK, HIDAK ÜZEMELTETÉSE, FENNTARTÁSA                    </t>
  </si>
  <si>
    <t>Rászoruló gyermekek intézményen kívüli szünidei étkeztetése</t>
  </si>
  <si>
    <t>áh-n belüli megelőlegezés</t>
  </si>
  <si>
    <t>Választott tisztségviselők juttatása</t>
  </si>
  <si>
    <t>053371</t>
  </si>
  <si>
    <t>066010</t>
  </si>
  <si>
    <t>0531121</t>
  </si>
  <si>
    <t>K311</t>
  </si>
  <si>
    <t>könyv, folyóirat</t>
  </si>
  <si>
    <t>egyéb anyag</t>
  </si>
  <si>
    <t>0533711</t>
  </si>
  <si>
    <t>Postaköltség</t>
  </si>
  <si>
    <t>0532221</t>
  </si>
  <si>
    <t>Kábel tv.</t>
  </si>
  <si>
    <t>Törvény szerinti illetmény december</t>
  </si>
  <si>
    <t>Törvény szerinti illetmény (januártól-novemberig)</t>
  </si>
  <si>
    <t>Önkormányzati segély</t>
  </si>
  <si>
    <t>054891</t>
  </si>
  <si>
    <t>Dologi</t>
  </si>
  <si>
    <t>Egyéb anyag (alkatrész)</t>
  </si>
  <si>
    <t>Áfa</t>
  </si>
  <si>
    <t>018030</t>
  </si>
  <si>
    <t>SPORTLÉTESÍTMÉNYEK, EDZŐTÁBOROK MŰK. ÉS FEJL.</t>
  </si>
  <si>
    <t>Gázdíj</t>
  </si>
  <si>
    <t>0533761</t>
  </si>
  <si>
    <t>Kéményseprés</t>
  </si>
  <si>
    <t>018010</t>
  </si>
  <si>
    <t>ÖNKORMÁNYZATOK ELSZÁMOLÁSA A KÖZPONTI KTGVETÉSSEL</t>
  </si>
  <si>
    <t>K91</t>
  </si>
  <si>
    <t>059141</t>
  </si>
  <si>
    <t>Áh-n belüli megelőlegezés visszafizetése</t>
  </si>
  <si>
    <t>104037</t>
  </si>
  <si>
    <t>INTÉZMÉNYEN KÍVÜLI SZÜNIDEI GYERMEKÉTKEZTETÉS</t>
  </si>
  <si>
    <t>053321</t>
  </si>
  <si>
    <t>Vásárolt élelmezés</t>
  </si>
  <si>
    <t>05512031</t>
  </si>
  <si>
    <t>Civil szervezetek támogatása</t>
  </si>
  <si>
    <t>K6</t>
  </si>
  <si>
    <t>K641</t>
  </si>
  <si>
    <t>Beruházási áfa</t>
  </si>
  <si>
    <t>K7</t>
  </si>
  <si>
    <t>05713</t>
  </si>
  <si>
    <t>05741</t>
  </si>
  <si>
    <t>Felújítási áfa</t>
  </si>
  <si>
    <t>Ingatlan felújítás</t>
  </si>
  <si>
    <t>Intézményen kívüli gyermekétkeztetés</t>
  </si>
  <si>
    <t>Sportlétesítmények működtetése</t>
  </si>
  <si>
    <t>Felújítás, beruházás</t>
  </si>
  <si>
    <t>kéményseprés</t>
  </si>
  <si>
    <t>Hajtó-és kenőanyag</t>
  </si>
  <si>
    <t>Egyéb anyag</t>
  </si>
  <si>
    <t>0533741</t>
  </si>
  <si>
    <t>szállítás</t>
  </si>
  <si>
    <t>053351</t>
  </si>
  <si>
    <t>Közvetített szolgáltatás</t>
  </si>
  <si>
    <t xml:space="preserve">egyéb szolgáltatások </t>
  </si>
  <si>
    <t>kéményseprés, szemétszállítás</t>
  </si>
  <si>
    <t>0533781</t>
  </si>
  <si>
    <t>bankköltség</t>
  </si>
  <si>
    <t>Községek Országos Szövetsége</t>
  </si>
  <si>
    <t>Országos Mentőszolgálat</t>
  </si>
  <si>
    <t>Falugondokok Egyesülete</t>
  </si>
  <si>
    <t>054241</t>
  </si>
  <si>
    <t>helyi megállapítású GYV támogatás</t>
  </si>
  <si>
    <t>0548251</t>
  </si>
  <si>
    <t>Települési támogatás (Gyógyszer, LFT stb.)</t>
  </si>
  <si>
    <t>Irodaszer</t>
  </si>
  <si>
    <t>polgármester illetménye, költségtérítése januártól-novemberig</t>
  </si>
  <si>
    <t>polgármester béren kívüli juttatása januártól-novemberig</t>
  </si>
  <si>
    <t>alpolgármester tiszteletdíja, költségtérítése januártól-novemberig</t>
  </si>
  <si>
    <t>képviselők tiszteletdíja januártól-novemberig</t>
  </si>
  <si>
    <t>0511073</t>
  </si>
  <si>
    <t>Béren kívüli juttatás december</t>
  </si>
  <si>
    <t>Béren kivüli juttatás (januártól-novemberig)</t>
  </si>
  <si>
    <t>Munka-és védőruha</t>
  </si>
  <si>
    <t>Egyéb tárgyi eszköz beszerzés</t>
  </si>
  <si>
    <t>0936171</t>
  </si>
  <si>
    <t>pótlék</t>
  </si>
  <si>
    <t>polgármester jutalma (3 havi)</t>
  </si>
  <si>
    <t>Tárgyi eszköz beszerzés</t>
  </si>
  <si>
    <t>Polgármesteri illetmény támogatása</t>
  </si>
  <si>
    <t>energetikai korszerűsítés pályázat</t>
  </si>
  <si>
    <t>polgármester, képviselők illetménye, béren kívüli juttatása december</t>
  </si>
  <si>
    <t>Egyéb tárgyi eszköz (telefon részlet fizetése)</t>
  </si>
  <si>
    <t>Hivatali hozzájárulás (018030)</t>
  </si>
  <si>
    <t>Mozsgói Intézményfenntartó Társ. (Óvoda működéshez 018030)</t>
  </si>
  <si>
    <t>Törvény szerinti illetmények</t>
  </si>
  <si>
    <t>Bódi Foci Suli</t>
  </si>
  <si>
    <t>082091</t>
  </si>
  <si>
    <t>RENDEZVÉNY</t>
  </si>
  <si>
    <t xml:space="preserve">Egészségügyi hozzájárulás december </t>
  </si>
  <si>
    <t xml:space="preserve">Munkáltatót terhelő szja december </t>
  </si>
  <si>
    <t>Szociális hozzájárulási adó (19,5 %)</t>
  </si>
  <si>
    <t>Internetdíj</t>
  </si>
  <si>
    <t>Közvetített szolg.</t>
  </si>
  <si>
    <t>05711</t>
  </si>
  <si>
    <t>EFOP-1.5.3-16-2017-00087</t>
  </si>
  <si>
    <t>Szociális hozzájárulási adó</t>
  </si>
  <si>
    <t>053221</t>
  </si>
  <si>
    <t>Telefondíj</t>
  </si>
  <si>
    <t>053361</t>
  </si>
  <si>
    <t>Szakmai tevékenységet segítő szolg.</t>
  </si>
  <si>
    <t>Bankköltség</t>
  </si>
  <si>
    <t>ÁFA</t>
  </si>
  <si>
    <t>K4</t>
  </si>
  <si>
    <t>054831</t>
  </si>
  <si>
    <t>Utalvány</t>
  </si>
  <si>
    <t>05506011</t>
  </si>
  <si>
    <t>05631</t>
  </si>
  <si>
    <t>Eszközöbeszerzés</t>
  </si>
  <si>
    <t>Beszerzés ÁFA</t>
  </si>
  <si>
    <t>Felújítási ÁFA</t>
  </si>
  <si>
    <t>Energetikai pályázat</t>
  </si>
  <si>
    <t>Felújítás (energetikai korszerűsítés pályázat önerő)</t>
  </si>
  <si>
    <t>ÁFA (energetikai korszerűsítés pályázat önerő)</t>
  </si>
  <si>
    <t>0916031</t>
  </si>
  <si>
    <t>Út felújítás (pályázati önerő)</t>
  </si>
  <si>
    <t>ÁFA (önerő)</t>
  </si>
  <si>
    <t>Út felújítás (Önkormányzati fejlesztések pályázat)</t>
  </si>
  <si>
    <t>Felújítási áfa (Önkormányzati fejlesztések pályázat)</t>
  </si>
  <si>
    <t>B4</t>
  </si>
  <si>
    <t>094011</t>
  </si>
  <si>
    <t>Készletértékesítés (közfoglalkoztatási terményekből)</t>
  </si>
  <si>
    <t>094021</t>
  </si>
  <si>
    <t>Szolgáltatások ellenértéke (kaszálás, fahordás, gép földmunka stb. - 066020)</t>
  </si>
  <si>
    <t>094031</t>
  </si>
  <si>
    <t>Rendezvény</t>
  </si>
  <si>
    <t>Egyéb bevétel</t>
  </si>
  <si>
    <t>Köztemető fenntartás</t>
  </si>
  <si>
    <t>Közvetített szolgáltatás (Bódi Focisuli rezsi számlák)</t>
  </si>
  <si>
    <t>Bérleti díj (Bódi Focisuli)</t>
  </si>
  <si>
    <t>Kamat</t>
  </si>
  <si>
    <t>szociális hozzájárulási adó</t>
  </si>
  <si>
    <t>egészségügyi hozzájárulás</t>
  </si>
  <si>
    <t>munkáltatót terhelő szja</t>
  </si>
  <si>
    <t>Üzemeltetési anyagok beszerzése (irodaszer, egyéb anyag stb.)</t>
  </si>
  <si>
    <t>053121</t>
  </si>
  <si>
    <t>053211</t>
  </si>
  <si>
    <t>Informatikai szolgáltatás (internet)</t>
  </si>
  <si>
    <t>Egyéb kommunikációs szolgáltatás (telefon)</t>
  </si>
  <si>
    <t>053311</t>
  </si>
  <si>
    <t>Szolgáltatás</t>
  </si>
  <si>
    <t>Karbantartás</t>
  </si>
  <si>
    <t>Egyéb anyag (élelmiszer, irodaszer, egyéb)</t>
  </si>
  <si>
    <t>K333</t>
  </si>
  <si>
    <t xml:space="preserve">Bérleti díj (körhita) </t>
  </si>
  <si>
    <t>Önkormányzat saját hatás körben adott ellátás</t>
  </si>
  <si>
    <t>BURSA</t>
  </si>
  <si>
    <t xml:space="preserve">Szoc. h. jár. december </t>
  </si>
  <si>
    <t xml:space="preserve">Egészségügyi hozzájárulás </t>
  </si>
  <si>
    <t>Munkáltatót terhelő szja</t>
  </si>
  <si>
    <t>óvoda hozzájárulás</t>
  </si>
  <si>
    <t xml:space="preserve">Személyi juttatás </t>
  </si>
  <si>
    <t xml:space="preserve">Törvény szerinti illetmények </t>
  </si>
  <si>
    <t>önkormányzati fejlesztések pályázat</t>
  </si>
  <si>
    <t>041237</t>
  </si>
  <si>
    <t>MEZŐGAZDASÁGI START</t>
  </si>
  <si>
    <t xml:space="preserve">Szociális hozzájárulási adó </t>
  </si>
  <si>
    <t>Vegyszer</t>
  </si>
  <si>
    <t>Tárgyi eszköz</t>
  </si>
  <si>
    <t xml:space="preserve">                               dologi összesen:</t>
  </si>
  <si>
    <t>0511013</t>
  </si>
  <si>
    <t>Törvény szerinti illetmény</t>
  </si>
  <si>
    <t>Szociális ösztöndíj (5 fő/20.000,- Ft)</t>
  </si>
  <si>
    <t>önkormányzati fejlesztések pályázatra kiadott előleg</t>
  </si>
  <si>
    <t>EFOP kiadott előleg</t>
  </si>
  <si>
    <t>EFOP bankszámla egyenleg</t>
  </si>
  <si>
    <t>Mezőgazdasági START</t>
  </si>
  <si>
    <t>2018. évi hivatali hozzájárulás</t>
  </si>
  <si>
    <t>TOP</t>
  </si>
  <si>
    <t>TOP-5.3.1.-16-BA2-2017-00004</t>
  </si>
  <si>
    <t>05337</t>
  </si>
  <si>
    <t>Rendezvény áfa</t>
  </si>
  <si>
    <t>05351</t>
  </si>
  <si>
    <t>Jutalom 2 havi</t>
  </si>
  <si>
    <t>közfoglalkoztatás</t>
  </si>
  <si>
    <t>Polgárőr Egyesület</t>
  </si>
  <si>
    <t>062020</t>
  </si>
  <si>
    <t>Út felújítás (Önkormányzati fejlesztések pályázat) előleg elszámolás</t>
  </si>
  <si>
    <t>Felújítási áfa (Önkormányzati fejlesztések pályázat) előleg elszámolás</t>
  </si>
  <si>
    <t>0564</t>
  </si>
  <si>
    <t>Áh-n belüli visszafizetés</t>
  </si>
  <si>
    <t>téli rezsicsökkentés</t>
  </si>
  <si>
    <t>Téli rezsicsökkentés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</si>
</sst>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  <numFmt numFmtId="172" formatCode="[$-40E]yyyy\.\ mmmm\ d\.\,\ dddd"/>
  </numFmts>
  <fonts count="45"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b/>
      <i/>
      <sz val="16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2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5"/>
    </xf>
    <xf numFmtId="0" fontId="2" fillId="0" borderId="0" xfId="0" applyFont="1" applyAlignment="1">
      <alignment horizontal="left" indent="5"/>
    </xf>
    <xf numFmtId="0" fontId="7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8" fillId="0" borderId="0" xfId="0" applyFont="1" applyAlignment="1">
      <alignment horizontal="left" indent="5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Alignment="1">
      <alignment horizontal="left" indent="5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left" vertical="center" wrapText="1" indent="3"/>
    </xf>
    <xf numFmtId="49" fontId="0" fillId="0" borderId="0" xfId="0" applyNumberFormat="1" applyFont="1" applyAlignment="1">
      <alignment horizontal="left"/>
    </xf>
    <xf numFmtId="171" fontId="0" fillId="0" borderId="0" xfId="40" applyNumberFormat="1" applyAlignment="1">
      <alignment/>
    </xf>
    <xf numFmtId="171" fontId="1" fillId="0" borderId="0" xfId="40" applyNumberFormat="1" applyFont="1" applyAlignment="1">
      <alignment/>
    </xf>
    <xf numFmtId="171" fontId="0" fillId="0" borderId="0" xfId="40" applyNumberFormat="1" applyFont="1" applyAlignment="1">
      <alignment/>
    </xf>
    <xf numFmtId="171" fontId="1" fillId="0" borderId="0" xfId="40" applyNumberFormat="1" applyFont="1" applyAlignment="1">
      <alignment/>
    </xf>
    <xf numFmtId="0" fontId="2" fillId="0" borderId="0" xfId="0" applyFont="1" applyAlignment="1">
      <alignment horizontal="left" indent="3"/>
    </xf>
    <xf numFmtId="171" fontId="2" fillId="0" borderId="0" xfId="40" applyNumberFormat="1" applyFont="1" applyAlignment="1">
      <alignment/>
    </xf>
    <xf numFmtId="171" fontId="0" fillId="0" borderId="0" xfId="40" applyNumberFormat="1" applyFont="1" applyAlignment="1">
      <alignment horizontal="right"/>
    </xf>
    <xf numFmtId="171" fontId="0" fillId="0" borderId="0" xfId="40" applyNumberFormat="1" applyFont="1" applyAlignment="1">
      <alignment/>
    </xf>
    <xf numFmtId="171" fontId="7" fillId="0" borderId="0" xfId="40" applyNumberFormat="1" applyFont="1" applyAlignment="1">
      <alignment/>
    </xf>
    <xf numFmtId="171" fontId="8" fillId="0" borderId="0" xfId="40" applyNumberFormat="1" applyFont="1" applyAlignment="1">
      <alignment/>
    </xf>
    <xf numFmtId="171" fontId="8" fillId="0" borderId="0" xfId="40" applyNumberFormat="1" applyFont="1" applyAlignment="1">
      <alignment/>
    </xf>
    <xf numFmtId="171" fontId="0" fillId="0" borderId="0" xfId="40" applyNumberFormat="1" applyFont="1" applyAlignment="1">
      <alignment/>
    </xf>
    <xf numFmtId="171" fontId="2" fillId="0" borderId="0" xfId="0" applyNumberFormat="1" applyFont="1" applyAlignment="1">
      <alignment/>
    </xf>
    <xf numFmtId="171" fontId="0" fillId="0" borderId="0" xfId="40" applyNumberFormat="1" applyFont="1" applyAlignment="1">
      <alignment/>
    </xf>
    <xf numFmtId="171" fontId="0" fillId="0" borderId="0" xfId="0" applyNumberFormat="1" applyAlignment="1">
      <alignment/>
    </xf>
    <xf numFmtId="171" fontId="7" fillId="32" borderId="0" xfId="40" applyNumberFormat="1" applyFont="1" applyFill="1" applyAlignment="1">
      <alignment/>
    </xf>
    <xf numFmtId="0" fontId="7" fillId="32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view="pageBreakPreview" zoomScale="60" workbookViewId="0" topLeftCell="A388">
      <selection activeCell="D332" sqref="D332"/>
    </sheetView>
  </sheetViews>
  <sheetFormatPr defaultColWidth="8.796875" defaultRowHeight="15"/>
  <cols>
    <col min="1" max="1" width="11.19921875" style="0" customWidth="1"/>
    <col min="2" max="2" width="11.19921875" style="29" customWidth="1"/>
    <col min="3" max="3" width="74.59765625" style="0" customWidth="1"/>
    <col min="4" max="4" width="28.09765625" style="42" customWidth="1"/>
    <col min="5" max="5" width="21.19921875" style="0" customWidth="1"/>
    <col min="6" max="6" width="9.8984375" style="0" bestFit="1" customWidth="1"/>
    <col min="8" max="8" width="14.5" style="0" bestFit="1" customWidth="1"/>
  </cols>
  <sheetData>
    <row r="1" ht="15.75">
      <c r="D1" s="42" t="s">
        <v>21</v>
      </c>
    </row>
    <row r="2" spans="1:3" ht="19.5">
      <c r="A2" s="1"/>
      <c r="B2" s="15"/>
      <c r="C2" s="10" t="s">
        <v>0</v>
      </c>
    </row>
    <row r="3" spans="1:3" ht="19.5">
      <c r="A3" s="1"/>
      <c r="B3" s="15"/>
      <c r="C3" s="10"/>
    </row>
    <row r="4" spans="1:4" ht="15.75">
      <c r="A4" t="s">
        <v>32</v>
      </c>
      <c r="D4" s="46" t="s">
        <v>36</v>
      </c>
    </row>
    <row r="5" spans="1:3" ht="15.75">
      <c r="A5" s="9" t="s">
        <v>33</v>
      </c>
      <c r="B5" s="17"/>
      <c r="C5" s="9" t="s">
        <v>34</v>
      </c>
    </row>
    <row r="6" spans="1:4" ht="15.75">
      <c r="A6" s="13" t="s">
        <v>35</v>
      </c>
      <c r="B6" s="16" t="s">
        <v>143</v>
      </c>
      <c r="C6" s="13" t="s">
        <v>113</v>
      </c>
      <c r="D6" s="47"/>
    </row>
    <row r="7" spans="1:4" ht="15.75">
      <c r="A7" s="1"/>
      <c r="B7" s="15"/>
      <c r="C7" s="23" t="s">
        <v>123</v>
      </c>
      <c r="D7" s="48"/>
    </row>
    <row r="8" spans="1:4" ht="15.75">
      <c r="A8" s="1"/>
      <c r="B8" s="15"/>
      <c r="C8" s="24" t="s">
        <v>138</v>
      </c>
      <c r="D8" s="40">
        <v>1583300</v>
      </c>
    </row>
    <row r="9" spans="1:4" ht="15.75">
      <c r="A9" s="1"/>
      <c r="B9" s="15"/>
      <c r="C9" s="24" t="s">
        <v>139</v>
      </c>
      <c r="D9" s="40">
        <v>1632000</v>
      </c>
    </row>
    <row r="10" spans="1:4" ht="15.75">
      <c r="A10" s="1"/>
      <c r="B10" s="15"/>
      <c r="C10" s="36" t="s">
        <v>340</v>
      </c>
      <c r="D10" s="40">
        <v>618838</v>
      </c>
    </row>
    <row r="11" spans="1:4" ht="15.75">
      <c r="A11" s="1"/>
      <c r="B11" s="15"/>
      <c r="C11" s="24" t="s">
        <v>140</v>
      </c>
      <c r="D11" s="40">
        <v>683270</v>
      </c>
    </row>
    <row r="12" spans="1:4" ht="15.75">
      <c r="A12" s="1"/>
      <c r="B12" s="15"/>
      <c r="C12" s="23" t="s">
        <v>122</v>
      </c>
      <c r="D12" s="40">
        <v>5000000</v>
      </c>
    </row>
    <row r="13" spans="1:4" ht="15.75">
      <c r="A13" s="1"/>
      <c r="B13" s="15"/>
      <c r="C13" s="23" t="s">
        <v>121</v>
      </c>
      <c r="D13" s="40">
        <v>38250</v>
      </c>
    </row>
    <row r="14" spans="2:4" s="13" customFormat="1" ht="15.75">
      <c r="B14" s="16"/>
      <c r="C14" s="26" t="s">
        <v>124</v>
      </c>
      <c r="D14" s="53">
        <v>4381800</v>
      </c>
    </row>
    <row r="15" spans="1:4" ht="15.75">
      <c r="A15" s="1"/>
      <c r="B15" s="15"/>
      <c r="C15" s="26" t="s">
        <v>292</v>
      </c>
      <c r="D15" s="53">
        <v>1980700</v>
      </c>
    </row>
    <row r="16" spans="1:4" ht="15.75">
      <c r="A16" s="1"/>
      <c r="B16" s="15"/>
      <c r="C16" s="26" t="s">
        <v>125</v>
      </c>
      <c r="D16" s="53">
        <v>6000</v>
      </c>
    </row>
    <row r="17" spans="1:6" ht="15.75">
      <c r="A17" s="1"/>
      <c r="B17" s="15"/>
      <c r="C17" s="25" t="s">
        <v>116</v>
      </c>
      <c r="D17" s="45">
        <f>SUM(D8:D16)</f>
        <v>15924158</v>
      </c>
      <c r="E17">
        <v>16312084</v>
      </c>
      <c r="F17">
        <v>387926</v>
      </c>
    </row>
    <row r="18" spans="1:4" ht="15.75">
      <c r="A18" s="1"/>
      <c r="B18" s="15"/>
      <c r="C18" s="9"/>
      <c r="D18" s="40"/>
    </row>
    <row r="19" spans="1:3" ht="15.75">
      <c r="A19" s="13" t="s">
        <v>37</v>
      </c>
      <c r="B19" s="30" t="s">
        <v>144</v>
      </c>
      <c r="C19" s="13" t="s">
        <v>146</v>
      </c>
    </row>
    <row r="20" spans="1:4" ht="15.75">
      <c r="A20" s="1"/>
      <c r="B20" s="15"/>
      <c r="C20" t="s">
        <v>115</v>
      </c>
      <c r="D20" s="42">
        <v>6039000</v>
      </c>
    </row>
    <row r="21" spans="3:4" ht="15.75">
      <c r="C21" s="6" t="s">
        <v>126</v>
      </c>
      <c r="D21" s="40">
        <v>3100000</v>
      </c>
    </row>
    <row r="22" spans="3:4" ht="15.75">
      <c r="C22" s="6" t="s">
        <v>213</v>
      </c>
      <c r="D22" s="40">
        <v>61560</v>
      </c>
    </row>
    <row r="23" spans="3:4" ht="15.75">
      <c r="C23" s="25" t="s">
        <v>116</v>
      </c>
      <c r="D23" s="45">
        <f>SUM(D20:D22)</f>
        <v>9200560</v>
      </c>
    </row>
    <row r="25" spans="1:4" ht="15.75">
      <c r="A25" s="13" t="s">
        <v>38</v>
      </c>
      <c r="B25" s="30" t="s">
        <v>145</v>
      </c>
      <c r="C25" s="13" t="s">
        <v>39</v>
      </c>
      <c r="D25" s="45">
        <v>1800000</v>
      </c>
    </row>
    <row r="26" spans="3:4" ht="18.75">
      <c r="C26" s="28" t="s">
        <v>141</v>
      </c>
      <c r="D26" s="49">
        <f>SUM(D17,D23,D25)</f>
        <v>26924718</v>
      </c>
    </row>
    <row r="27" spans="3:4" ht="18.75">
      <c r="C27" s="14"/>
      <c r="D27" s="49"/>
    </row>
    <row r="28" spans="1:4" ht="15.75">
      <c r="A28" s="9" t="s">
        <v>40</v>
      </c>
      <c r="C28" s="9" t="s">
        <v>41</v>
      </c>
      <c r="D28" s="41"/>
    </row>
    <row r="29" spans="1:4" ht="15.75">
      <c r="A29" s="13" t="s">
        <v>42</v>
      </c>
      <c r="B29" s="35" t="s">
        <v>147</v>
      </c>
      <c r="C29" s="13" t="s">
        <v>43</v>
      </c>
      <c r="D29" s="40">
        <v>600000</v>
      </c>
    </row>
    <row r="30" spans="1:4" ht="15.75">
      <c r="A30" s="13" t="s">
        <v>44</v>
      </c>
      <c r="C30" s="13" t="s">
        <v>45</v>
      </c>
      <c r="D30" s="40"/>
    </row>
    <row r="31" spans="2:4" ht="15.75">
      <c r="B31" s="35" t="s">
        <v>148</v>
      </c>
      <c r="C31" s="27" t="s">
        <v>142</v>
      </c>
      <c r="D31" s="40">
        <v>1100000</v>
      </c>
    </row>
    <row r="32" spans="2:4" ht="15.75">
      <c r="B32" s="30" t="s">
        <v>185</v>
      </c>
      <c r="C32" s="27" t="s">
        <v>183</v>
      </c>
      <c r="D32" s="40">
        <v>150000</v>
      </c>
    </row>
    <row r="33" spans="1:4" ht="15.75">
      <c r="A33" s="13" t="s">
        <v>188</v>
      </c>
      <c r="B33" s="30" t="s">
        <v>187</v>
      </c>
      <c r="C33" s="27" t="s">
        <v>184</v>
      </c>
      <c r="D33" s="40">
        <v>120000</v>
      </c>
    </row>
    <row r="34" spans="2:4" ht="15.75">
      <c r="B34" s="30" t="s">
        <v>186</v>
      </c>
      <c r="C34" s="27" t="s">
        <v>182</v>
      </c>
      <c r="D34" s="40">
        <v>2600000</v>
      </c>
    </row>
    <row r="35" spans="2:4" ht="15.75">
      <c r="B35" s="30" t="s">
        <v>288</v>
      </c>
      <c r="C35" s="27" t="s">
        <v>289</v>
      </c>
      <c r="D35" s="40">
        <v>50000</v>
      </c>
    </row>
    <row r="36" spans="3:4" ht="15.75">
      <c r="C36" s="25" t="s">
        <v>116</v>
      </c>
      <c r="D36" s="41">
        <f>SUM(D29:D35)</f>
        <v>4620000</v>
      </c>
    </row>
    <row r="37" spans="3:4" ht="15.75">
      <c r="C37" s="25"/>
      <c r="D37" s="41"/>
    </row>
    <row r="38" spans="1:4" ht="15.75">
      <c r="A38" s="9" t="s">
        <v>201</v>
      </c>
      <c r="B38" s="30" t="s">
        <v>202</v>
      </c>
      <c r="C38" s="9" t="s">
        <v>203</v>
      </c>
      <c r="D38" s="45"/>
    </row>
    <row r="39" spans="2:4" ht="18.75">
      <c r="B39" s="30"/>
      <c r="C39" s="7" t="s">
        <v>204</v>
      </c>
      <c r="D39" s="49"/>
    </row>
    <row r="40" spans="2:4" ht="18.75">
      <c r="B40" s="30"/>
      <c r="C40" s="13" t="s">
        <v>205</v>
      </c>
      <c r="D40" s="49"/>
    </row>
    <row r="41" spans="2:4" s="6" customFormat="1" ht="15.75">
      <c r="B41" s="30"/>
      <c r="C41" s="27" t="s">
        <v>206</v>
      </c>
      <c r="D41" s="40">
        <f>25041427+24813437+4682075</f>
        <v>54536939</v>
      </c>
    </row>
    <row r="42" spans="2:4" s="6" customFormat="1" ht="15.75">
      <c r="B42" s="29" t="s">
        <v>327</v>
      </c>
      <c r="C42" s="23" t="s">
        <v>324</v>
      </c>
      <c r="D42" s="40">
        <v>1109055</v>
      </c>
    </row>
    <row r="43" spans="2:4" s="7" customFormat="1" ht="15.75">
      <c r="B43" s="31"/>
      <c r="C43" s="37" t="s">
        <v>116</v>
      </c>
      <c r="D43" s="41">
        <f>SUM(D41:D42)</f>
        <v>55645994</v>
      </c>
    </row>
    <row r="44" spans="2:4" s="7" customFormat="1" ht="15.75">
      <c r="B44" s="31"/>
      <c r="C44" s="37"/>
      <c r="D44" s="41"/>
    </row>
    <row r="45" spans="1:4" s="7" customFormat="1" ht="15.75">
      <c r="A45" s="9" t="s">
        <v>332</v>
      </c>
      <c r="B45" s="29" t="s">
        <v>333</v>
      </c>
      <c r="C45" s="13" t="s">
        <v>334</v>
      </c>
      <c r="D45" s="53">
        <v>400000</v>
      </c>
    </row>
    <row r="46" spans="2:4" s="7" customFormat="1" ht="15.75">
      <c r="B46" s="29" t="s">
        <v>335</v>
      </c>
      <c r="C46" s="13" t="s">
        <v>336</v>
      </c>
      <c r="D46" s="53">
        <v>400000</v>
      </c>
    </row>
    <row r="47" spans="2:4" s="7" customFormat="1" ht="15.75">
      <c r="B47" s="29" t="s">
        <v>337</v>
      </c>
      <c r="C47" s="13" t="s">
        <v>341</v>
      </c>
      <c r="D47" s="53">
        <f>(6500+2000)*12+(8000*4)</f>
        <v>134000</v>
      </c>
    </row>
    <row r="48" spans="2:4" s="7" customFormat="1" ht="15.75">
      <c r="B48" s="29"/>
      <c r="C48" s="13" t="s">
        <v>342</v>
      </c>
      <c r="D48" s="53">
        <f>50000*12</f>
        <v>600000</v>
      </c>
    </row>
    <row r="49" spans="2:4" s="7" customFormat="1" ht="15.75">
      <c r="B49" s="29"/>
      <c r="C49" s="13" t="s">
        <v>343</v>
      </c>
      <c r="D49" s="53">
        <v>4000</v>
      </c>
    </row>
    <row r="50" spans="2:4" s="7" customFormat="1" ht="15.75">
      <c r="B50" s="31"/>
      <c r="C50" s="37" t="s">
        <v>116</v>
      </c>
      <c r="D50" s="41">
        <f>SUM(D45:D49)</f>
        <v>1538000</v>
      </c>
    </row>
    <row r="51" spans="3:4" ht="15.75">
      <c r="C51" s="25"/>
      <c r="D51" s="41"/>
    </row>
    <row r="52" spans="1:4" ht="15.75">
      <c r="A52" s="9" t="s">
        <v>46</v>
      </c>
      <c r="B52" s="17"/>
      <c r="C52" s="9" t="s">
        <v>47</v>
      </c>
      <c r="D52" s="41"/>
    </row>
    <row r="53" spans="1:4" ht="15.75">
      <c r="A53" s="13" t="s">
        <v>48</v>
      </c>
      <c r="B53" s="30" t="s">
        <v>149</v>
      </c>
      <c r="C53" s="13" t="s">
        <v>49</v>
      </c>
      <c r="D53" s="41">
        <v>32316045</v>
      </c>
    </row>
    <row r="54" spans="1:4" ht="15.75">
      <c r="A54" s="1"/>
      <c r="B54" s="15"/>
      <c r="C54" s="27" t="s">
        <v>214</v>
      </c>
      <c r="D54" s="40">
        <v>1076988</v>
      </c>
    </row>
    <row r="55" spans="1:4" ht="15.75">
      <c r="A55" s="1"/>
      <c r="B55" s="15"/>
      <c r="C55" s="23" t="s">
        <v>387</v>
      </c>
      <c r="D55" s="40">
        <v>7669619</v>
      </c>
    </row>
    <row r="56" spans="1:4" ht="15.75">
      <c r="A56" s="1"/>
      <c r="B56" s="15"/>
      <c r="C56" s="23" t="s">
        <v>394</v>
      </c>
      <c r="D56" s="40">
        <v>912000</v>
      </c>
    </row>
    <row r="57" spans="1:4" ht="15.75">
      <c r="A57" s="1"/>
      <c r="B57" s="15"/>
      <c r="C57" s="23" t="s">
        <v>366</v>
      </c>
      <c r="D57" s="40">
        <f>14999941-6176654</f>
        <v>8823287</v>
      </c>
    </row>
    <row r="58" spans="1:4" ht="15.75">
      <c r="A58" s="1"/>
      <c r="B58" s="15"/>
      <c r="C58" s="23" t="s">
        <v>376</v>
      </c>
      <c r="D58" s="40">
        <v>6176654</v>
      </c>
    </row>
    <row r="59" spans="1:6" ht="15.75">
      <c r="A59" s="1"/>
      <c r="B59" s="15"/>
      <c r="C59" s="23" t="s">
        <v>377</v>
      </c>
      <c r="D59" s="40">
        <v>586740</v>
      </c>
      <c r="F59" s="3">
        <f>SUM(D54:D62)</f>
        <v>29340718</v>
      </c>
    </row>
    <row r="60" spans="1:6" ht="15.75">
      <c r="A60" s="1"/>
      <c r="B60" s="15"/>
      <c r="C60" s="23" t="s">
        <v>378</v>
      </c>
      <c r="D60" s="40">
        <v>3654030</v>
      </c>
      <c r="F60" s="3"/>
    </row>
    <row r="61" spans="1:6" ht="15.75">
      <c r="A61" s="1"/>
      <c r="B61" s="15"/>
      <c r="C61" s="23" t="s">
        <v>381</v>
      </c>
      <c r="D61" s="40">
        <v>441400</v>
      </c>
      <c r="F61" s="3"/>
    </row>
    <row r="62" spans="1:4" ht="15.75">
      <c r="A62" s="1"/>
      <c r="B62" s="15"/>
      <c r="C62" s="23" t="s">
        <v>293</v>
      </c>
      <c r="D62" s="40">
        <v>0</v>
      </c>
    </row>
    <row r="63" spans="1:4" ht="15.75">
      <c r="A63" s="1"/>
      <c r="B63" s="15"/>
      <c r="C63" s="27"/>
      <c r="D63" s="43"/>
    </row>
    <row r="64" spans="2:4" s="1" customFormat="1" ht="20.25">
      <c r="B64" s="15"/>
      <c r="C64" s="11" t="s">
        <v>2</v>
      </c>
      <c r="D64" s="43">
        <f>SUM(D26,D36,D53,D43,D50)</f>
        <v>121044757</v>
      </c>
    </row>
    <row r="65" spans="2:4" s="1" customFormat="1" ht="20.25">
      <c r="B65" s="15"/>
      <c r="C65" s="11"/>
      <c r="D65" s="43"/>
    </row>
    <row r="66" spans="2:4" s="1" customFormat="1" ht="20.25">
      <c r="B66" s="15"/>
      <c r="C66" s="11"/>
      <c r="D66" s="43"/>
    </row>
    <row r="67" spans="2:4" s="1" customFormat="1" ht="20.25">
      <c r="B67" s="15"/>
      <c r="C67" s="11"/>
      <c r="D67" s="43"/>
    </row>
    <row r="68" spans="2:4" s="1" customFormat="1" ht="20.25">
      <c r="B68" s="15"/>
      <c r="C68" s="11"/>
      <c r="D68" s="43"/>
    </row>
    <row r="69" spans="2:4" s="1" customFormat="1" ht="20.25">
      <c r="B69" s="15"/>
      <c r="C69" s="11"/>
      <c r="D69" s="43"/>
    </row>
    <row r="70" spans="2:4" s="1" customFormat="1" ht="20.25">
      <c r="B70" s="15"/>
      <c r="C70" s="11"/>
      <c r="D70" s="43"/>
    </row>
    <row r="71" spans="2:4" s="1" customFormat="1" ht="20.25">
      <c r="B71" s="15"/>
      <c r="C71" s="11"/>
      <c r="D71" s="43"/>
    </row>
    <row r="72" spans="2:4" s="1" customFormat="1" ht="20.25">
      <c r="B72" s="15"/>
      <c r="C72" s="11"/>
      <c r="D72" s="43"/>
    </row>
    <row r="73" spans="2:4" s="1" customFormat="1" ht="20.25">
      <c r="B73" s="15"/>
      <c r="C73" s="11"/>
      <c r="D73" s="43"/>
    </row>
    <row r="74" spans="1:4" ht="19.5">
      <c r="A74" s="1"/>
      <c r="B74" s="15"/>
      <c r="C74" s="10" t="s">
        <v>3</v>
      </c>
      <c r="D74" s="42" t="s">
        <v>27</v>
      </c>
    </row>
    <row r="75" spans="1:4" ht="15.75">
      <c r="A75" s="1" t="s">
        <v>50</v>
      </c>
      <c r="B75" s="15"/>
      <c r="C75" s="1"/>
      <c r="D75" s="46" t="s">
        <v>36</v>
      </c>
    </row>
    <row r="76" spans="1:3" ht="15.75">
      <c r="A76" s="1" t="s">
        <v>51</v>
      </c>
      <c r="B76" s="15"/>
      <c r="C76" s="1"/>
    </row>
    <row r="77" spans="1:4" ht="15.75">
      <c r="A77" s="17" t="s">
        <v>52</v>
      </c>
      <c r="B77" s="17"/>
      <c r="C77" s="9" t="s">
        <v>53</v>
      </c>
      <c r="D77" s="43"/>
    </row>
    <row r="78" spans="1:4" ht="15.75">
      <c r="A78" s="15"/>
      <c r="B78" s="15"/>
      <c r="C78" s="9" t="s">
        <v>54</v>
      </c>
      <c r="D78" s="43"/>
    </row>
    <row r="79" spans="1:4" ht="15.75">
      <c r="A79" s="15" t="s">
        <v>55</v>
      </c>
      <c r="B79" s="15"/>
      <c r="C79" s="9"/>
      <c r="D79" s="43"/>
    </row>
    <row r="80" spans="1:4" ht="15.75">
      <c r="A80" s="9" t="s">
        <v>56</v>
      </c>
      <c r="B80" s="17"/>
      <c r="C80" s="9" t="s">
        <v>19</v>
      </c>
      <c r="D80" s="43"/>
    </row>
    <row r="81" spans="1:4" ht="15.75">
      <c r="A81" s="13" t="s">
        <v>57</v>
      </c>
      <c r="B81" s="16"/>
      <c r="C81" s="13" t="s">
        <v>58</v>
      </c>
      <c r="D81" s="40"/>
    </row>
    <row r="82" spans="1:3" ht="15.75">
      <c r="A82" s="16" t="s">
        <v>59</v>
      </c>
      <c r="B82" s="30" t="s">
        <v>150</v>
      </c>
      <c r="C82" s="13" t="s">
        <v>215</v>
      </c>
    </row>
    <row r="83" spans="1:4" ht="15.75">
      <c r="A83" s="6"/>
      <c r="B83" s="30"/>
      <c r="C83" s="23" t="s">
        <v>294</v>
      </c>
      <c r="D83" s="40">
        <v>506949</v>
      </c>
    </row>
    <row r="84" spans="1:4" ht="15.75">
      <c r="A84" s="6"/>
      <c r="B84" s="30"/>
      <c r="C84" s="23" t="s">
        <v>279</v>
      </c>
      <c r="D84" s="40">
        <f>(299200+44880)*11</f>
        <v>3784880</v>
      </c>
    </row>
    <row r="85" spans="1:4" ht="15.75">
      <c r="A85" s="6"/>
      <c r="B85" s="30"/>
      <c r="C85" s="23" t="s">
        <v>290</v>
      </c>
      <c r="D85" s="40">
        <f>299200*3</f>
        <v>897600</v>
      </c>
    </row>
    <row r="86" spans="1:4" ht="15.75">
      <c r="A86" s="6"/>
      <c r="B86" s="30"/>
      <c r="C86" s="23" t="s">
        <v>280</v>
      </c>
      <c r="D86" s="40">
        <v>148699</v>
      </c>
    </row>
    <row r="87" spans="1:4" ht="15.75">
      <c r="A87" s="6"/>
      <c r="B87" s="30"/>
      <c r="C87" s="23" t="s">
        <v>281</v>
      </c>
      <c r="D87" s="40">
        <f>(52400+7860)*11</f>
        <v>662860</v>
      </c>
    </row>
    <row r="88" spans="1:4" s="1" customFormat="1" ht="15.75">
      <c r="A88" s="6"/>
      <c r="B88" s="30"/>
      <c r="C88" s="23" t="s">
        <v>282</v>
      </c>
      <c r="D88" s="40">
        <f>(30000*3)*11</f>
        <v>990000</v>
      </c>
    </row>
    <row r="89" spans="2:4" s="9" customFormat="1" ht="15.75">
      <c r="B89" s="17"/>
      <c r="C89" s="25" t="s">
        <v>116</v>
      </c>
      <c r="D89" s="45">
        <f>SUM(D83:D88)</f>
        <v>6990988</v>
      </c>
    </row>
    <row r="90" spans="1:4" s="1" customFormat="1" ht="15.75">
      <c r="A90" s="6"/>
      <c r="B90" s="30"/>
      <c r="C90"/>
      <c r="D90" s="40"/>
    </row>
    <row r="91" spans="1:4" s="1" customFormat="1" ht="15.75">
      <c r="A91" s="9" t="s">
        <v>60</v>
      </c>
      <c r="B91" s="17"/>
      <c r="C91" s="9" t="s">
        <v>5</v>
      </c>
      <c r="D91" s="43"/>
    </row>
    <row r="92" spans="1:4" s="1" customFormat="1" ht="15.75">
      <c r="A92" s="13"/>
      <c r="B92" s="30"/>
      <c r="C92" s="23" t="s">
        <v>344</v>
      </c>
      <c r="D92" s="40">
        <f>SUM(D84:D85,D87,D88)*19.5%+85890</f>
        <v>1321281.3</v>
      </c>
    </row>
    <row r="93" spans="1:4" s="1" customFormat="1" ht="15.75">
      <c r="A93" s="13"/>
      <c r="B93" s="30"/>
      <c r="C93" s="23" t="s">
        <v>345</v>
      </c>
      <c r="D93" s="40">
        <f>2083+(D86*19.5%)</f>
        <v>31079.305</v>
      </c>
    </row>
    <row r="94" spans="1:4" s="1" customFormat="1" ht="15.75">
      <c r="A94" s="13"/>
      <c r="B94" s="30"/>
      <c r="C94" s="23" t="s">
        <v>346</v>
      </c>
      <c r="D94" s="40">
        <f>2232+(D86*15%)</f>
        <v>24536.85</v>
      </c>
    </row>
    <row r="95" spans="1:4" s="1" customFormat="1" ht="15.75">
      <c r="A95" s="13"/>
      <c r="B95" s="30"/>
      <c r="C95" s="37" t="s">
        <v>116</v>
      </c>
      <c r="D95" s="45">
        <f>SUM(D92:D94)</f>
        <v>1376897.455</v>
      </c>
    </row>
    <row r="96" spans="1:4" s="1" customFormat="1" ht="15.75">
      <c r="A96" s="13"/>
      <c r="B96" s="16"/>
      <c r="C96" s="6"/>
      <c r="D96" s="45"/>
    </row>
    <row r="97" spans="1:4" s="1" customFormat="1" ht="15.75">
      <c r="A97" s="9" t="s">
        <v>66</v>
      </c>
      <c r="B97" s="17"/>
      <c r="C97" s="9" t="s">
        <v>6</v>
      </c>
      <c r="D97" s="43"/>
    </row>
    <row r="98" spans="1:4" s="1" customFormat="1" ht="15.75">
      <c r="A98" s="13" t="s">
        <v>61</v>
      </c>
      <c r="B98" s="16" t="s">
        <v>348</v>
      </c>
      <c r="C98" s="13" t="s">
        <v>347</v>
      </c>
      <c r="D98" s="53">
        <v>150000</v>
      </c>
    </row>
    <row r="99" spans="1:4" s="1" customFormat="1" ht="15.75">
      <c r="A99" s="13" t="s">
        <v>196</v>
      </c>
      <c r="B99" s="16" t="s">
        <v>349</v>
      </c>
      <c r="C99" s="13" t="s">
        <v>350</v>
      </c>
      <c r="D99" s="53">
        <v>100000</v>
      </c>
    </row>
    <row r="100" spans="1:4" s="1" customFormat="1" ht="15.75">
      <c r="A100" s="13" t="s">
        <v>107</v>
      </c>
      <c r="B100" s="16" t="s">
        <v>310</v>
      </c>
      <c r="C100" s="13" t="s">
        <v>351</v>
      </c>
      <c r="D100" s="40">
        <v>210000</v>
      </c>
    </row>
    <row r="101" spans="1:4" s="1" customFormat="1" ht="15.75">
      <c r="A101" s="13" t="s">
        <v>73</v>
      </c>
      <c r="B101" s="29" t="s">
        <v>352</v>
      </c>
      <c r="C101" s="13" t="s">
        <v>74</v>
      </c>
      <c r="D101" s="40">
        <v>500000</v>
      </c>
    </row>
    <row r="102" spans="1:4" s="1" customFormat="1" ht="15.75">
      <c r="A102" s="13" t="s">
        <v>67</v>
      </c>
      <c r="B102" s="30" t="s">
        <v>216</v>
      </c>
      <c r="C102" s="13" t="s">
        <v>109</v>
      </c>
      <c r="D102" s="40">
        <v>50000</v>
      </c>
    </row>
    <row r="103" spans="1:4" s="1" customFormat="1" ht="15.75">
      <c r="A103" s="13"/>
      <c r="B103" s="30" t="s">
        <v>236</v>
      </c>
      <c r="C103" s="27" t="s">
        <v>260</v>
      </c>
      <c r="D103" s="40">
        <v>17000</v>
      </c>
    </row>
    <row r="104" spans="1:5" s="1" customFormat="1" ht="15.75">
      <c r="A104" s="13" t="s">
        <v>63</v>
      </c>
      <c r="B104" s="30" t="s">
        <v>159</v>
      </c>
      <c r="C104" s="13" t="s">
        <v>64</v>
      </c>
      <c r="D104" s="40">
        <v>260000</v>
      </c>
      <c r="E104" s="8">
        <f>SUM(D98,D100:D102,D103)*27%+D99*5%</f>
        <v>255290.00000000003</v>
      </c>
    </row>
    <row r="105" spans="1:4" s="9" customFormat="1" ht="15.75">
      <c r="A105" s="13"/>
      <c r="B105" s="16"/>
      <c r="C105" s="25" t="s">
        <v>116</v>
      </c>
      <c r="D105" s="45">
        <f>SUM(D98:D104)</f>
        <v>1287000</v>
      </c>
    </row>
    <row r="106" spans="1:4" s="9" customFormat="1" ht="15.75">
      <c r="A106" s="13"/>
      <c r="B106" s="16"/>
      <c r="C106" s="25"/>
      <c r="D106" s="45"/>
    </row>
    <row r="107" spans="1:4" s="9" customFormat="1" ht="15.75">
      <c r="A107" s="9" t="s">
        <v>249</v>
      </c>
      <c r="B107" s="16"/>
      <c r="C107" s="9" t="s">
        <v>207</v>
      </c>
      <c r="D107" s="45"/>
    </row>
    <row r="108" spans="1:4" s="9" customFormat="1" ht="15.75">
      <c r="A108" s="13" t="s">
        <v>250</v>
      </c>
      <c r="B108" s="30" t="s">
        <v>190</v>
      </c>
      <c r="C108" t="s">
        <v>295</v>
      </c>
      <c r="D108" s="40">
        <v>17358</v>
      </c>
    </row>
    <row r="109" spans="1:4" s="9" customFormat="1" ht="15.75">
      <c r="A109" s="13" t="s">
        <v>208</v>
      </c>
      <c r="B109" s="30" t="s">
        <v>191</v>
      </c>
      <c r="C109" s="6" t="s">
        <v>251</v>
      </c>
      <c r="D109" s="40">
        <v>4692</v>
      </c>
    </row>
    <row r="110" spans="1:4" s="9" customFormat="1" ht="15.75">
      <c r="A110" s="13"/>
      <c r="B110" s="30"/>
      <c r="C110" s="6"/>
      <c r="D110" s="40"/>
    </row>
    <row r="111" spans="1:4" s="9" customFormat="1" ht="15.75">
      <c r="A111" s="16" t="s">
        <v>389</v>
      </c>
      <c r="B111" s="30"/>
      <c r="C111" s="6"/>
      <c r="D111" s="40"/>
    </row>
    <row r="112" spans="1:8" s="9" customFormat="1" ht="15.75">
      <c r="A112" s="13" t="s">
        <v>252</v>
      </c>
      <c r="B112" s="29" t="s">
        <v>307</v>
      </c>
      <c r="C112" t="s">
        <v>325</v>
      </c>
      <c r="D112" s="53">
        <v>2000265</v>
      </c>
      <c r="E112" s="40"/>
      <c r="H112" s="52"/>
    </row>
    <row r="113" spans="1:5" s="9" customFormat="1" ht="15.75">
      <c r="A113" s="13"/>
      <c r="B113" s="29" t="s">
        <v>254</v>
      </c>
      <c r="C113" t="s">
        <v>326</v>
      </c>
      <c r="D113" s="53">
        <v>540071</v>
      </c>
      <c r="E113" s="40"/>
    </row>
    <row r="114" spans="1:4" s="9" customFormat="1" ht="15.75">
      <c r="A114" s="13"/>
      <c r="B114" s="16"/>
      <c r="C114" s="44" t="s">
        <v>116</v>
      </c>
      <c r="D114" s="45">
        <f>SUM(D108:D113)</f>
        <v>2562386</v>
      </c>
    </row>
    <row r="115" spans="1:4" s="9" customFormat="1" ht="15.75">
      <c r="A115" s="13"/>
      <c r="B115" s="16"/>
      <c r="C115" s="37" t="s">
        <v>117</v>
      </c>
      <c r="D115" s="41">
        <f>SUM(D89,D95,D105,D114)</f>
        <v>12217271.455</v>
      </c>
    </row>
    <row r="116" spans="1:4" s="1" customFormat="1" ht="15.75">
      <c r="A116" s="6"/>
      <c r="B116" s="30"/>
      <c r="C116" s="9"/>
      <c r="D116" s="43"/>
    </row>
    <row r="117" spans="1:4" ht="15.75">
      <c r="A117" s="17" t="s">
        <v>69</v>
      </c>
      <c r="B117" s="17"/>
      <c r="C117" s="9" t="s">
        <v>212</v>
      </c>
      <c r="D117" s="45"/>
    </row>
    <row r="118" spans="1:4" ht="15.75">
      <c r="A118" s="9" t="s">
        <v>66</v>
      </c>
      <c r="B118" s="17"/>
      <c r="C118" s="9" t="s">
        <v>6</v>
      </c>
      <c r="D118" s="40"/>
    </row>
    <row r="119" spans="1:4" ht="15.75">
      <c r="A119" s="13" t="s">
        <v>61</v>
      </c>
      <c r="B119" s="30" t="s">
        <v>153</v>
      </c>
      <c r="C119" s="13" t="s">
        <v>262</v>
      </c>
      <c r="D119" s="40">
        <v>300000</v>
      </c>
    </row>
    <row r="120" spans="1:4" ht="15.75">
      <c r="A120" s="13" t="s">
        <v>70</v>
      </c>
      <c r="B120" s="30" t="s">
        <v>161</v>
      </c>
      <c r="C120" s="13" t="s">
        <v>71</v>
      </c>
      <c r="D120" s="40">
        <v>100000</v>
      </c>
    </row>
    <row r="121" spans="1:4" ht="15.75">
      <c r="A121" s="13" t="s">
        <v>67</v>
      </c>
      <c r="B121" s="30" t="s">
        <v>160</v>
      </c>
      <c r="C121" s="13" t="s">
        <v>109</v>
      </c>
      <c r="D121" s="40">
        <v>138010</v>
      </c>
    </row>
    <row r="122" spans="1:4" ht="15.75">
      <c r="A122" s="13" t="s">
        <v>63</v>
      </c>
      <c r="B122" s="30" t="s">
        <v>159</v>
      </c>
      <c r="C122" s="13" t="s">
        <v>64</v>
      </c>
      <c r="D122" s="40">
        <v>145260</v>
      </c>
    </row>
    <row r="123" spans="1:4" ht="15.75">
      <c r="A123" s="13"/>
      <c r="B123" s="30"/>
      <c r="C123" s="44" t="s">
        <v>116</v>
      </c>
      <c r="D123" s="45">
        <f>SUM(D119:D122)</f>
        <v>683270</v>
      </c>
    </row>
    <row r="124" spans="1:4" ht="15.75">
      <c r="A124" s="13"/>
      <c r="B124" s="30"/>
      <c r="C124" s="13"/>
      <c r="D124" s="40"/>
    </row>
    <row r="125" spans="1:4" s="7" customFormat="1" ht="15.75">
      <c r="A125" s="9" t="s">
        <v>252</v>
      </c>
      <c r="B125" s="31"/>
      <c r="C125" s="9" t="s">
        <v>114</v>
      </c>
      <c r="D125" s="41"/>
    </row>
    <row r="126" spans="1:4" s="7" customFormat="1" ht="15.75">
      <c r="A126" s="13" t="s">
        <v>252</v>
      </c>
      <c r="B126" s="29" t="s">
        <v>307</v>
      </c>
      <c r="C126" s="13" t="s">
        <v>390</v>
      </c>
      <c r="D126" s="53">
        <v>4863507</v>
      </c>
    </row>
    <row r="127" spans="1:4" s="7" customFormat="1" ht="15.75">
      <c r="A127" s="9"/>
      <c r="B127" s="29" t="s">
        <v>254</v>
      </c>
      <c r="C127" s="13" t="s">
        <v>391</v>
      </c>
      <c r="D127" s="53">
        <v>1313147</v>
      </c>
    </row>
    <row r="128" spans="2:4" ht="15.75" customHeight="1">
      <c r="B128" s="30" t="s">
        <v>253</v>
      </c>
      <c r="C128" s="13" t="s">
        <v>330</v>
      </c>
      <c r="D128" s="40">
        <v>6947470</v>
      </c>
    </row>
    <row r="129" spans="1:4" ht="15.75" customHeight="1">
      <c r="A129" s="13"/>
      <c r="B129" s="30" t="s">
        <v>254</v>
      </c>
      <c r="C129" s="13" t="s">
        <v>331</v>
      </c>
      <c r="D129" s="40">
        <v>1875817</v>
      </c>
    </row>
    <row r="130" spans="1:4" ht="15.75" customHeight="1">
      <c r="A130" s="13"/>
      <c r="B130" s="29" t="s">
        <v>307</v>
      </c>
      <c r="C130" s="13" t="s">
        <v>328</v>
      </c>
      <c r="D130" s="40">
        <v>2084290</v>
      </c>
    </row>
    <row r="131" spans="1:4" ht="15.75" customHeight="1">
      <c r="A131" s="13"/>
      <c r="B131" s="29" t="s">
        <v>254</v>
      </c>
      <c r="C131" s="13" t="s">
        <v>329</v>
      </c>
      <c r="D131" s="40">
        <v>562758</v>
      </c>
    </row>
    <row r="132" spans="1:4" ht="15.75" customHeight="1">
      <c r="A132" s="13"/>
      <c r="B132" s="30"/>
      <c r="C132" s="25" t="s">
        <v>116</v>
      </c>
      <c r="D132" s="45">
        <f>SUM(D126:D131)</f>
        <v>17646989</v>
      </c>
    </row>
    <row r="133" spans="2:4" s="9" customFormat="1" ht="15.75" customHeight="1">
      <c r="B133" s="17"/>
      <c r="C133" s="37" t="s">
        <v>117</v>
      </c>
      <c r="D133" s="45">
        <f>SUM(D123,D132)</f>
        <v>18330259</v>
      </c>
    </row>
    <row r="134" ht="15.75" customHeight="1">
      <c r="C134" s="6"/>
    </row>
    <row r="135" spans="1:4" ht="15.75" customHeight="1">
      <c r="A135" s="17" t="s">
        <v>72</v>
      </c>
      <c r="B135" s="17"/>
      <c r="C135" s="9" t="s">
        <v>28</v>
      </c>
      <c r="D135" s="41"/>
    </row>
    <row r="136" spans="1:3" ht="15.75" customHeight="1">
      <c r="A136" s="9" t="s">
        <v>66</v>
      </c>
      <c r="B136" s="17"/>
      <c r="C136" s="9" t="s">
        <v>6</v>
      </c>
    </row>
    <row r="137" spans="1:3" ht="15.75">
      <c r="A137" s="13" t="s">
        <v>73</v>
      </c>
      <c r="B137" s="17"/>
      <c r="C137" s="13" t="s">
        <v>163</v>
      </c>
    </row>
    <row r="138" spans="2:4" ht="15.75">
      <c r="B138" s="30" t="s">
        <v>156</v>
      </c>
      <c r="C138" s="23" t="s">
        <v>127</v>
      </c>
      <c r="D138" s="42">
        <v>230000</v>
      </c>
    </row>
    <row r="139" spans="1:3" ht="15.75">
      <c r="A139" s="13" t="s">
        <v>164</v>
      </c>
      <c r="B139" s="30"/>
      <c r="C139" s="13" t="s">
        <v>109</v>
      </c>
    </row>
    <row r="140" spans="1:4" ht="15.75">
      <c r="A140" s="13"/>
      <c r="B140" s="30" t="s">
        <v>162</v>
      </c>
      <c r="C140" s="23" t="s">
        <v>129</v>
      </c>
      <c r="D140" s="42">
        <v>650000</v>
      </c>
    </row>
    <row r="141" spans="2:4" ht="15.75">
      <c r="B141" s="30" t="s">
        <v>216</v>
      </c>
      <c r="C141" s="23" t="s">
        <v>109</v>
      </c>
      <c r="D141" s="42">
        <v>55000</v>
      </c>
    </row>
    <row r="142" spans="1:4" ht="15.75">
      <c r="A142" s="13" t="s">
        <v>63</v>
      </c>
      <c r="B142" s="30" t="s">
        <v>159</v>
      </c>
      <c r="C142" s="13" t="s">
        <v>64</v>
      </c>
      <c r="D142" s="42">
        <v>253000</v>
      </c>
    </row>
    <row r="143" spans="2:6" s="9" customFormat="1" ht="15.75">
      <c r="B143" s="17"/>
      <c r="C143" s="25" t="s">
        <v>116</v>
      </c>
      <c r="D143" s="45">
        <f>SUM(D138:D142)</f>
        <v>1188000</v>
      </c>
      <c r="E143" s="9">
        <v>1632000</v>
      </c>
      <c r="F143" s="9">
        <v>444000</v>
      </c>
    </row>
    <row r="144" ht="15.75">
      <c r="C144" s="9"/>
    </row>
    <row r="145" spans="1:4" ht="15.75">
      <c r="A145" s="17" t="s">
        <v>75</v>
      </c>
      <c r="B145" s="17"/>
      <c r="C145" s="9" t="s">
        <v>29</v>
      </c>
      <c r="D145" s="45"/>
    </row>
    <row r="146" spans="1:4" ht="15.75">
      <c r="A146" s="9" t="s">
        <v>66</v>
      </c>
      <c r="B146" s="17"/>
      <c r="C146" s="9" t="s">
        <v>6</v>
      </c>
      <c r="D146" s="45"/>
    </row>
    <row r="147" spans="1:4" ht="15.75">
      <c r="A147" s="13" t="s">
        <v>61</v>
      </c>
      <c r="B147" s="30" t="s">
        <v>165</v>
      </c>
      <c r="C147" s="13" t="s">
        <v>261</v>
      </c>
      <c r="D147" s="40">
        <v>100000</v>
      </c>
    </row>
    <row r="148" spans="1:4" ht="15.75">
      <c r="A148" s="13" t="s">
        <v>73</v>
      </c>
      <c r="B148" s="16"/>
      <c r="C148" s="13" t="s">
        <v>74</v>
      </c>
      <c r="D148" s="42">
        <v>34000</v>
      </c>
    </row>
    <row r="149" spans="1:4" ht="15.75">
      <c r="A149" s="13" t="s">
        <v>70</v>
      </c>
      <c r="B149" s="16"/>
      <c r="C149" s="13" t="s">
        <v>354</v>
      </c>
      <c r="D149" s="42">
        <v>153274</v>
      </c>
    </row>
    <row r="150" spans="1:4" ht="15.75">
      <c r="A150" s="13" t="s">
        <v>67</v>
      </c>
      <c r="B150" s="30"/>
      <c r="C150" s="13" t="s">
        <v>353</v>
      </c>
      <c r="D150" s="42">
        <v>200000</v>
      </c>
    </row>
    <row r="151" spans="1:4" ht="15.75">
      <c r="A151" s="13" t="s">
        <v>63</v>
      </c>
      <c r="B151" s="30" t="s">
        <v>159</v>
      </c>
      <c r="C151" s="13" t="s">
        <v>64</v>
      </c>
      <c r="D151" s="40">
        <v>131564</v>
      </c>
    </row>
    <row r="152" spans="1:4" ht="15.75">
      <c r="A152" s="13"/>
      <c r="B152" s="30"/>
      <c r="C152" s="13"/>
      <c r="D152" s="40"/>
    </row>
    <row r="153" spans="2:4" s="9" customFormat="1" ht="15.75">
      <c r="B153" s="17"/>
      <c r="C153" s="9" t="s">
        <v>207</v>
      </c>
      <c r="D153" s="45"/>
    </row>
    <row r="154" spans="1:4" ht="15.75">
      <c r="A154" s="9" t="s">
        <v>252</v>
      </c>
      <c r="B154" s="29" t="s">
        <v>253</v>
      </c>
      <c r="C154" t="s">
        <v>256</v>
      </c>
      <c r="D154" s="42">
        <v>0</v>
      </c>
    </row>
    <row r="155" spans="1:4" ht="15.75">
      <c r="A155" s="9"/>
      <c r="B155" s="29" t="s">
        <v>254</v>
      </c>
      <c r="C155" t="s">
        <v>255</v>
      </c>
      <c r="D155" s="42">
        <v>0</v>
      </c>
    </row>
    <row r="156" spans="2:5" s="9" customFormat="1" ht="15.75">
      <c r="B156" s="17"/>
      <c r="C156" s="25" t="s">
        <v>116</v>
      </c>
      <c r="D156" s="45">
        <f>SUM(D147:D155)</f>
        <v>618838</v>
      </c>
      <c r="E156" s="9">
        <v>618838</v>
      </c>
    </row>
    <row r="157" spans="1:4" ht="15.75">
      <c r="A157" s="13"/>
      <c r="B157" s="16"/>
      <c r="C157" s="13"/>
      <c r="D157" s="40"/>
    </row>
    <row r="158" spans="1:4" ht="15.75">
      <c r="A158" s="17" t="s">
        <v>217</v>
      </c>
      <c r="B158" s="16"/>
      <c r="C158" s="9" t="s">
        <v>78</v>
      </c>
      <c r="D158" s="41"/>
    </row>
    <row r="159" spans="1:4" ht="15.75">
      <c r="A159" s="9" t="s">
        <v>66</v>
      </c>
      <c r="B159" s="17"/>
      <c r="C159" s="9" t="s">
        <v>6</v>
      </c>
      <c r="D159" s="40"/>
    </row>
    <row r="160" spans="1:4" ht="15.75">
      <c r="A160" s="13" t="s">
        <v>61</v>
      </c>
      <c r="B160" s="16"/>
      <c r="C160" s="13" t="s">
        <v>62</v>
      </c>
      <c r="D160" s="40"/>
    </row>
    <row r="161" spans="2:4" ht="15.75">
      <c r="B161" s="30" t="s">
        <v>165</v>
      </c>
      <c r="C161" s="27" t="s">
        <v>166</v>
      </c>
      <c r="D161" s="40">
        <v>300000</v>
      </c>
    </row>
    <row r="162" spans="1:4" ht="15.75">
      <c r="A162" s="13"/>
      <c r="B162" s="30" t="s">
        <v>153</v>
      </c>
      <c r="C162" s="23" t="s">
        <v>167</v>
      </c>
      <c r="D162" s="40">
        <v>400000</v>
      </c>
    </row>
    <row r="163" spans="1:4" ht="15.75">
      <c r="A163" s="13" t="s">
        <v>63</v>
      </c>
      <c r="B163" s="30" t="s">
        <v>159</v>
      </c>
      <c r="C163" s="13" t="s">
        <v>64</v>
      </c>
      <c r="D163" s="40">
        <v>189000</v>
      </c>
    </row>
    <row r="164" spans="1:4" ht="15.75">
      <c r="A164" s="13"/>
      <c r="B164" s="30"/>
      <c r="C164" s="13"/>
      <c r="D164" s="40"/>
    </row>
    <row r="165" spans="1:4" ht="15.75">
      <c r="A165" s="13" t="s">
        <v>249</v>
      </c>
      <c r="B165" s="30"/>
      <c r="C165" s="9" t="s">
        <v>287</v>
      </c>
      <c r="D165" s="40"/>
    </row>
    <row r="166" spans="1:4" ht="15.75">
      <c r="A166" s="13"/>
      <c r="B166" s="30" t="s">
        <v>190</v>
      </c>
      <c r="C166" s="13" t="s">
        <v>291</v>
      </c>
      <c r="D166" s="40">
        <v>0</v>
      </c>
    </row>
    <row r="167" spans="1:4" ht="15.75">
      <c r="A167" s="13"/>
      <c r="B167" s="30" t="s">
        <v>191</v>
      </c>
      <c r="C167" s="13" t="s">
        <v>232</v>
      </c>
      <c r="D167" s="40">
        <v>0</v>
      </c>
    </row>
    <row r="168" spans="2:6" s="9" customFormat="1" ht="15.75">
      <c r="B168" s="17"/>
      <c r="C168" s="25" t="s">
        <v>116</v>
      </c>
      <c r="D168" s="45">
        <f>SUM(D161:D167)</f>
        <v>889000</v>
      </c>
      <c r="E168" s="45">
        <v>1583300</v>
      </c>
      <c r="F168" s="9">
        <v>694300</v>
      </c>
    </row>
    <row r="169" spans="1:4" ht="15.75">
      <c r="A169" s="13"/>
      <c r="B169" s="16"/>
      <c r="C169" s="13"/>
      <c r="D169" s="40"/>
    </row>
    <row r="170" spans="1:4" ht="15.75">
      <c r="A170" s="17" t="s">
        <v>76</v>
      </c>
      <c r="B170" s="17"/>
      <c r="C170" s="9" t="s">
        <v>77</v>
      </c>
      <c r="D170" s="41"/>
    </row>
    <row r="171" spans="1:4" ht="15.75">
      <c r="A171" s="17"/>
      <c r="B171" s="17"/>
      <c r="C171" s="9"/>
      <c r="D171" s="41"/>
    </row>
    <row r="172" spans="1:4" ht="15.75">
      <c r="A172" s="13"/>
      <c r="B172" s="16"/>
      <c r="C172" s="9" t="s">
        <v>79</v>
      </c>
      <c r="D172" s="40"/>
    </row>
    <row r="173" spans="1:4" ht="15.75">
      <c r="A173" s="9" t="s">
        <v>60</v>
      </c>
      <c r="B173" s="16"/>
      <c r="C173" s="9" t="s">
        <v>5</v>
      </c>
      <c r="D173" s="40"/>
    </row>
    <row r="174" spans="1:4" ht="15.75">
      <c r="A174" s="13"/>
      <c r="B174" s="16"/>
      <c r="C174" s="23" t="s">
        <v>345</v>
      </c>
      <c r="D174" s="40">
        <v>2992</v>
      </c>
    </row>
    <row r="175" spans="1:4" ht="15.75">
      <c r="A175" s="13"/>
      <c r="B175" s="16"/>
      <c r="C175" s="23" t="s">
        <v>346</v>
      </c>
      <c r="D175" s="40">
        <v>2301</v>
      </c>
    </row>
    <row r="176" spans="1:4" ht="15.75">
      <c r="A176" s="13"/>
      <c r="B176" s="16"/>
      <c r="C176" s="25" t="s">
        <v>116</v>
      </c>
      <c r="D176" s="45">
        <f>SUM(D174:D175)</f>
        <v>5293</v>
      </c>
    </row>
    <row r="177" spans="1:4" ht="15.75">
      <c r="A177" s="13"/>
      <c r="B177" s="16"/>
      <c r="C177" s="9"/>
      <c r="D177" s="40"/>
    </row>
    <row r="178" spans="1:4" ht="15.75">
      <c r="A178" s="9" t="s">
        <v>66</v>
      </c>
      <c r="B178" s="17"/>
      <c r="C178" s="9" t="s">
        <v>6</v>
      </c>
      <c r="D178" s="40"/>
    </row>
    <row r="179" spans="1:4" ht="15.75">
      <c r="A179" s="9" t="s">
        <v>219</v>
      </c>
      <c r="B179" s="30" t="s">
        <v>218</v>
      </c>
      <c r="C179" s="27" t="s">
        <v>220</v>
      </c>
      <c r="D179" s="40">
        <v>20000</v>
      </c>
    </row>
    <row r="180" spans="1:4" ht="15.75">
      <c r="A180" s="9" t="s">
        <v>61</v>
      </c>
      <c r="B180" s="30" t="s">
        <v>152</v>
      </c>
      <c r="C180" s="27" t="s">
        <v>155</v>
      </c>
      <c r="D180" s="40">
        <v>20000</v>
      </c>
    </row>
    <row r="181" spans="1:4" ht="15.75">
      <c r="A181" s="9"/>
      <c r="B181" s="30" t="s">
        <v>153</v>
      </c>
      <c r="C181" s="27" t="s">
        <v>221</v>
      </c>
      <c r="D181" s="40">
        <v>300000</v>
      </c>
    </row>
    <row r="182" spans="1:4" ht="15.75">
      <c r="A182" s="13" t="s">
        <v>73</v>
      </c>
      <c r="B182" s="16"/>
      <c r="C182" s="13" t="s">
        <v>74</v>
      </c>
      <c r="D182" s="40">
        <v>80000</v>
      </c>
    </row>
    <row r="183" spans="1:4" ht="15.75">
      <c r="A183" t="s">
        <v>70</v>
      </c>
      <c r="B183" s="30" t="s">
        <v>161</v>
      </c>
      <c r="C183" s="13" t="s">
        <v>71</v>
      </c>
      <c r="D183" s="40">
        <v>100000</v>
      </c>
    </row>
    <row r="184" spans="1:4" ht="15.75">
      <c r="A184" t="s">
        <v>67</v>
      </c>
      <c r="B184" s="30" t="s">
        <v>222</v>
      </c>
      <c r="C184" s="13" t="s">
        <v>223</v>
      </c>
      <c r="D184" s="40">
        <v>5000</v>
      </c>
    </row>
    <row r="185" spans="1:5" ht="15.75">
      <c r="A185" s="13" t="s">
        <v>63</v>
      </c>
      <c r="B185" s="30" t="s">
        <v>159</v>
      </c>
      <c r="C185" s="13" t="s">
        <v>64</v>
      </c>
      <c r="D185" s="40">
        <v>141000</v>
      </c>
      <c r="E185" s="8">
        <f>SUM(D179:D181,D182:D183)*27%</f>
        <v>140400</v>
      </c>
    </row>
    <row r="186" spans="2:4" s="9" customFormat="1" ht="15.75">
      <c r="B186" s="17"/>
      <c r="C186" s="25" t="s">
        <v>116</v>
      </c>
      <c r="D186" s="45">
        <f>SUM(D179:D185)</f>
        <v>666000</v>
      </c>
    </row>
    <row r="187" spans="1:4" ht="15.75">
      <c r="A187" s="13"/>
      <c r="B187" s="16"/>
      <c r="C187" s="13"/>
      <c r="D187" s="40"/>
    </row>
    <row r="188" spans="1:4" ht="15.75">
      <c r="A188" s="13"/>
      <c r="B188" s="16"/>
      <c r="C188" s="9" t="s">
        <v>80</v>
      </c>
      <c r="D188" s="40"/>
    </row>
    <row r="189" spans="1:4" ht="15.75">
      <c r="A189" s="13" t="s">
        <v>67</v>
      </c>
      <c r="B189" s="16"/>
      <c r="C189" s="13" t="s">
        <v>68</v>
      </c>
      <c r="D189" s="40"/>
    </row>
    <row r="190" spans="1:4" ht="15.75">
      <c r="A190" s="13"/>
      <c r="B190" s="30" t="s">
        <v>178</v>
      </c>
      <c r="C190" s="27" t="s">
        <v>168</v>
      </c>
      <c r="D190" s="40">
        <v>170000</v>
      </c>
    </row>
    <row r="191" spans="1:4" ht="15.75">
      <c r="A191" s="13"/>
      <c r="B191" s="30" t="s">
        <v>160</v>
      </c>
      <c r="C191" s="23" t="s">
        <v>267</v>
      </c>
      <c r="D191" s="40">
        <v>200000</v>
      </c>
    </row>
    <row r="192" spans="1:4" ht="15.75">
      <c r="A192" s="13"/>
      <c r="B192" s="30" t="s">
        <v>263</v>
      </c>
      <c r="C192" s="23" t="s">
        <v>264</v>
      </c>
      <c r="D192" s="40">
        <v>120000</v>
      </c>
    </row>
    <row r="193" spans="1:4" ht="15.75">
      <c r="A193" s="13"/>
      <c r="B193" s="30" t="s">
        <v>236</v>
      </c>
      <c r="C193" s="23" t="s">
        <v>268</v>
      </c>
      <c r="D193" s="40">
        <v>1164549</v>
      </c>
    </row>
    <row r="194" spans="1:4" ht="15.75">
      <c r="A194" s="13"/>
      <c r="B194" s="30" t="s">
        <v>269</v>
      </c>
      <c r="C194" s="23" t="s">
        <v>270</v>
      </c>
      <c r="D194" s="40">
        <v>660000</v>
      </c>
    </row>
    <row r="195" spans="1:5" ht="15.75">
      <c r="A195" s="13" t="s">
        <v>63</v>
      </c>
      <c r="B195" s="30" t="s">
        <v>159</v>
      </c>
      <c r="C195" s="13" t="s">
        <v>64</v>
      </c>
      <c r="D195" s="40">
        <v>404538</v>
      </c>
      <c r="E195" s="8">
        <f>SUM(D191:D193)*27%</f>
        <v>400828.23000000004</v>
      </c>
    </row>
    <row r="196" spans="2:4" s="9" customFormat="1" ht="15.75">
      <c r="B196" s="17"/>
      <c r="C196" s="25" t="s">
        <v>116</v>
      </c>
      <c r="D196" s="45">
        <f>SUM(D190:D195)</f>
        <v>2719087</v>
      </c>
    </row>
    <row r="197" spans="2:4" s="9" customFormat="1" ht="15.75">
      <c r="B197" s="17"/>
      <c r="D197" s="45"/>
    </row>
    <row r="198" spans="2:4" s="9" customFormat="1" ht="15.75">
      <c r="B198" s="17"/>
      <c r="C198" s="9" t="s">
        <v>189</v>
      </c>
      <c r="D198" s="45"/>
    </row>
    <row r="199" spans="1:3" ht="15.75">
      <c r="A199" s="9" t="s">
        <v>249</v>
      </c>
      <c r="B199" s="29" t="s">
        <v>392</v>
      </c>
      <c r="C199" t="s">
        <v>371</v>
      </c>
    </row>
    <row r="200" spans="1:3" ht="15.75">
      <c r="A200" s="9"/>
      <c r="B200" s="29" t="s">
        <v>254</v>
      </c>
      <c r="C200" t="s">
        <v>232</v>
      </c>
    </row>
    <row r="201" spans="2:4" s="9" customFormat="1" ht="15.75">
      <c r="B201" s="17"/>
      <c r="C201" s="25" t="s">
        <v>116</v>
      </c>
      <c r="D201" s="45">
        <f>SUM(D199:D200)</f>
        <v>0</v>
      </c>
    </row>
    <row r="202" spans="2:4" s="9" customFormat="1" ht="15.75">
      <c r="B202" s="17"/>
      <c r="C202" s="25"/>
      <c r="D202" s="45"/>
    </row>
    <row r="203" spans="1:4" ht="15.75">
      <c r="A203" s="13"/>
      <c r="C203" s="9" t="s">
        <v>81</v>
      </c>
      <c r="D203" s="40"/>
    </row>
    <row r="204" spans="1:4" ht="15.75">
      <c r="A204" s="13" t="s">
        <v>82</v>
      </c>
      <c r="B204" s="16"/>
      <c r="C204" s="13" t="s">
        <v>83</v>
      </c>
      <c r="D204" s="40"/>
    </row>
    <row r="205" spans="1:4" ht="15.75">
      <c r="A205" s="13"/>
      <c r="B205" s="30" t="s">
        <v>170</v>
      </c>
      <c r="C205" s="27" t="s">
        <v>22</v>
      </c>
      <c r="D205" s="40"/>
    </row>
    <row r="206" spans="1:4" ht="15.75">
      <c r="A206" s="13"/>
      <c r="B206" s="16"/>
      <c r="C206" s="24" t="s">
        <v>169</v>
      </c>
      <c r="D206" s="40">
        <f>33615*12</f>
        <v>403380</v>
      </c>
    </row>
    <row r="207" spans="1:4" ht="15.75">
      <c r="A207" s="13"/>
      <c r="B207" s="16"/>
      <c r="C207" s="36" t="s">
        <v>118</v>
      </c>
      <c r="D207" s="40">
        <v>183438</v>
      </c>
    </row>
    <row r="208" spans="1:4" ht="15.75">
      <c r="A208" s="13"/>
      <c r="B208" s="16"/>
      <c r="C208" s="36" t="s">
        <v>296</v>
      </c>
      <c r="D208" s="40">
        <v>1311117</v>
      </c>
    </row>
    <row r="209" spans="1:4" ht="15.75">
      <c r="A209" s="13"/>
      <c r="B209" s="16"/>
      <c r="C209" s="36" t="s">
        <v>380</v>
      </c>
      <c r="D209" s="40">
        <v>868962</v>
      </c>
    </row>
    <row r="210" spans="2:4" s="9" customFormat="1" ht="15.75">
      <c r="B210" s="17"/>
      <c r="C210" s="25" t="s">
        <v>116</v>
      </c>
      <c r="D210" s="45">
        <f>SUM(D206:D209)</f>
        <v>2766897</v>
      </c>
    </row>
    <row r="211" spans="1:4" ht="15.75">
      <c r="A211" s="13"/>
      <c r="B211" s="16"/>
      <c r="D211" s="40"/>
    </row>
    <row r="212" spans="1:4" ht="15.75">
      <c r="A212" s="13"/>
      <c r="B212" s="30" t="s">
        <v>170</v>
      </c>
      <c r="C212" s="23" t="s">
        <v>171</v>
      </c>
      <c r="D212" s="40"/>
    </row>
    <row r="213" spans="1:4" ht="15.75">
      <c r="A213" s="16" t="s">
        <v>233</v>
      </c>
      <c r="B213" s="16"/>
      <c r="C213" s="36" t="s">
        <v>297</v>
      </c>
      <c r="D213" s="40">
        <v>1522229</v>
      </c>
    </row>
    <row r="214" spans="2:4" s="9" customFormat="1" ht="15.75">
      <c r="B214" s="17"/>
      <c r="C214" s="25" t="s">
        <v>119</v>
      </c>
      <c r="D214" s="45">
        <f>SUM(D213:D213)</f>
        <v>1522229</v>
      </c>
    </row>
    <row r="215" spans="2:4" s="9" customFormat="1" ht="15.75">
      <c r="B215" s="17"/>
      <c r="C215" s="25" t="s">
        <v>210</v>
      </c>
      <c r="D215" s="45">
        <f>SUM(D210,D214)</f>
        <v>4289126</v>
      </c>
    </row>
    <row r="216" spans="1:4" ht="15.75">
      <c r="A216" s="13"/>
      <c r="B216" s="16"/>
      <c r="C216" s="13"/>
      <c r="D216" s="40"/>
    </row>
    <row r="217" spans="1:4" ht="15.75">
      <c r="A217" s="13" t="s">
        <v>84</v>
      </c>
      <c r="B217" s="16"/>
      <c r="C217" s="13" t="s">
        <v>85</v>
      </c>
      <c r="D217" s="40"/>
    </row>
    <row r="218" spans="1:4" ht="15.75">
      <c r="A218" s="13"/>
      <c r="B218" s="30" t="s">
        <v>172</v>
      </c>
      <c r="C218" s="13" t="s">
        <v>120</v>
      </c>
      <c r="D218" s="40"/>
    </row>
    <row r="219" spans="1:4" ht="15.75">
      <c r="A219" s="13"/>
      <c r="B219" s="30"/>
      <c r="C219" s="27" t="s">
        <v>271</v>
      </c>
      <c r="D219" s="40">
        <v>10000</v>
      </c>
    </row>
    <row r="220" spans="2:4" s="9" customFormat="1" ht="15.75">
      <c r="B220" s="17"/>
      <c r="C220" s="25" t="s">
        <v>116</v>
      </c>
      <c r="D220" s="45">
        <f>SUM(D219)</f>
        <v>10000</v>
      </c>
    </row>
    <row r="221" spans="2:4" s="9" customFormat="1" ht="15.75">
      <c r="B221" s="17"/>
      <c r="C221" s="25"/>
      <c r="D221" s="45"/>
    </row>
    <row r="222" spans="2:4" s="9" customFormat="1" ht="15.75">
      <c r="B222" s="30" t="s">
        <v>247</v>
      </c>
      <c r="C222" s="13" t="s">
        <v>248</v>
      </c>
      <c r="D222" s="45">
        <f>SUM(D223:D228)</f>
        <v>767000</v>
      </c>
    </row>
    <row r="223" spans="1:4" ht="15.75">
      <c r="A223" s="13"/>
      <c r="B223" s="16"/>
      <c r="C223" s="27" t="s">
        <v>173</v>
      </c>
      <c r="D223" s="40">
        <v>12000</v>
      </c>
    </row>
    <row r="224" spans="1:4" ht="15.75">
      <c r="A224" s="13"/>
      <c r="B224" s="16"/>
      <c r="C224" s="23" t="s">
        <v>174</v>
      </c>
      <c r="D224" s="40">
        <v>5000</v>
      </c>
    </row>
    <row r="225" spans="1:4" ht="15.75">
      <c r="A225" s="13"/>
      <c r="B225" s="16"/>
      <c r="C225" s="23" t="s">
        <v>272</v>
      </c>
      <c r="D225" s="40">
        <v>20000</v>
      </c>
    </row>
    <row r="226" spans="1:4" ht="15.75">
      <c r="A226" s="13"/>
      <c r="B226" s="16"/>
      <c r="C226" s="23" t="s">
        <v>388</v>
      </c>
      <c r="D226" s="40">
        <v>100000</v>
      </c>
    </row>
    <row r="227" spans="2:4" s="9" customFormat="1" ht="15.75">
      <c r="B227" s="30"/>
      <c r="C227" s="27" t="s">
        <v>273</v>
      </c>
      <c r="D227" s="40">
        <v>30000</v>
      </c>
    </row>
    <row r="228" spans="2:4" s="9" customFormat="1" ht="15.75">
      <c r="B228" s="30"/>
      <c r="C228" s="23" t="s">
        <v>299</v>
      </c>
      <c r="D228" s="40">
        <v>600000</v>
      </c>
    </row>
    <row r="229" spans="2:4" s="9" customFormat="1" ht="15.75">
      <c r="B229" s="17"/>
      <c r="D229" s="45"/>
    </row>
    <row r="230" spans="2:4" s="7" customFormat="1" ht="18.75">
      <c r="B230" s="31"/>
      <c r="C230" s="14" t="s">
        <v>86</v>
      </c>
      <c r="D230" s="41">
        <f>SUM(D176,D186,D196,D201,D215,D220,D222)</f>
        <v>8456506</v>
      </c>
    </row>
    <row r="231" spans="1:4" ht="18.75">
      <c r="A231" s="13"/>
      <c r="B231" s="16"/>
      <c r="C231" s="14"/>
      <c r="D231" s="40"/>
    </row>
    <row r="232" spans="1:4" ht="15.75">
      <c r="A232" s="17" t="s">
        <v>110</v>
      </c>
      <c r="B232" s="17"/>
      <c r="C232" s="9" t="s">
        <v>111</v>
      </c>
      <c r="D232" s="40"/>
    </row>
    <row r="233" spans="1:4" ht="15.75">
      <c r="A233" s="9" t="s">
        <v>66</v>
      </c>
      <c r="B233" s="17"/>
      <c r="C233" s="9" t="s">
        <v>6</v>
      </c>
      <c r="D233" s="40"/>
    </row>
    <row r="234" spans="1:4" ht="15.75">
      <c r="A234" s="9" t="s">
        <v>61</v>
      </c>
      <c r="B234" s="29" t="s">
        <v>152</v>
      </c>
      <c r="C234" s="38" t="s">
        <v>278</v>
      </c>
      <c r="D234" s="42">
        <v>8000</v>
      </c>
    </row>
    <row r="235" spans="1:5" ht="15.75">
      <c r="A235" t="s">
        <v>67</v>
      </c>
      <c r="B235" s="29" t="s">
        <v>216</v>
      </c>
      <c r="C235" s="23" t="s">
        <v>237</v>
      </c>
      <c r="D235" s="42">
        <v>7400</v>
      </c>
      <c r="E235" s="3"/>
    </row>
    <row r="236" spans="1:5" ht="15.75">
      <c r="A236" t="s">
        <v>73</v>
      </c>
      <c r="B236" s="29" t="s">
        <v>156</v>
      </c>
      <c r="C236" s="23" t="s">
        <v>163</v>
      </c>
      <c r="D236" s="42">
        <v>30000</v>
      </c>
      <c r="E236" s="3"/>
    </row>
    <row r="237" spans="1:5" ht="15.75">
      <c r="A237" t="s">
        <v>196</v>
      </c>
      <c r="B237" s="29" t="s">
        <v>194</v>
      </c>
      <c r="C237" s="23" t="s">
        <v>193</v>
      </c>
      <c r="D237" s="42">
        <v>80000</v>
      </c>
      <c r="E237" s="3"/>
    </row>
    <row r="238" spans="1:5" ht="15.75">
      <c r="A238" t="s">
        <v>107</v>
      </c>
      <c r="B238" s="29" t="s">
        <v>224</v>
      </c>
      <c r="C238" s="23" t="s">
        <v>225</v>
      </c>
      <c r="D238" s="42">
        <v>32000</v>
      </c>
      <c r="E238" s="3"/>
    </row>
    <row r="239" spans="1:5" ht="15.75">
      <c r="A239" t="s">
        <v>63</v>
      </c>
      <c r="B239" s="29" t="s">
        <v>159</v>
      </c>
      <c r="C239" s="26" t="s">
        <v>195</v>
      </c>
      <c r="D239" s="42">
        <v>30000</v>
      </c>
      <c r="E239" s="3"/>
    </row>
    <row r="240" spans="2:4" s="9" customFormat="1" ht="15.75">
      <c r="B240" s="17"/>
      <c r="C240" s="25" t="s">
        <v>116</v>
      </c>
      <c r="D240" s="45">
        <f>SUM(D234:D239)</f>
        <v>187400</v>
      </c>
    </row>
    <row r="241" spans="2:4" s="9" customFormat="1" ht="15.75">
      <c r="B241" s="17"/>
      <c r="C241" s="25"/>
      <c r="D241" s="45"/>
    </row>
    <row r="242" spans="1:4" ht="15.75">
      <c r="A242" s="17" t="s">
        <v>300</v>
      </c>
      <c r="B242" s="17"/>
      <c r="C242" s="9" t="s">
        <v>301</v>
      </c>
      <c r="D242" s="40"/>
    </row>
    <row r="243" spans="1:4" ht="15.75">
      <c r="A243" s="9" t="s">
        <v>66</v>
      </c>
      <c r="B243" s="17"/>
      <c r="C243" s="9" t="s">
        <v>6</v>
      </c>
      <c r="D243" s="40"/>
    </row>
    <row r="244" spans="1:4" ht="15.75">
      <c r="A244" s="9" t="s">
        <v>61</v>
      </c>
      <c r="B244" s="29" t="s">
        <v>152</v>
      </c>
      <c r="C244" s="38" t="s">
        <v>355</v>
      </c>
      <c r="D244" s="42">
        <v>300000</v>
      </c>
    </row>
    <row r="245" spans="1:5" ht="15.75">
      <c r="A245" t="s">
        <v>73</v>
      </c>
      <c r="B245" s="29" t="s">
        <v>156</v>
      </c>
      <c r="C245" s="23" t="s">
        <v>127</v>
      </c>
      <c r="D245" s="42">
        <v>13000</v>
      </c>
      <c r="E245" s="3"/>
    </row>
    <row r="246" spans="1:5" ht="15.75">
      <c r="A246" s="9" t="s">
        <v>356</v>
      </c>
      <c r="C246" s="23" t="s">
        <v>357</v>
      </c>
      <c r="D246" s="42">
        <v>370000</v>
      </c>
      <c r="E246" s="3"/>
    </row>
    <row r="247" spans="1:5" ht="15.75">
      <c r="A247" t="s">
        <v>67</v>
      </c>
      <c r="B247" s="29" t="s">
        <v>216</v>
      </c>
      <c r="C247" s="23" t="s">
        <v>109</v>
      </c>
      <c r="D247" s="42">
        <v>600000</v>
      </c>
      <c r="E247" s="3"/>
    </row>
    <row r="248" spans="1:5" ht="15.75">
      <c r="A248" t="s">
        <v>63</v>
      </c>
      <c r="B248" s="29" t="s">
        <v>159</v>
      </c>
      <c r="C248" s="26" t="s">
        <v>195</v>
      </c>
      <c r="D248" s="42">
        <v>329600</v>
      </c>
      <c r="E248" s="3"/>
    </row>
    <row r="249" spans="2:4" s="9" customFormat="1" ht="15.75">
      <c r="B249" s="17"/>
      <c r="C249" s="25" t="s">
        <v>116</v>
      </c>
      <c r="D249" s="45">
        <f>SUM(D243:D248)</f>
        <v>1612600</v>
      </c>
    </row>
    <row r="250" spans="2:4" s="9" customFormat="1" ht="15.75">
      <c r="B250" s="17"/>
      <c r="C250" s="25"/>
      <c r="D250" s="45"/>
    </row>
    <row r="251" spans="1:4" ht="15.75">
      <c r="A251" s="17" t="s">
        <v>300</v>
      </c>
      <c r="B251" s="17"/>
      <c r="C251" s="7" t="s">
        <v>308</v>
      </c>
      <c r="D251" s="40"/>
    </row>
    <row r="252" spans="1:5" s="9" customFormat="1" ht="19.5">
      <c r="A252" s="18" t="s">
        <v>56</v>
      </c>
      <c r="B252" s="29" t="s">
        <v>373</v>
      </c>
      <c r="C252" s="23" t="s">
        <v>374</v>
      </c>
      <c r="D252" s="42">
        <f>180500+(195000*10)</f>
        <v>2130500</v>
      </c>
      <c r="E252" s="10"/>
    </row>
    <row r="253" spans="1:5" s="9" customFormat="1" ht="19.5">
      <c r="A253" s="18" t="s">
        <v>60</v>
      </c>
      <c r="B253" t="s">
        <v>151</v>
      </c>
      <c r="C253" s="23" t="s">
        <v>309</v>
      </c>
      <c r="D253" s="42">
        <f>D252*19.5%</f>
        <v>415447.5</v>
      </c>
      <c r="E253" s="10"/>
    </row>
    <row r="254" spans="1:5" s="9" customFormat="1" ht="19.5">
      <c r="A254" s="18" t="s">
        <v>66</v>
      </c>
      <c r="B254" t="s">
        <v>153</v>
      </c>
      <c r="C254" s="23" t="s">
        <v>262</v>
      </c>
      <c r="D254" s="42">
        <f>15000+70104</f>
        <v>85104</v>
      </c>
      <c r="E254" s="10"/>
    </row>
    <row r="255" spans="1:5" s="9" customFormat="1" ht="19.5">
      <c r="A255" s="18"/>
      <c r="B255" t="s">
        <v>310</v>
      </c>
      <c r="C255" s="23" t="s">
        <v>311</v>
      </c>
      <c r="D255" s="42"/>
      <c r="E255" s="10"/>
    </row>
    <row r="256" spans="1:5" s="9" customFormat="1" ht="19.5">
      <c r="A256" s="18"/>
      <c r="B256" t="s">
        <v>162</v>
      </c>
      <c r="C256" s="23" t="s">
        <v>127</v>
      </c>
      <c r="D256" s="42"/>
      <c r="E256" s="10"/>
    </row>
    <row r="257" spans="1:5" s="9" customFormat="1" ht="19.5">
      <c r="A257" s="18"/>
      <c r="B257" t="s">
        <v>312</v>
      </c>
      <c r="C257" s="23" t="s">
        <v>313</v>
      </c>
      <c r="D257" s="42"/>
      <c r="E257" s="10"/>
    </row>
    <row r="258" spans="1:5" s="9" customFormat="1" ht="19.5">
      <c r="A258" s="18"/>
      <c r="B258" t="s">
        <v>216</v>
      </c>
      <c r="C258" s="23" t="s">
        <v>109</v>
      </c>
      <c r="D258" s="42">
        <v>462000</v>
      </c>
      <c r="E258" s="10"/>
    </row>
    <row r="259" spans="1:5" s="9" customFormat="1" ht="19.5">
      <c r="A259" s="18"/>
      <c r="B259" t="s">
        <v>222</v>
      </c>
      <c r="C259" s="23" t="s">
        <v>223</v>
      </c>
      <c r="D259" s="42"/>
      <c r="E259" s="10"/>
    </row>
    <row r="260" spans="1:5" s="9" customFormat="1" ht="19.5">
      <c r="A260" s="18"/>
      <c r="B260" t="s">
        <v>269</v>
      </c>
      <c r="C260" s="23" t="s">
        <v>314</v>
      </c>
      <c r="D260" s="42"/>
      <c r="E260" s="10"/>
    </row>
    <row r="261" spans="1:5" s="9" customFormat="1" ht="19.5">
      <c r="A261" s="18"/>
      <c r="B261" t="s">
        <v>159</v>
      </c>
      <c r="C261" s="23" t="s">
        <v>315</v>
      </c>
      <c r="D261" s="42">
        <f>4050+18928+124740</f>
        <v>147718</v>
      </c>
      <c r="E261" s="10"/>
    </row>
    <row r="262" spans="1:5" s="9" customFormat="1" ht="19.5">
      <c r="A262" s="18" t="s">
        <v>316</v>
      </c>
      <c r="B262" t="s">
        <v>317</v>
      </c>
      <c r="C262" s="23" t="s">
        <v>318</v>
      </c>
      <c r="D262" s="42"/>
      <c r="E262" s="10"/>
    </row>
    <row r="263" spans="1:5" s="9" customFormat="1" ht="19.5">
      <c r="A263" s="18"/>
      <c r="B263" t="s">
        <v>319</v>
      </c>
      <c r="C263" s="23" t="s">
        <v>375</v>
      </c>
      <c r="D263" s="42">
        <f>5*20000*10</f>
        <v>1000000</v>
      </c>
      <c r="E263" s="10"/>
    </row>
    <row r="264" spans="1:5" s="9" customFormat="1" ht="19.5">
      <c r="A264" s="18" t="s">
        <v>249</v>
      </c>
      <c r="B264" t="s">
        <v>320</v>
      </c>
      <c r="C264" s="23" t="s">
        <v>321</v>
      </c>
      <c r="D264" s="42"/>
      <c r="E264" s="10"/>
    </row>
    <row r="265" spans="1:5" s="9" customFormat="1" ht="19.5">
      <c r="A265" s="18"/>
      <c r="B265" t="s">
        <v>191</v>
      </c>
      <c r="C265" s="23" t="s">
        <v>322</v>
      </c>
      <c r="D265" s="42"/>
      <c r="E265" s="10"/>
    </row>
    <row r="266" spans="1:5" s="9" customFormat="1" ht="19.5">
      <c r="A266" s="18" t="s">
        <v>252</v>
      </c>
      <c r="B266" t="s">
        <v>307</v>
      </c>
      <c r="C266" s="23" t="s">
        <v>114</v>
      </c>
      <c r="D266" s="42"/>
      <c r="E266" s="10"/>
    </row>
    <row r="267" spans="1:5" s="9" customFormat="1" ht="19.5">
      <c r="A267" s="23"/>
      <c r="B267" t="s">
        <v>254</v>
      </c>
      <c r="C267" s="23" t="s">
        <v>323</v>
      </c>
      <c r="D267" s="42"/>
      <c r="E267" s="10"/>
    </row>
    <row r="268" spans="1:5" s="9" customFormat="1" ht="19.5">
      <c r="A268" s="23"/>
      <c r="B268" s="23"/>
      <c r="C268" s="44" t="s">
        <v>116</v>
      </c>
      <c r="D268" s="45">
        <f>SUM(D252:D267)</f>
        <v>4240769.5</v>
      </c>
      <c r="E268" s="10"/>
    </row>
    <row r="269" spans="1:5" s="9" customFormat="1" ht="19.5">
      <c r="A269" s="23"/>
      <c r="B269" s="23"/>
      <c r="C269" s="44"/>
      <c r="D269" s="45"/>
      <c r="E269" s="10"/>
    </row>
    <row r="270" spans="1:4" ht="15.75">
      <c r="A270" s="17" t="s">
        <v>300</v>
      </c>
      <c r="B270" s="17"/>
      <c r="C270" s="7" t="s">
        <v>382</v>
      </c>
      <c r="D270" s="40"/>
    </row>
    <row r="271" spans="1:5" s="9" customFormat="1" ht="19.5">
      <c r="A271" s="23"/>
      <c r="B271" s="29" t="s">
        <v>383</v>
      </c>
      <c r="C271" s="23" t="s">
        <v>338</v>
      </c>
      <c r="D271" s="42">
        <f>308189+39370</f>
        <v>347559</v>
      </c>
      <c r="E271" s="10"/>
    </row>
    <row r="272" spans="1:5" s="9" customFormat="1" ht="19.5">
      <c r="A272" s="23"/>
      <c r="B272" s="29" t="s">
        <v>385</v>
      </c>
      <c r="C272" s="23" t="s">
        <v>384</v>
      </c>
      <c r="D272" s="42">
        <f>83211+10630</f>
        <v>93841</v>
      </c>
      <c r="E272" s="10"/>
    </row>
    <row r="273" spans="1:5" s="9" customFormat="1" ht="19.5">
      <c r="A273" s="23"/>
      <c r="B273" s="23"/>
      <c r="C273" s="44" t="s">
        <v>116</v>
      </c>
      <c r="D273" s="45">
        <f>SUM(D271:D272)</f>
        <v>441400</v>
      </c>
      <c r="E273" s="10"/>
    </row>
    <row r="274" spans="1:5" s="9" customFormat="1" ht="19.5">
      <c r="A274" s="23"/>
      <c r="B274" s="23"/>
      <c r="C274" s="44"/>
      <c r="D274" s="45"/>
      <c r="E274" s="10"/>
    </row>
    <row r="275" spans="2:4" s="9" customFormat="1" ht="15.75">
      <c r="B275" s="17"/>
      <c r="C275" s="25"/>
      <c r="D275" s="45"/>
    </row>
    <row r="276" spans="1:4" s="9" customFormat="1" ht="15.75">
      <c r="A276" s="18">
        <v>107055</v>
      </c>
      <c r="B276" s="17"/>
      <c r="C276" s="9" t="s">
        <v>130</v>
      </c>
      <c r="D276" s="45"/>
    </row>
    <row r="277" spans="1:4" s="9" customFormat="1" ht="15.75">
      <c r="A277" s="9" t="s">
        <v>56</v>
      </c>
      <c r="B277" s="17"/>
      <c r="C277" s="9" t="s">
        <v>131</v>
      </c>
      <c r="D277" s="45"/>
    </row>
    <row r="278" spans="2:4" s="9" customFormat="1" ht="15.75">
      <c r="B278" s="30" t="s">
        <v>175</v>
      </c>
      <c r="C278" s="23" t="s">
        <v>226</v>
      </c>
      <c r="D278" s="42">
        <v>198150</v>
      </c>
    </row>
    <row r="279" spans="2:4" s="9" customFormat="1" ht="15.75">
      <c r="B279" s="30" t="s">
        <v>283</v>
      </c>
      <c r="C279" s="23" t="s">
        <v>284</v>
      </c>
      <c r="D279" s="42">
        <v>12609</v>
      </c>
    </row>
    <row r="280" spans="2:4" s="9" customFormat="1" ht="15.75">
      <c r="B280" s="17"/>
      <c r="C280"/>
      <c r="D280" s="45"/>
    </row>
    <row r="281" spans="1:4" s="9" customFormat="1" ht="15.75">
      <c r="A281" s="9" t="s">
        <v>60</v>
      </c>
      <c r="B281" s="17"/>
      <c r="C281" s="9" t="s">
        <v>5</v>
      </c>
      <c r="D281" s="45"/>
    </row>
    <row r="282" spans="2:4" s="9" customFormat="1" ht="15.75">
      <c r="B282" s="30" t="s">
        <v>151</v>
      </c>
      <c r="C282" s="23" t="s">
        <v>360</v>
      </c>
      <c r="D282" s="40">
        <v>38639</v>
      </c>
    </row>
    <row r="283" spans="2:4" s="9" customFormat="1" ht="15.75">
      <c r="B283" s="30" t="s">
        <v>176</v>
      </c>
      <c r="C283" s="23" t="s">
        <v>302</v>
      </c>
      <c r="D283" s="40">
        <v>2083</v>
      </c>
    </row>
    <row r="284" spans="2:4" s="9" customFormat="1" ht="15.75">
      <c r="B284" s="30" t="s">
        <v>177</v>
      </c>
      <c r="C284" s="23" t="s">
        <v>303</v>
      </c>
      <c r="D284" s="40">
        <v>2232</v>
      </c>
    </row>
    <row r="285" spans="2:4" s="9" customFormat="1" ht="15.75">
      <c r="B285" s="17"/>
      <c r="D285" s="45"/>
    </row>
    <row r="286" spans="1:4" s="9" customFormat="1" ht="15.75">
      <c r="A286" s="9" t="s">
        <v>56</v>
      </c>
      <c r="B286" s="17"/>
      <c r="C286" s="9" t="s">
        <v>132</v>
      </c>
      <c r="D286" s="45"/>
    </row>
    <row r="287" spans="2:4" s="9" customFormat="1" ht="15.75">
      <c r="B287" s="30" t="s">
        <v>175</v>
      </c>
      <c r="C287" s="23" t="s">
        <v>227</v>
      </c>
      <c r="D287" s="42">
        <f>212650*11</f>
        <v>2339150</v>
      </c>
    </row>
    <row r="288" spans="2:4" s="9" customFormat="1" ht="15.75">
      <c r="B288" s="30"/>
      <c r="C288" s="23" t="s">
        <v>386</v>
      </c>
      <c r="D288" s="42">
        <f>212650*2</f>
        <v>425300</v>
      </c>
    </row>
    <row r="289" spans="2:4" s="9" customFormat="1" ht="15.75">
      <c r="B289" s="30" t="s">
        <v>283</v>
      </c>
      <c r="C289" s="23" t="s">
        <v>285</v>
      </c>
      <c r="D289" s="42">
        <v>148699</v>
      </c>
    </row>
    <row r="290" spans="2:4" s="9" customFormat="1" ht="15.75">
      <c r="B290" s="17"/>
      <c r="C290" s="23"/>
      <c r="D290" s="42"/>
    </row>
    <row r="291" spans="1:4" s="9" customFormat="1" ht="15.75">
      <c r="A291" s="9" t="s">
        <v>60</v>
      </c>
      <c r="B291" s="17"/>
      <c r="C291" s="18" t="s">
        <v>5</v>
      </c>
      <c r="D291" s="42"/>
    </row>
    <row r="292" spans="2:4" s="9" customFormat="1" ht="15.75">
      <c r="B292" s="30" t="s">
        <v>151</v>
      </c>
      <c r="C292" s="23" t="s">
        <v>304</v>
      </c>
      <c r="D292" s="42">
        <f>SUM(D287:D288)*19.5%</f>
        <v>539067.75</v>
      </c>
    </row>
    <row r="293" spans="2:4" s="9" customFormat="1" ht="15.75">
      <c r="B293" s="30" t="s">
        <v>176</v>
      </c>
      <c r="C293" s="23" t="s">
        <v>361</v>
      </c>
      <c r="D293" s="42">
        <f>D289*19.5%</f>
        <v>28996.305</v>
      </c>
    </row>
    <row r="294" spans="2:4" s="9" customFormat="1" ht="15.75">
      <c r="B294" s="30" t="s">
        <v>177</v>
      </c>
      <c r="C294" s="23" t="s">
        <v>362</v>
      </c>
      <c r="D294" s="42">
        <f>D289*15%</f>
        <v>22304.85</v>
      </c>
    </row>
    <row r="295" spans="2:4" s="9" customFormat="1" ht="15.75">
      <c r="B295" s="17"/>
      <c r="C295"/>
      <c r="D295" s="42"/>
    </row>
    <row r="296" spans="1:4" s="9" customFormat="1" ht="15.75">
      <c r="A296" s="9" t="s">
        <v>61</v>
      </c>
      <c r="B296" s="30" t="s">
        <v>211</v>
      </c>
      <c r="C296" s="9" t="s">
        <v>133</v>
      </c>
      <c r="D296" s="42">
        <v>30000</v>
      </c>
    </row>
    <row r="297" spans="2:4" s="9" customFormat="1" ht="15.75">
      <c r="B297" s="17"/>
      <c r="C297"/>
      <c r="D297" s="42"/>
    </row>
    <row r="298" spans="1:4" s="9" customFormat="1" ht="15.75">
      <c r="A298" s="9" t="s">
        <v>66</v>
      </c>
      <c r="B298" s="17"/>
      <c r="C298" s="9" t="s">
        <v>134</v>
      </c>
      <c r="D298" s="42"/>
    </row>
    <row r="299" spans="1:4" s="9" customFormat="1" ht="15.75">
      <c r="A299" s="13" t="s">
        <v>61</v>
      </c>
      <c r="B299" s="17"/>
      <c r="C299" s="13" t="s">
        <v>62</v>
      </c>
      <c r="D299" s="42"/>
    </row>
    <row r="300" spans="1:6" s="9" customFormat="1" ht="15.75">
      <c r="A300" s="13"/>
      <c r="B300" s="30" t="s">
        <v>152</v>
      </c>
      <c r="C300" s="27" t="s">
        <v>278</v>
      </c>
      <c r="D300" s="42">
        <v>1000</v>
      </c>
      <c r="F300" s="12">
        <f>SUM(D278:D294)</f>
        <v>3757230.9050000003</v>
      </c>
    </row>
    <row r="301" spans="1:4" s="9" customFormat="1" ht="15.75">
      <c r="A301" s="13"/>
      <c r="B301" s="30" t="s">
        <v>165</v>
      </c>
      <c r="C301" s="27" t="s">
        <v>135</v>
      </c>
      <c r="D301" s="42">
        <v>100000</v>
      </c>
    </row>
    <row r="302" spans="2:4" s="9" customFormat="1" ht="15.75">
      <c r="B302" s="30" t="s">
        <v>153</v>
      </c>
      <c r="C302" s="23" t="s">
        <v>231</v>
      </c>
      <c r="D302" s="42">
        <v>60000</v>
      </c>
    </row>
    <row r="303" spans="1:4" s="9" customFormat="1" ht="15.75">
      <c r="A303" s="13" t="s">
        <v>107</v>
      </c>
      <c r="B303" s="30"/>
      <c r="C303" s="13" t="s">
        <v>108</v>
      </c>
      <c r="D303" s="42"/>
    </row>
    <row r="304" spans="1:4" s="9" customFormat="1" ht="15.75">
      <c r="A304" s="13"/>
      <c r="B304" s="30" t="s">
        <v>154</v>
      </c>
      <c r="C304" s="23" t="s">
        <v>136</v>
      </c>
      <c r="D304" s="42">
        <v>50000</v>
      </c>
    </row>
    <row r="305" spans="1:4" s="9" customFormat="1" ht="15.75">
      <c r="A305" s="13"/>
      <c r="B305" s="29" t="s">
        <v>194</v>
      </c>
      <c r="C305" s="23" t="s">
        <v>305</v>
      </c>
      <c r="D305" s="42">
        <v>5000</v>
      </c>
    </row>
    <row r="306" spans="1:4" s="9" customFormat="1" ht="15.75">
      <c r="A306" s="13" t="s">
        <v>164</v>
      </c>
      <c r="B306" s="30"/>
      <c r="C306" s="19" t="s">
        <v>109</v>
      </c>
      <c r="D306" s="42"/>
    </row>
    <row r="307" spans="2:4" s="9" customFormat="1" ht="15.75">
      <c r="B307" s="30" t="s">
        <v>161</v>
      </c>
      <c r="C307" s="23" t="s">
        <v>128</v>
      </c>
      <c r="D307" s="42">
        <v>100000</v>
      </c>
    </row>
    <row r="308" spans="2:4" s="9" customFormat="1" ht="15.75">
      <c r="B308" s="29" t="s">
        <v>265</v>
      </c>
      <c r="C308" s="23" t="s">
        <v>306</v>
      </c>
      <c r="D308" s="42">
        <v>5000</v>
      </c>
    </row>
    <row r="309" spans="1:4" ht="15.75">
      <c r="A309" s="13"/>
      <c r="B309" s="30" t="s">
        <v>178</v>
      </c>
      <c r="C309" s="23" t="s">
        <v>137</v>
      </c>
      <c r="D309" s="42">
        <v>160000</v>
      </c>
    </row>
    <row r="310" spans="1:6" ht="15.75">
      <c r="A310" s="13"/>
      <c r="B310" s="30" t="s">
        <v>160</v>
      </c>
      <c r="C310" s="23" t="s">
        <v>109</v>
      </c>
      <c r="D310" s="42">
        <v>100000</v>
      </c>
      <c r="F310" s="3"/>
    </row>
    <row r="311" spans="1:5" ht="15.75">
      <c r="A311" s="13" t="s">
        <v>63</v>
      </c>
      <c r="B311" s="30" t="s">
        <v>159</v>
      </c>
      <c r="C311" s="13" t="s">
        <v>195</v>
      </c>
      <c r="D311" s="42">
        <v>120000</v>
      </c>
      <c r="E311" s="3">
        <f>SUM(D296,D300:D307,D310)*27%</f>
        <v>120420.00000000001</v>
      </c>
    </row>
    <row r="312" spans="1:3" ht="15.75">
      <c r="A312" s="13"/>
      <c r="B312" s="30"/>
      <c r="C312" s="13"/>
    </row>
    <row r="313" spans="2:4" s="7" customFormat="1" ht="15.75">
      <c r="B313" s="31"/>
      <c r="C313" s="37" t="s">
        <v>116</v>
      </c>
      <c r="D313" s="41">
        <f>SUM(D278:D311)</f>
        <v>4488230.905</v>
      </c>
    </row>
    <row r="314" spans="3:4" ht="15.75">
      <c r="C314" s="9"/>
      <c r="D314" s="41"/>
    </row>
    <row r="315" spans="3:4" ht="15.75" customHeight="1">
      <c r="C315" s="9" t="s">
        <v>90</v>
      </c>
      <c r="D315" s="41"/>
    </row>
    <row r="317" spans="1:3" ht="15.75">
      <c r="A317" s="17" t="s">
        <v>87</v>
      </c>
      <c r="B317" s="17"/>
      <c r="C317" s="9" t="s">
        <v>88</v>
      </c>
    </row>
    <row r="318" spans="1:4" ht="15.75">
      <c r="A318" s="13" t="s">
        <v>89</v>
      </c>
      <c r="B318" s="16"/>
      <c r="C318" s="6" t="s">
        <v>179</v>
      </c>
      <c r="D318" s="40"/>
    </row>
    <row r="319" spans="2:4" ht="15.75">
      <c r="B319" s="30" t="s">
        <v>274</v>
      </c>
      <c r="C319" s="27" t="s">
        <v>275</v>
      </c>
      <c r="D319" s="40">
        <v>157376</v>
      </c>
    </row>
    <row r="320" spans="3:4" ht="15.75">
      <c r="C320" s="25" t="s">
        <v>116</v>
      </c>
      <c r="D320" s="45">
        <f>SUM(D319:D319)</f>
        <v>157376</v>
      </c>
    </row>
    <row r="321" spans="3:4" ht="15.75">
      <c r="C321" s="9"/>
      <c r="D321" s="41"/>
    </row>
    <row r="322" spans="1:4" ht="15.75" customHeight="1">
      <c r="A322" s="18">
        <v>107060</v>
      </c>
      <c r="B322" s="32"/>
      <c r="C322" s="9" t="s">
        <v>91</v>
      </c>
      <c r="D322" s="41"/>
    </row>
    <row r="323" spans="1:4" ht="15.75" customHeight="1">
      <c r="A323" s="19" t="s">
        <v>61</v>
      </c>
      <c r="B323" s="32"/>
      <c r="C323" s="27" t="s">
        <v>395</v>
      </c>
      <c r="D323" s="40">
        <v>718110</v>
      </c>
    </row>
    <row r="324" spans="1:4" ht="15.75" customHeight="1">
      <c r="A324" s="18"/>
      <c r="B324" s="32"/>
      <c r="C324" s="27" t="s">
        <v>395</v>
      </c>
      <c r="D324" s="40">
        <v>193890</v>
      </c>
    </row>
    <row r="325" spans="1:4" ht="15.75">
      <c r="A325" s="19" t="s">
        <v>92</v>
      </c>
      <c r="B325" s="39" t="s">
        <v>276</v>
      </c>
      <c r="C325" s="27" t="s">
        <v>277</v>
      </c>
      <c r="D325" s="40">
        <v>2400000</v>
      </c>
    </row>
    <row r="326" spans="2:4" ht="15.75">
      <c r="B326" s="39" t="s">
        <v>197</v>
      </c>
      <c r="C326" s="27" t="s">
        <v>228</v>
      </c>
      <c r="D326" s="40">
        <v>100000</v>
      </c>
    </row>
    <row r="327" spans="1:4" ht="15.75">
      <c r="A327" s="18"/>
      <c r="B327" s="39" t="s">
        <v>198</v>
      </c>
      <c r="C327" s="27" t="s">
        <v>180</v>
      </c>
      <c r="D327" s="40">
        <v>70000</v>
      </c>
    </row>
    <row r="328" spans="1:4" ht="15.75">
      <c r="A328" s="18"/>
      <c r="B328" s="39" t="s">
        <v>199</v>
      </c>
      <c r="C328" s="27" t="s">
        <v>181</v>
      </c>
      <c r="D328" s="40">
        <v>400000</v>
      </c>
    </row>
    <row r="329" spans="1:8" ht="15.75">
      <c r="A329" s="18"/>
      <c r="B329" s="39" t="s">
        <v>229</v>
      </c>
      <c r="C329" s="23" t="s">
        <v>358</v>
      </c>
      <c r="D329" s="40">
        <v>600000</v>
      </c>
      <c r="H329">
        <v>1522</v>
      </c>
    </row>
    <row r="330" spans="1:8" ht="15.75">
      <c r="A330" s="18"/>
      <c r="B330" s="39"/>
      <c r="C330" s="23" t="s">
        <v>359</v>
      </c>
      <c r="D330" s="40">
        <v>100000</v>
      </c>
      <c r="H330">
        <v>1188</v>
      </c>
    </row>
    <row r="331" spans="1:8" s="13" customFormat="1" ht="15.75">
      <c r="A331" s="18"/>
      <c r="B331" s="32"/>
      <c r="C331" s="25" t="s">
        <v>116</v>
      </c>
      <c r="D331" s="45">
        <f>SUM(D323:D330)</f>
        <v>4582000</v>
      </c>
      <c r="E331" s="55">
        <v>6039000</v>
      </c>
      <c r="F331" s="56" t="s">
        <v>363</v>
      </c>
      <c r="H331" s="13">
        <v>3670</v>
      </c>
    </row>
    <row r="332" spans="1:5" ht="19.5">
      <c r="A332" s="20"/>
      <c r="B332" s="33"/>
      <c r="C332" s="10" t="s">
        <v>93</v>
      </c>
      <c r="D332" s="49">
        <f>SUM(D320,D331)</f>
        <v>4739376</v>
      </c>
      <c r="E332" s="21"/>
    </row>
    <row r="333" spans="1:4" ht="15.75">
      <c r="A333" s="18"/>
      <c r="B333" s="32"/>
      <c r="C333" s="9"/>
      <c r="D333" s="41"/>
    </row>
    <row r="334" spans="1:4" ht="15.75">
      <c r="A334" s="32" t="s">
        <v>243</v>
      </c>
      <c r="B334" s="32"/>
      <c r="C334" s="9" t="s">
        <v>244</v>
      </c>
      <c r="D334" s="41"/>
    </row>
    <row r="335" spans="1:4" ht="15.75">
      <c r="A335" s="19" t="s">
        <v>164</v>
      </c>
      <c r="B335" s="39" t="s">
        <v>245</v>
      </c>
      <c r="C335" s="6" t="s">
        <v>246</v>
      </c>
      <c r="D335" s="40">
        <v>48470</v>
      </c>
    </row>
    <row r="336" spans="1:4" ht="15.75">
      <c r="A336" s="18"/>
      <c r="B336" s="39" t="s">
        <v>159</v>
      </c>
      <c r="C336" s="6" t="s">
        <v>232</v>
      </c>
      <c r="D336" s="40">
        <v>13090</v>
      </c>
    </row>
    <row r="337" spans="1:4" ht="15.75">
      <c r="A337" s="18"/>
      <c r="B337" s="32"/>
      <c r="C337" s="25" t="s">
        <v>116</v>
      </c>
      <c r="D337" s="41">
        <f>SUM(D335:D336)</f>
        <v>61560</v>
      </c>
    </row>
    <row r="338" spans="1:4" ht="15.75">
      <c r="A338" s="18"/>
      <c r="B338" s="32"/>
      <c r="C338" s="9"/>
      <c r="D338" s="41"/>
    </row>
    <row r="339" spans="1:4" ht="15.75">
      <c r="A339" s="17" t="s">
        <v>367</v>
      </c>
      <c r="B339" s="17"/>
      <c r="C339" s="9" t="s">
        <v>368</v>
      </c>
      <c r="D339" s="41"/>
    </row>
    <row r="340" spans="1:4" ht="15.75">
      <c r="A340" s="9" t="s">
        <v>56</v>
      </c>
      <c r="B340" s="17"/>
      <c r="C340" s="9" t="s">
        <v>19</v>
      </c>
      <c r="D340" s="40"/>
    </row>
    <row r="341" spans="1:4" ht="15.75">
      <c r="A341" s="13" t="s">
        <v>96</v>
      </c>
      <c r="B341" s="30" t="s">
        <v>200</v>
      </c>
      <c r="C341" s="13" t="s">
        <v>298</v>
      </c>
      <c r="D341" s="45">
        <f>726358+738005+738005+11778435</f>
        <v>13980803</v>
      </c>
    </row>
    <row r="342" spans="1:4" ht="15.75">
      <c r="A342" s="13"/>
      <c r="B342" s="30"/>
      <c r="C342" s="13"/>
      <c r="D342" s="40"/>
    </row>
    <row r="343" spans="1:4" ht="15.75">
      <c r="A343" s="9" t="s">
        <v>60</v>
      </c>
      <c r="B343" s="30" t="s">
        <v>151</v>
      </c>
      <c r="C343" s="9" t="s">
        <v>5</v>
      </c>
      <c r="D343" s="40"/>
    </row>
    <row r="344" spans="1:4" ht="15.75">
      <c r="A344" s="9"/>
      <c r="B344" s="30"/>
      <c r="C344" s="13" t="s">
        <v>369</v>
      </c>
      <c r="D344" s="45">
        <f>70819+71955+71955+1148373</f>
        <v>1363102</v>
      </c>
    </row>
    <row r="345" spans="1:4" ht="15.75">
      <c r="A345" s="9"/>
      <c r="B345" s="30"/>
      <c r="C345" s="9"/>
      <c r="D345" s="40"/>
    </row>
    <row r="346" spans="1:3" ht="18" customHeight="1">
      <c r="A346" s="9" t="s">
        <v>66</v>
      </c>
      <c r="B346" s="30"/>
      <c r="C346" s="9" t="s">
        <v>230</v>
      </c>
    </row>
    <row r="347" spans="1:4" ht="18" customHeight="1">
      <c r="A347" s="9" t="s">
        <v>219</v>
      </c>
      <c r="B347" s="30"/>
      <c r="C347" s="6" t="s">
        <v>370</v>
      </c>
      <c r="D347" s="42">
        <v>835000</v>
      </c>
    </row>
    <row r="348" spans="1:5" ht="18" customHeight="1">
      <c r="A348" s="9" t="s">
        <v>61</v>
      </c>
      <c r="B348" s="30" t="s">
        <v>165</v>
      </c>
      <c r="C348" s="6" t="s">
        <v>135</v>
      </c>
      <c r="D348" s="42">
        <v>1155500</v>
      </c>
      <c r="E348" s="3"/>
    </row>
    <row r="349" spans="1:5" ht="18" customHeight="1">
      <c r="A349" s="9"/>
      <c r="B349" s="30" t="s">
        <v>211</v>
      </c>
      <c r="C349" s="6" t="s">
        <v>286</v>
      </c>
      <c r="D349" s="42">
        <v>821000</v>
      </c>
      <c r="E349" s="54"/>
    </row>
    <row r="350" spans="1:4" ht="18" customHeight="1">
      <c r="A350" s="9"/>
      <c r="B350" s="30" t="s">
        <v>153</v>
      </c>
      <c r="C350" s="6" t="s">
        <v>262</v>
      </c>
      <c r="D350" s="42">
        <f>599400+4059150+922500</f>
        <v>5581050</v>
      </c>
    </row>
    <row r="351" spans="1:6" ht="18" customHeight="1">
      <c r="A351" s="9" t="s">
        <v>63</v>
      </c>
      <c r="B351" s="30" t="s">
        <v>159</v>
      </c>
      <c r="C351" s="6" t="s">
        <v>232</v>
      </c>
      <c r="D351" s="42">
        <v>2265989</v>
      </c>
      <c r="F351" s="3"/>
    </row>
    <row r="352" spans="1:6" ht="18" customHeight="1">
      <c r="A352" s="9"/>
      <c r="B352" s="30"/>
      <c r="C352" s="9" t="s">
        <v>65</v>
      </c>
      <c r="D352" s="45">
        <f>SUM(D347:D351)</f>
        <v>10658539</v>
      </c>
      <c r="F352" s="3"/>
    </row>
    <row r="353" spans="1:6" ht="18" customHeight="1">
      <c r="A353" s="9"/>
      <c r="B353" s="30"/>
      <c r="C353" s="6"/>
      <c r="F353" s="3"/>
    </row>
    <row r="354" spans="1:6" ht="18" customHeight="1">
      <c r="A354" s="9" t="s">
        <v>249</v>
      </c>
      <c r="B354" s="30"/>
      <c r="C354" t="s">
        <v>371</v>
      </c>
      <c r="D354" s="42">
        <v>967000</v>
      </c>
      <c r="F354" s="3"/>
    </row>
    <row r="355" spans="1:6" ht="18" customHeight="1">
      <c r="A355" s="9"/>
      <c r="B355" s="30"/>
      <c r="C355" t="s">
        <v>232</v>
      </c>
      <c r="D355" s="42">
        <v>261090</v>
      </c>
      <c r="F355" s="3"/>
    </row>
    <row r="356" spans="1:6" ht="18" customHeight="1">
      <c r="A356" s="9"/>
      <c r="B356" s="30"/>
      <c r="C356" s="9" t="s">
        <v>65</v>
      </c>
      <c r="D356" s="45">
        <f>SUM(D354:D355)</f>
        <v>1228090</v>
      </c>
      <c r="F356" s="3"/>
    </row>
    <row r="357" spans="1:6" ht="18" customHeight="1">
      <c r="A357" s="9"/>
      <c r="B357" s="30"/>
      <c r="C357" s="9" t="s">
        <v>65</v>
      </c>
      <c r="D357" s="45">
        <f>SUM(D341,D344,D352,D356)</f>
        <v>27230534</v>
      </c>
      <c r="F357" s="3"/>
    </row>
    <row r="358" spans="1:6" ht="18" customHeight="1">
      <c r="A358" s="9"/>
      <c r="B358" s="30"/>
      <c r="C358" s="9"/>
      <c r="F358" s="3"/>
    </row>
    <row r="359" spans="1:4" ht="15.75">
      <c r="A359" s="17" t="s">
        <v>94</v>
      </c>
      <c r="B359" s="17"/>
      <c r="C359" s="9" t="s">
        <v>95</v>
      </c>
      <c r="D359" s="41"/>
    </row>
    <row r="360" spans="1:4" ht="15.75">
      <c r="A360" s="9" t="s">
        <v>56</v>
      </c>
      <c r="B360" s="30"/>
      <c r="C360" s="9" t="s">
        <v>364</v>
      </c>
      <c r="D360" s="40"/>
    </row>
    <row r="361" spans="1:6" s="2" customFormat="1" ht="14.25" customHeight="1">
      <c r="A361" s="13" t="s">
        <v>96</v>
      </c>
      <c r="B361" s="30" t="s">
        <v>200</v>
      </c>
      <c r="C361" s="13" t="s">
        <v>365</v>
      </c>
      <c r="D361" s="45">
        <f>2367695+652240+2359930+652240+2367695+652240+20133225</f>
        <v>29185265</v>
      </c>
      <c r="F361" s="5"/>
    </row>
    <row r="362" spans="1:6" s="2" customFormat="1" ht="14.25" customHeight="1">
      <c r="A362" s="13"/>
      <c r="B362" s="30"/>
      <c r="C362" s="13"/>
      <c r="D362" s="40"/>
      <c r="F362" s="5"/>
    </row>
    <row r="363" spans="1:6" ht="15.75">
      <c r="A363" s="9" t="s">
        <v>60</v>
      </c>
      <c r="B363" s="30" t="s">
        <v>151</v>
      </c>
      <c r="C363" s="9" t="s">
        <v>5</v>
      </c>
      <c r="D363" s="45">
        <f>230846+63592+230089+63592+230846+63592+1962945</f>
        <v>2845502</v>
      </c>
      <c r="F363" s="3"/>
    </row>
    <row r="364" spans="1:6" ht="15.75">
      <c r="A364" s="9"/>
      <c r="B364" s="30"/>
      <c r="C364" s="9"/>
      <c r="F364" s="3"/>
    </row>
    <row r="365" spans="1:3" ht="18" customHeight="1">
      <c r="A365" s="9" t="s">
        <v>66</v>
      </c>
      <c r="B365" s="30"/>
      <c r="C365" s="9" t="s">
        <v>230</v>
      </c>
    </row>
    <row r="366" spans="1:5" ht="18" customHeight="1">
      <c r="A366" s="9" t="s">
        <v>61</v>
      </c>
      <c r="B366" s="30" t="s">
        <v>165</v>
      </c>
      <c r="C366" s="6" t="s">
        <v>135</v>
      </c>
      <c r="D366" s="42">
        <v>453400</v>
      </c>
      <c r="E366" s="3"/>
    </row>
    <row r="367" spans="1:5" ht="18" customHeight="1">
      <c r="A367" s="9"/>
      <c r="B367" s="30" t="s">
        <v>211</v>
      </c>
      <c r="C367" s="6" t="s">
        <v>286</v>
      </c>
      <c r="D367" s="42">
        <v>313500</v>
      </c>
      <c r="E367" s="54">
        <f>SUM(D366:D370)</f>
        <v>2945257</v>
      </c>
    </row>
    <row r="368" spans="1:4" ht="18" customHeight="1">
      <c r="A368" s="9"/>
      <c r="B368" s="30" t="s">
        <v>153</v>
      </c>
      <c r="C368" s="6" t="s">
        <v>262</v>
      </c>
      <c r="D368" s="42">
        <f>35000+1224200+7000</f>
        <v>1266200</v>
      </c>
    </row>
    <row r="369" spans="1:4" ht="18" customHeight="1">
      <c r="A369" s="9" t="s">
        <v>67</v>
      </c>
      <c r="B369" s="29" t="s">
        <v>216</v>
      </c>
      <c r="C369" t="s">
        <v>109</v>
      </c>
      <c r="D369" s="42">
        <v>286000</v>
      </c>
    </row>
    <row r="370" spans="1:6" ht="18" customHeight="1">
      <c r="A370" s="9" t="s">
        <v>63</v>
      </c>
      <c r="B370" s="30" t="s">
        <v>159</v>
      </c>
      <c r="C370" s="6" t="s">
        <v>232</v>
      </c>
      <c r="D370" s="42">
        <f>547047+79110</f>
        <v>626157</v>
      </c>
      <c r="F370" s="3"/>
    </row>
    <row r="371" spans="1:6" ht="18" customHeight="1">
      <c r="A371" s="9"/>
      <c r="B371" s="30"/>
      <c r="C371" s="9" t="s">
        <v>372</v>
      </c>
      <c r="D371" s="45">
        <f>SUM(D366:D370)</f>
        <v>2945257</v>
      </c>
      <c r="F371" s="3"/>
    </row>
    <row r="372" spans="1:4" ht="15.75">
      <c r="A372" s="13"/>
      <c r="B372" s="16"/>
      <c r="C372" s="9" t="s">
        <v>65</v>
      </c>
      <c r="D372" s="41">
        <f>SUM(D361,D363,D371)</f>
        <v>34976024</v>
      </c>
    </row>
    <row r="373" spans="1:4" ht="15.75">
      <c r="A373" s="13"/>
      <c r="B373" s="16"/>
      <c r="C373" s="9"/>
      <c r="D373" s="41"/>
    </row>
    <row r="374" spans="1:4" ht="15.75">
      <c r="A374" s="17" t="s">
        <v>233</v>
      </c>
      <c r="B374" s="16"/>
      <c r="C374" s="9" t="s">
        <v>234</v>
      </c>
      <c r="D374" s="41"/>
    </row>
    <row r="375" spans="1:4" ht="15.75">
      <c r="A375" s="17" t="s">
        <v>66</v>
      </c>
      <c r="B375" s="16"/>
      <c r="C375" s="9" t="s">
        <v>230</v>
      </c>
      <c r="D375" s="41"/>
    </row>
    <row r="376" spans="1:4" ht="15.75">
      <c r="A376" t="s">
        <v>73</v>
      </c>
      <c r="B376" s="29" t="s">
        <v>156</v>
      </c>
      <c r="C376" s="23" t="s">
        <v>127</v>
      </c>
      <c r="D376" s="42">
        <v>5000</v>
      </c>
    </row>
    <row r="377" spans="2:4" ht="15.75">
      <c r="B377" s="29" t="s">
        <v>157</v>
      </c>
      <c r="C377" s="23" t="s">
        <v>192</v>
      </c>
      <c r="D377" s="42">
        <v>5000</v>
      </c>
    </row>
    <row r="378" spans="2:4" ht="15.75">
      <c r="B378" s="29" t="s">
        <v>158</v>
      </c>
      <c r="C378" s="23" t="s">
        <v>235</v>
      </c>
      <c r="D378" s="42">
        <v>5000</v>
      </c>
    </row>
    <row r="379" spans="1:4" ht="15.75">
      <c r="A379" t="s">
        <v>67</v>
      </c>
      <c r="B379" s="29" t="s">
        <v>236</v>
      </c>
      <c r="C379" s="23" t="s">
        <v>237</v>
      </c>
      <c r="D379" s="42">
        <v>13000</v>
      </c>
    </row>
    <row r="380" spans="2:4" ht="15.75">
      <c r="B380" s="29" t="s">
        <v>265</v>
      </c>
      <c r="C380" s="23" t="s">
        <v>266</v>
      </c>
      <c r="D380" s="42">
        <v>200000</v>
      </c>
    </row>
    <row r="381" spans="1:4" ht="15.75">
      <c r="A381" t="s">
        <v>63</v>
      </c>
      <c r="B381" s="29" t="s">
        <v>159</v>
      </c>
      <c r="C381" s="26" t="s">
        <v>195</v>
      </c>
      <c r="D381" s="42">
        <v>62000</v>
      </c>
    </row>
    <row r="382" spans="1:4" ht="15.75">
      <c r="A382" s="13"/>
      <c r="B382" s="16"/>
      <c r="C382" s="25" t="s">
        <v>116</v>
      </c>
      <c r="D382" s="41">
        <f>SUM(D376:D381)</f>
        <v>290000</v>
      </c>
    </row>
    <row r="383" spans="1:4" ht="14.25" customHeight="1">
      <c r="A383" s="13"/>
      <c r="B383" s="16"/>
      <c r="C383" s="9"/>
      <c r="D383" s="41"/>
    </row>
    <row r="384" spans="1:4" ht="14.25" customHeight="1">
      <c r="A384" s="17" t="s">
        <v>238</v>
      </c>
      <c r="B384" s="16"/>
      <c r="C384" s="9" t="s">
        <v>239</v>
      </c>
      <c r="D384" s="41"/>
    </row>
    <row r="385" spans="1:4" ht="14.25" customHeight="1">
      <c r="A385" s="13" t="s">
        <v>240</v>
      </c>
      <c r="B385" s="16" t="s">
        <v>241</v>
      </c>
      <c r="C385" s="6" t="s">
        <v>242</v>
      </c>
      <c r="D385" s="41">
        <v>1076988</v>
      </c>
    </row>
    <row r="386" spans="1:4" ht="15.75">
      <c r="A386" s="13"/>
      <c r="B386" s="16"/>
      <c r="C386" s="9"/>
      <c r="D386" s="41"/>
    </row>
    <row r="387" spans="2:4" s="1" customFormat="1" ht="18.75">
      <c r="B387" s="15"/>
      <c r="C387" s="22" t="s">
        <v>97</v>
      </c>
      <c r="D387" s="50">
        <f>SUM(D115,D133,D143,D156,D168,D230,D240,D249,D268,D273,D313,D332,D337,D357,D372,D382,D385)</f>
        <v>121044756.86</v>
      </c>
    </row>
    <row r="388" spans="2:4" s="1" customFormat="1" ht="15.75">
      <c r="B388" s="15"/>
      <c r="D388" s="43">
        <f>D64-D387</f>
        <v>0.14000000059604645</v>
      </c>
    </row>
    <row r="389" spans="2:4" s="1" customFormat="1" ht="15.75">
      <c r="B389" s="15"/>
      <c r="D389" s="43"/>
    </row>
    <row r="390" spans="2:4" s="1" customFormat="1" ht="15.75" customHeight="1">
      <c r="B390" s="15"/>
      <c r="D390" s="43"/>
    </row>
    <row r="391" spans="1:4" s="1" customFormat="1" ht="15.75" customHeight="1">
      <c r="A391" s="2"/>
      <c r="B391" s="34"/>
      <c r="C391"/>
      <c r="D391" s="51"/>
    </row>
    <row r="392" spans="2:4" s="1" customFormat="1" ht="15.75">
      <c r="B392" s="15"/>
      <c r="C392"/>
      <c r="D392" s="40" t="s">
        <v>24</v>
      </c>
    </row>
    <row r="393" spans="1:4" s="1" customFormat="1" ht="15.75">
      <c r="A393"/>
      <c r="B393" s="29"/>
      <c r="C393"/>
      <c r="D393" s="42" t="s">
        <v>20</v>
      </c>
    </row>
    <row r="394" spans="1:4" s="2" customFormat="1" ht="15.75">
      <c r="A394"/>
      <c r="B394" s="29"/>
      <c r="C394"/>
      <c r="D394" s="42"/>
    </row>
    <row r="395" spans="1:4" s="1" customFormat="1" ht="15.75">
      <c r="A395"/>
      <c r="B395" s="29"/>
      <c r="C395"/>
      <c r="D395" s="42"/>
    </row>
    <row r="396" ht="19.5">
      <c r="C396" s="10" t="s">
        <v>8</v>
      </c>
    </row>
    <row r="398" spans="1:4" ht="15.75">
      <c r="A398" s="1"/>
      <c r="B398" s="15"/>
      <c r="D398" s="43"/>
    </row>
    <row r="399" ht="15.75" customHeight="1">
      <c r="C399" s="1"/>
    </row>
    <row r="400" spans="2:4" s="1" customFormat="1" ht="15.75">
      <c r="B400" s="15"/>
      <c r="C400" t="s">
        <v>102</v>
      </c>
      <c r="D400" s="40">
        <f>D115/1000</f>
        <v>12217.271455</v>
      </c>
    </row>
    <row r="401" spans="3:4" ht="15.75">
      <c r="C401" t="s">
        <v>98</v>
      </c>
      <c r="D401" s="40">
        <f>D133/1000</f>
        <v>18330.259</v>
      </c>
    </row>
    <row r="402" spans="1:4" s="1" customFormat="1" ht="15.75">
      <c r="A402"/>
      <c r="B402" s="29"/>
      <c r="C402" t="s">
        <v>30</v>
      </c>
      <c r="D402" s="40">
        <f>D143/1000</f>
        <v>1188</v>
      </c>
    </row>
    <row r="403" spans="3:4" ht="15.75">
      <c r="C403" t="s">
        <v>31</v>
      </c>
      <c r="D403" s="40">
        <f>D156/1000</f>
        <v>618.838</v>
      </c>
    </row>
    <row r="404" spans="3:4" ht="15.75">
      <c r="C404" t="s">
        <v>138</v>
      </c>
      <c r="D404" s="40">
        <f>D168/1000</f>
        <v>889</v>
      </c>
    </row>
    <row r="405" spans="3:4" ht="15.75">
      <c r="C405" t="s">
        <v>99</v>
      </c>
      <c r="D405" s="40">
        <f>D230/1000</f>
        <v>8456.506</v>
      </c>
    </row>
    <row r="406" spans="3:4" ht="15.75">
      <c r="C406" t="s">
        <v>112</v>
      </c>
      <c r="D406" s="40">
        <f>D240/1000</f>
        <v>187.4</v>
      </c>
    </row>
    <row r="407" spans="3:4" ht="15.75">
      <c r="C407" t="s">
        <v>338</v>
      </c>
      <c r="D407" s="40">
        <f>D249/1000</f>
        <v>1612.6</v>
      </c>
    </row>
    <row r="408" spans="3:4" ht="15.75">
      <c r="C408" t="s">
        <v>308</v>
      </c>
      <c r="D408" s="40">
        <f>D268/1000</f>
        <v>4240.7695</v>
      </c>
    </row>
    <row r="409" spans="3:4" ht="15.75">
      <c r="C409" t="s">
        <v>382</v>
      </c>
      <c r="D409" s="40">
        <f>D273/1000</f>
        <v>441.4</v>
      </c>
    </row>
    <row r="410" spans="3:4" ht="15.75">
      <c r="C410" t="s">
        <v>209</v>
      </c>
      <c r="D410" s="40">
        <f>D313/1000</f>
        <v>4488.230905</v>
      </c>
    </row>
    <row r="411" spans="3:4" ht="15.75">
      <c r="C411" t="s">
        <v>100</v>
      </c>
      <c r="D411" s="40">
        <f>D332/1000</f>
        <v>4739.376</v>
      </c>
    </row>
    <row r="412" spans="3:4" ht="15.75">
      <c r="C412" t="s">
        <v>257</v>
      </c>
      <c r="D412" s="40">
        <f>D337/1000</f>
        <v>61.56</v>
      </c>
    </row>
    <row r="413" spans="3:4" ht="15.75">
      <c r="C413" t="s">
        <v>101</v>
      </c>
      <c r="D413" s="40">
        <f>D372/1000</f>
        <v>34976.024</v>
      </c>
    </row>
    <row r="414" spans="3:4" ht="15.75">
      <c r="C414" t="s">
        <v>379</v>
      </c>
      <c r="D414" s="40">
        <f>D357/1000</f>
        <v>27230.534</v>
      </c>
    </row>
    <row r="415" spans="3:4" ht="15.75" customHeight="1">
      <c r="C415" t="s">
        <v>258</v>
      </c>
      <c r="D415" s="40">
        <f>D382/1000</f>
        <v>290</v>
      </c>
    </row>
    <row r="416" spans="3:4" ht="15.75">
      <c r="C416" t="s">
        <v>242</v>
      </c>
      <c r="D416" s="40">
        <f>D385/1000</f>
        <v>1076.988</v>
      </c>
    </row>
    <row r="417" spans="3:4" ht="15.75">
      <c r="C417" s="9" t="s">
        <v>10</v>
      </c>
      <c r="D417" s="41">
        <f>SUM(D400:D416)</f>
        <v>121044.75686</v>
      </c>
    </row>
    <row r="419" spans="1:4" ht="15.75">
      <c r="A419" s="1"/>
      <c r="B419" s="15"/>
      <c r="D419" s="43"/>
    </row>
    <row r="421" ht="15.75">
      <c r="C421" s="9" t="s">
        <v>11</v>
      </c>
    </row>
    <row r="422" spans="1:4" s="1" customFormat="1" ht="15.75" customHeight="1">
      <c r="A422"/>
      <c r="B422" s="29"/>
      <c r="D422" s="42"/>
    </row>
    <row r="423" spans="1:4" ht="15.75">
      <c r="A423" s="1"/>
      <c r="B423" s="15"/>
      <c r="C423" t="s">
        <v>103</v>
      </c>
      <c r="D423" s="40">
        <f>D26/1000</f>
        <v>26924.718</v>
      </c>
    </row>
    <row r="424" spans="1:4" ht="15.75">
      <c r="A424" s="1"/>
      <c r="B424" s="15"/>
      <c r="C424" t="s">
        <v>105</v>
      </c>
      <c r="D424" s="40">
        <f>D43/1000</f>
        <v>55645.994</v>
      </c>
    </row>
    <row r="425" spans="1:4" ht="15.75">
      <c r="A425" s="1"/>
      <c r="B425" s="15"/>
      <c r="C425" t="s">
        <v>25</v>
      </c>
      <c r="D425" s="40">
        <f>D36/1000</f>
        <v>4620</v>
      </c>
    </row>
    <row r="426" spans="1:4" ht="15.75">
      <c r="A426" s="1"/>
      <c r="B426" s="15"/>
      <c r="C426" t="s">
        <v>339</v>
      </c>
      <c r="D426" s="40">
        <f>D50/1000</f>
        <v>1538</v>
      </c>
    </row>
    <row r="427" spans="1:4" s="1" customFormat="1" ht="15.75">
      <c r="A427"/>
      <c r="B427" s="29"/>
      <c r="C427" t="s">
        <v>104</v>
      </c>
      <c r="D427" s="40">
        <f>D53/1000</f>
        <v>32316.045</v>
      </c>
    </row>
    <row r="428" spans="1:4" s="1" customFormat="1" ht="15.75" customHeight="1">
      <c r="A428"/>
      <c r="B428" s="29"/>
      <c r="C428" s="9" t="s">
        <v>12</v>
      </c>
      <c r="D428" s="41">
        <f>SUM(D423:D427)</f>
        <v>121044.757</v>
      </c>
    </row>
    <row r="429" ht="15.75" customHeight="1">
      <c r="D429" s="41"/>
    </row>
    <row r="430" spans="1:4" ht="15.75">
      <c r="A430" s="1"/>
      <c r="B430" s="15"/>
      <c r="D430" s="43"/>
    </row>
    <row r="433" spans="1:4" s="1" customFormat="1" ht="15.75" customHeight="1">
      <c r="A433"/>
      <c r="B433" s="29"/>
      <c r="C433"/>
      <c r="D433" s="42"/>
    </row>
    <row r="458" ht="15.75">
      <c r="C458" s="7"/>
    </row>
    <row r="464" ht="15.75">
      <c r="C464" s="7"/>
    </row>
  </sheetData>
  <sheetProtection/>
  <printOptions/>
  <pageMargins left="0.75" right="0.75" top="1" bottom="1" header="0.5" footer="0.5"/>
  <pageSetup horizontalDpi="300" verticalDpi="300" orientation="portrait" paperSize="9" scale="55" r:id="rId1"/>
  <headerFooter alignWithMargins="0">
    <oddHeader>&amp;LA Csertő Községi Önkormányzat 2019.évi költségvetése</oddHeader>
  </headerFooter>
  <rowBreaks count="6" manualBreakCount="6">
    <brk id="71" max="255" man="1"/>
    <brk id="133" max="255" man="1"/>
    <brk id="202" max="255" man="1"/>
    <brk id="268" max="3" man="1"/>
    <brk id="313" max="255" man="1"/>
    <brk id="3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E28" sqref="E28"/>
    </sheetView>
  </sheetViews>
  <sheetFormatPr defaultColWidth="8.796875" defaultRowHeight="15"/>
  <cols>
    <col min="1" max="1" width="2.5" style="0" customWidth="1"/>
    <col min="2" max="2" width="31.19921875" style="0" customWidth="1"/>
    <col min="3" max="3" width="11.19921875" style="3" customWidth="1"/>
    <col min="4" max="4" width="13" style="3" customWidth="1"/>
    <col min="5" max="5" width="20.19921875" style="3" customWidth="1"/>
  </cols>
  <sheetData>
    <row r="2" ht="15.75">
      <c r="E2" s="3" t="s">
        <v>26</v>
      </c>
    </row>
    <row r="3" ht="15.75">
      <c r="E3" s="3" t="s">
        <v>7</v>
      </c>
    </row>
    <row r="4" spans="1:4" ht="15.75">
      <c r="A4" s="1"/>
      <c r="B4" s="1" t="s">
        <v>13</v>
      </c>
      <c r="C4" s="4"/>
      <c r="D4" s="4"/>
    </row>
    <row r="7" spans="2:5" s="1" customFormat="1" ht="15.75">
      <c r="B7" s="1" t="s">
        <v>11</v>
      </c>
      <c r="C7" s="4"/>
      <c r="D7" s="4"/>
      <c r="E7" s="4"/>
    </row>
    <row r="8" spans="3:5" s="1" customFormat="1" ht="15.75">
      <c r="C8" s="4" t="s">
        <v>14</v>
      </c>
      <c r="D8" s="4" t="s">
        <v>15</v>
      </c>
      <c r="E8" s="4" t="s">
        <v>18</v>
      </c>
    </row>
    <row r="10" spans="2:5" ht="15.75">
      <c r="B10" t="s">
        <v>103</v>
      </c>
      <c r="C10" s="3">
        <f>'2019. kv.'!D26/1000</f>
        <v>26924.718</v>
      </c>
      <c r="E10" s="3">
        <f>SUM(C10:D10)</f>
        <v>26924.718</v>
      </c>
    </row>
    <row r="11" spans="2:5" ht="15.75">
      <c r="B11" t="s">
        <v>106</v>
      </c>
      <c r="C11" s="3">
        <f>'2019. kv.'!D43/1000-D11</f>
        <v>48803.994</v>
      </c>
      <c r="D11" s="3">
        <v>6842</v>
      </c>
      <c r="E11" s="3">
        <f>SUM(C11:D11)</f>
        <v>55645.994</v>
      </c>
    </row>
    <row r="12" spans="2:5" ht="15.75">
      <c r="B12" t="s">
        <v>339</v>
      </c>
      <c r="C12" s="3">
        <f>'2019. kv.'!D50/1000</f>
        <v>1538</v>
      </c>
      <c r="E12" s="3">
        <f>SUM(C12:D12)</f>
        <v>1538</v>
      </c>
    </row>
    <row r="13" spans="2:5" ht="15.75">
      <c r="B13" t="s">
        <v>25</v>
      </c>
      <c r="C13" s="3">
        <f>'2019. kv.'!D36/1000</f>
        <v>4620</v>
      </c>
      <c r="E13" s="3">
        <f>SUM(C13:D13)</f>
        <v>4620</v>
      </c>
    </row>
    <row r="14" spans="2:5" ht="15.75">
      <c r="B14" t="s">
        <v>104</v>
      </c>
      <c r="C14" s="3">
        <f>('2019. kv.'!D53/1000)-D14</f>
        <v>17316.045</v>
      </c>
      <c r="D14" s="3">
        <v>15000</v>
      </c>
      <c r="E14" s="3">
        <f>SUM(C14:D14)</f>
        <v>32316.045</v>
      </c>
    </row>
    <row r="15" spans="2:5" s="1" customFormat="1" ht="15.75">
      <c r="B15" s="1" t="s">
        <v>16</v>
      </c>
      <c r="C15" s="4">
        <f>SUM(C10:C14)</f>
        <v>99202.757</v>
      </c>
      <c r="D15" s="4">
        <f>SUM(D10:D14)</f>
        <v>21842</v>
      </c>
      <c r="E15" s="4">
        <f>SUM(E10:E14)</f>
        <v>121044.757</v>
      </c>
    </row>
    <row r="19" spans="2:5" s="1" customFormat="1" ht="15.75">
      <c r="B19" s="1" t="s">
        <v>9</v>
      </c>
      <c r="C19" s="4"/>
      <c r="D19" s="4"/>
      <c r="E19" s="4"/>
    </row>
    <row r="21" spans="1:5" ht="15.75">
      <c r="A21" t="s">
        <v>17</v>
      </c>
      <c r="B21" t="s">
        <v>4</v>
      </c>
      <c r="C21" s="3">
        <f>SUM('2019. kv.'!D89,'2019. kv.'!D252,'2019. kv.'!D278:D279,'2019. kv.'!D287:D289,'2019. kv.'!D341,'2019. kv.'!D361)/1000</f>
        <v>55411.464</v>
      </c>
      <c r="E21" s="3">
        <f aca="true" t="shared" si="0" ref="E21:E26">SUM(C21,D21)</f>
        <v>55411.464</v>
      </c>
    </row>
    <row r="22" spans="2:5" ht="15.75">
      <c r="B22" t="s">
        <v>5</v>
      </c>
      <c r="C22" s="3">
        <f>SUM('2019. kv.'!D95,'2019. kv.'!D176,'2019. kv.'!D253,'2019. kv.'!D282:D284,'2019. kv.'!D292:D294,'2019. kv.'!D344,'2019. kv.'!D363)/1000</f>
        <v>6639.56486</v>
      </c>
      <c r="E22" s="3">
        <f t="shared" si="0"/>
        <v>6639.56486</v>
      </c>
    </row>
    <row r="23" spans="2:5" ht="15.75">
      <c r="B23" t="s">
        <v>6</v>
      </c>
      <c r="C23" s="3">
        <f>SUM('2019. kv.'!D105,'2019. kv.'!D123,'2019. kv.'!D143,'2019. kv.'!D147:D151,'2019. kv.'!D161:D163,'2019. kv.'!D186,'2019. kv.'!D196,'2019. kv.'!D240,'2019. kv.'!D249,'2019. kv.'!D254:D261,'2019. kv.'!D273,'2019. kv.'!D296,'2019. kv.'!D300:D311,'2019. kv.'!D352,'2019. kv.'!D371,'2019. kv.'!D382)/1000</f>
        <v>25612.213</v>
      </c>
      <c r="E23" s="3">
        <f t="shared" si="0"/>
        <v>25612.213</v>
      </c>
    </row>
    <row r="24" spans="2:5" ht="15.75">
      <c r="B24" t="s">
        <v>23</v>
      </c>
      <c r="C24" s="3">
        <f>SUM('2019. kv.'!D215,'2019. kv.'!D220,'2019. kv.'!D222,'2019. kv.'!D332,'2019. kv.'!D337,'2019. kv.'!D262:D263)/1000</f>
        <v>10867.062</v>
      </c>
      <c r="E24" s="3">
        <f t="shared" si="0"/>
        <v>10867.062</v>
      </c>
    </row>
    <row r="25" spans="2:5" ht="15.75">
      <c r="B25" t="s">
        <v>259</v>
      </c>
      <c r="D25" s="3">
        <f>SUM('2019. kv.'!D114,'2019. kv.'!D132,'2019. kv.'!D201,'2019. kv.'!D356)/1000</f>
        <v>21437.465</v>
      </c>
      <c r="E25" s="3">
        <f t="shared" si="0"/>
        <v>21437.465</v>
      </c>
    </row>
    <row r="26" spans="2:5" ht="15.75">
      <c r="B26" t="s">
        <v>393</v>
      </c>
      <c r="C26" s="3">
        <f>'2019. kv.'!D385/1000</f>
        <v>1076.988</v>
      </c>
      <c r="E26" s="3">
        <f t="shared" si="0"/>
        <v>1076.988</v>
      </c>
    </row>
    <row r="27" spans="2:5" s="1" customFormat="1" ht="15.75">
      <c r="B27" s="1" t="s">
        <v>1</v>
      </c>
      <c r="C27" s="4">
        <f>SUM(C21:C26)</f>
        <v>99607.29186</v>
      </c>
      <c r="D27" s="4">
        <f>SUM(D21:D26)</f>
        <v>21437.465</v>
      </c>
      <c r="E27" s="4">
        <f>SUM(E21:E26)</f>
        <v>121044.75686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qwertz</dc:creator>
  <cp:keywords/>
  <dc:description/>
  <cp:lastModifiedBy>Tamas</cp:lastModifiedBy>
  <cp:lastPrinted>2019-03-14T10:35:36Z</cp:lastPrinted>
  <dcterms:created xsi:type="dcterms:W3CDTF">2003-02-02T14:52:32Z</dcterms:created>
  <dcterms:modified xsi:type="dcterms:W3CDTF">2019-03-19T09:03:17Z</dcterms:modified>
  <cp:category/>
  <cp:version/>
  <cp:contentType/>
  <cp:contentStatus/>
</cp:coreProperties>
</file>