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86" firstSheet="14" activeTab="17"/>
  </bookViews>
  <sheets>
    <sheet name="A melléklet" sheetId="1" r:id="rId1"/>
    <sheet name="A2 melléklet" sheetId="2" r:id="rId2"/>
    <sheet name="1.melléklet" sheetId="3" r:id="rId3"/>
    <sheet name="1_A melléklet" sheetId="4" r:id="rId4"/>
    <sheet name="1_B_MELLÉKLET" sheetId="5" r:id="rId5"/>
    <sheet name="2. melléklet" sheetId="6" r:id="rId6"/>
    <sheet name="3. melléklet" sheetId="7" r:id="rId7"/>
    <sheet name="4_.melléklet" sheetId="8" r:id="rId8"/>
    <sheet name="5.  melléklet" sheetId="9" r:id="rId9"/>
    <sheet name="6.melléket" sheetId="10" r:id="rId10"/>
    <sheet name="7. melléklet" sheetId="11" r:id="rId11"/>
    <sheet name="8. melléklet Önkormányzat" sheetId="12" r:id="rId12"/>
    <sheet name="9.  melléklet Hivatal" sheetId="13" r:id="rId13"/>
    <sheet name="10. melléklet Isaszegi Héts" sheetId="14" r:id="rId14"/>
    <sheet name="11.  melléklet Isaszegi Bóbi" sheetId="15" r:id="rId15"/>
    <sheet name="12. mell. Isaszegi Humánszol" sheetId="16" r:id="rId16"/>
    <sheet name="13.  mellékletMűvelődési ház" sheetId="17" r:id="rId17"/>
    <sheet name="14. melléklet Könyvtár" sheetId="18" r:id="rId18"/>
    <sheet name="15.melléklet IVÜSZ" sheetId="19" r:id="rId19"/>
    <sheet name="16. melléklet" sheetId="20" r:id="rId20"/>
    <sheet name="17. melléklet" sheetId="21" r:id="rId21"/>
    <sheet name="18. melléklet" sheetId="22" r:id="rId22"/>
    <sheet name="19. melléklet" sheetId="23" r:id="rId23"/>
    <sheet name="Munkalap32" sheetId="24" r:id="rId24"/>
  </sheets>
  <definedNames>
    <definedName name="Excel_BuiltIn_Print_Area" localSheetId="3">'1_A melléklet'!$A$1:$G$60</definedName>
    <definedName name="Excel_BuiltIn_Print_Area" localSheetId="4">'1_B_MELLÉKLET'!$A$1:$G$42</definedName>
    <definedName name="Excel_BuiltIn_Print_Area" localSheetId="7">'4_.melléklet'!$A$1:$N$33</definedName>
    <definedName name="_xlnm.Print_Area" localSheetId="2">'1.melléklet'!$A$2:$H$81</definedName>
    <definedName name="_xlnm.Print_Area" localSheetId="3">'1_A melléklet'!$A$1:$F$60</definedName>
    <definedName name="_xlnm.Print_Area" localSheetId="4">'1_B_MELLÉKLET'!$A$1:$F$42</definedName>
    <definedName name="_xlnm.Print_Area" localSheetId="19">'16. melléklet'!$A$1:$G$26</definedName>
    <definedName name="_xlnm.Print_Area" localSheetId="7">'4_.melléklet'!$A$1:$P$66</definedName>
    <definedName name="_xlnm.Print_Area" localSheetId="9">'6.melléket'!$A$2:$F$20</definedName>
  </definedNames>
  <calcPr fullCalcOnLoad="1"/>
</workbook>
</file>

<file path=xl/sharedStrings.xml><?xml version="1.0" encoding="utf-8"?>
<sst xmlns="http://schemas.openxmlformats.org/spreadsheetml/2006/main" count="1576" uniqueCount="431">
  <si>
    <t xml:space="preserve"> </t>
  </si>
  <si>
    <t>Isaszeg Város  Önkormányzat 2018. évi bevételei és kiadásai</t>
  </si>
  <si>
    <t>adatok eFt-ban</t>
  </si>
  <si>
    <t>sorszám</t>
  </si>
  <si>
    <t>megnevezés</t>
  </si>
  <si>
    <t>2018. évi terv</t>
  </si>
  <si>
    <t>BEVÉTELEK</t>
  </si>
  <si>
    <t>I.</t>
  </si>
  <si>
    <t>Önkormányzat működési támogatásai</t>
  </si>
  <si>
    <t>Helyi önkormányzat működésének általános támogatása</t>
  </si>
  <si>
    <t>Települési önkormányzat egyes köznevelési feladatainak támogatása</t>
  </si>
  <si>
    <t>Települési önkormányzat szociális és gyermekjóléti feladatainak támogatása</t>
  </si>
  <si>
    <t>Települési önkormányzat kulturális feladatainak támogatása</t>
  </si>
  <si>
    <t>Működési célú központosított támogatások</t>
  </si>
  <si>
    <t>Helyi önkormányzat kiegészítő támogatásai</t>
  </si>
  <si>
    <t>II.</t>
  </si>
  <si>
    <t>Működési célú támogatások államháztartáson belülről</t>
  </si>
  <si>
    <t>Egyéb működési célú támogatások államháztartáson belülről (mezőőr)</t>
  </si>
  <si>
    <t>Egyéb működési célú támogatások államháztartáson belülről</t>
  </si>
  <si>
    <t>Egyéb működési célú támogatások államháztartáson belülről (OEP)</t>
  </si>
  <si>
    <t>Egyéb működési célú támogatások államháztartáson belülről (közcélú támogatás)</t>
  </si>
  <si>
    <t>III.</t>
  </si>
  <si>
    <t>Felhalmozási célú támogatások államháztartáson belülről</t>
  </si>
  <si>
    <t xml:space="preserve">Felhalmozási célú önkormányzati támogatások </t>
  </si>
  <si>
    <t>IV.</t>
  </si>
  <si>
    <t>Közhatalmi bevételek</t>
  </si>
  <si>
    <t>Építményadó, telekadó, kommunális adó, iparűzési adó,idegenforgalmi adó</t>
  </si>
  <si>
    <t>Gépjárműadók</t>
  </si>
  <si>
    <t>Talajterhelési díj</t>
  </si>
  <si>
    <t>Egyéb közhatalmi bevételek/ Igazgatási szolgáltatási díj, Ebrendészeti hozzájárulás, Környezetvédelmi bírság, Építésügyi bírság, Szabálysértési közigazgatási bírság helyi önkormányzatot megillető része</t>
  </si>
  <si>
    <t>V.</t>
  </si>
  <si>
    <t>Működési bevételek</t>
  </si>
  <si>
    <t>Áru és készletértékesítés, szolgáltatás, kiszámlázott áfa, tulajdonosi bevételek, ellátási díjak, kiszámlázott általános forgalmi adó</t>
  </si>
  <si>
    <t>Általános forgalmi adó visszatérítése</t>
  </si>
  <si>
    <t>Fordított áfa bevétel</t>
  </si>
  <si>
    <t>Kamatbevétel</t>
  </si>
  <si>
    <t>Egyéb működési bevételek</t>
  </si>
  <si>
    <t>VI.</t>
  </si>
  <si>
    <t>Felhalmozási bevételek</t>
  </si>
  <si>
    <t>Ingatlanok értékesítése</t>
  </si>
  <si>
    <t>VII.</t>
  </si>
  <si>
    <t>Működési célú átvett pénzeszközök</t>
  </si>
  <si>
    <t>Egyéb működési célú átvett pénzeszközök</t>
  </si>
  <si>
    <t>VIII.</t>
  </si>
  <si>
    <t>Felhalmozási célú átvett pénzeszközök</t>
  </si>
  <si>
    <t>Felhalmozási célú visszatérítendő támogatások, kölcsönök visszatérülése államháztartáson kívülről (kmk,úthozzájárulás)</t>
  </si>
  <si>
    <t xml:space="preserve">Egyéb felhalmozási célú átvett pénzeszköz </t>
  </si>
  <si>
    <t>Költségvetési bevételek mindösszesen (I.-VIII.)</t>
  </si>
  <si>
    <t>IX.</t>
  </si>
  <si>
    <t>00. havi állami támogatás , értékpapír eladás</t>
  </si>
  <si>
    <t>X.</t>
  </si>
  <si>
    <t>Előző év költségvetési maradványának működési célú igénybevétele</t>
  </si>
  <si>
    <t>XI.</t>
  </si>
  <si>
    <t>Előző év költségvetési maradványának felhalmozási célú igénybevétele</t>
  </si>
  <si>
    <t>Finanszírozási bevételek (IX.-XI.)</t>
  </si>
  <si>
    <t>Konszolidált bevétel</t>
  </si>
  <si>
    <t>Irányító szervi támogatások folyósítása (intézmény finanszírozás)</t>
  </si>
  <si>
    <t>BEVÉTELEK ÖSSZESEN</t>
  </si>
  <si>
    <t>KIADÁSOK</t>
  </si>
  <si>
    <t xml:space="preserve"> Működési költségvetés kiadásai </t>
  </si>
  <si>
    <t>Személyi  juttatások</t>
  </si>
  <si>
    <t>Munkaadókat terhelő járulékok és szociális hozzájárulási adó</t>
  </si>
  <si>
    <t>Dologi  kiadások</t>
  </si>
  <si>
    <t xml:space="preserve"> ebből: EU-s forrásból finanszírozott támogatással megvalósuló programok, projektek kiadásai </t>
  </si>
  <si>
    <t>ebből: kamatkiadás</t>
  </si>
  <si>
    <t>Ellátottak pénzbeli juttatásai</t>
  </si>
  <si>
    <t>Egyéb működési célú kiadások</t>
  </si>
  <si>
    <t>ebből: tartalék</t>
  </si>
  <si>
    <t>ebből: egyéb működési célú támogatások államháztartáson belülre</t>
  </si>
  <si>
    <t>ebből: egyéb működési célú támogatások államháztartáson kívülre</t>
  </si>
  <si>
    <t xml:space="preserve">Felhalmozási költségvetés kiadásai </t>
  </si>
  <si>
    <t>Beruházási kiadások</t>
  </si>
  <si>
    <t>Ebből:EU-s forrásból finanszírozott, támogatással megvalósuló programok, projektek kiadásai</t>
  </si>
  <si>
    <t>Ebből:EU-s forrásból finanszírozott támogatással megvalósuló  projektek önkormányzati hozzájárulásának kiadásai</t>
  </si>
  <si>
    <t>Felújítások</t>
  </si>
  <si>
    <t xml:space="preserve">Egyéb felhalmozási célú kiadások </t>
  </si>
  <si>
    <t xml:space="preserve"> ebből: Felhalmozási célú pénzeszköz átadás államháztartáson belülre</t>
  </si>
  <si>
    <t>ebből: egyéb felhalmozási célú támogatások államháztartáson kívülre</t>
  </si>
  <si>
    <t>Felhalmozási tartalék</t>
  </si>
  <si>
    <t xml:space="preserve">KÖLTSÉGVETÉSI KIADÁSOK ÖSSZESEN </t>
  </si>
  <si>
    <t>Finanszírozási kiadások</t>
  </si>
  <si>
    <t>00. Havi állami előleg, lízingdíj</t>
  </si>
  <si>
    <t>KIADÁSOK ÖSSZESEN: (I.+II.+III.)</t>
  </si>
  <si>
    <t>Konszolidált kiadás</t>
  </si>
  <si>
    <t>Éves engedélyezett létszám előirányzat (fő)</t>
  </si>
  <si>
    <t>Közfoglalkoztatottak létszáma (fő)</t>
  </si>
  <si>
    <t xml:space="preserve">Működési célú központosított támogatások </t>
  </si>
  <si>
    <t>Költségvetési bevételek mindösszesen (I.-V)</t>
  </si>
  <si>
    <t xml:space="preserve">00. havi állami támogatás </t>
  </si>
  <si>
    <t>Finanszírozási bevételek (VI.-VII.)</t>
  </si>
  <si>
    <t>KIADÁSOK ÖSSZESEN: (I.+II.)</t>
  </si>
  <si>
    <t>Működési többlet/hiány</t>
  </si>
  <si>
    <t>Kommunális adó bevétel</t>
  </si>
  <si>
    <t>Felhalmozási célú visszatérítendő támogatások, kölcsönök visszatérülése államháztartáson kívülről (kmk)</t>
  </si>
  <si>
    <t>Költségvetési bevételek mindösszesen (I.-III.)</t>
  </si>
  <si>
    <t>Finanszírozási bevételek (IV.-V.)</t>
  </si>
  <si>
    <t>Egyéb felhalmozási célú kiadások</t>
  </si>
  <si>
    <t>Lízingdíj</t>
  </si>
  <si>
    <t>Felhalmozási többlet/hiány</t>
  </si>
  <si>
    <t>2018. évi  működési és fejlesztési célú bevételek és kiadások  bemutatása .</t>
  </si>
  <si>
    <t>MÉRLEG</t>
  </si>
  <si>
    <t>I. működési bevételek és kiadások</t>
  </si>
  <si>
    <t>Bevételek megnevezése</t>
  </si>
  <si>
    <t>összeg</t>
  </si>
  <si>
    <t>Kiadások megnevezése</t>
  </si>
  <si>
    <t xml:space="preserve">Egyéb működési célú támogatások államháztartáson belülről </t>
  </si>
  <si>
    <t>II. Felhalmozási célú bevételek és kiadások</t>
  </si>
  <si>
    <t>Egyéb tárgyi eszköz értékesítés</t>
  </si>
  <si>
    <t>lízingdíj</t>
  </si>
  <si>
    <t>Isaszeg Város Önkormányzat adósságot keletkeztető ügyletekből és kezességvállalásokból fennálló kötelezettségei</t>
  </si>
  <si>
    <t>Ezer forintban !</t>
  </si>
  <si>
    <t>Sor-szám</t>
  </si>
  <si>
    <t>MEGNEVEZÉS</t>
  </si>
  <si>
    <t>Évek</t>
  </si>
  <si>
    <t xml:space="preserve">
Összesen (B+C+D)</t>
  </si>
  <si>
    <t>2018.</t>
  </si>
  <si>
    <t>2019.</t>
  </si>
  <si>
    <t>a futamidő végéig</t>
  </si>
  <si>
    <t>A</t>
  </si>
  <si>
    <t>B</t>
  </si>
  <si>
    <t>C</t>
  </si>
  <si>
    <t>D</t>
  </si>
  <si>
    <t>E</t>
  </si>
  <si>
    <t>1.</t>
  </si>
  <si>
    <t>gépjármű lízing díja</t>
  </si>
  <si>
    <t>2.</t>
  </si>
  <si>
    <t>3.</t>
  </si>
  <si>
    <t>4.</t>
  </si>
  <si>
    <t>5.</t>
  </si>
  <si>
    <t>6.</t>
  </si>
  <si>
    <t>ÖSSZES KÖTELEZETTSÉG</t>
  </si>
  <si>
    <t>Isaszeg Város Önkormányzatának 2018. évi fejlesztési kiadási terve</t>
  </si>
  <si>
    <t>feladat megnevezése</t>
  </si>
  <si>
    <t>A 2018. évi terv saját forrása</t>
  </si>
  <si>
    <t>A 2018. évi terv pályázati bevétel, lakossági hozzájárulás,TAO</t>
  </si>
  <si>
    <t>önrész fedezete pénzmaradvány, értékpapír, felhalmozási bevétel, és 36 M Ft Környezetvédelmi Alap</t>
  </si>
  <si>
    <t>önrész fedezete 2018. évben befolyó működési  bevételből</t>
  </si>
  <si>
    <t>önrész fedezete hitel</t>
  </si>
  <si>
    <t>Sportcsarnok felújítás</t>
  </si>
  <si>
    <t>Bóbita Óvoda vizesblokk felújítása, padlózatcsere</t>
  </si>
  <si>
    <t>Jóka Mór Városi Könyvtár felújítása</t>
  </si>
  <si>
    <t>Dózsa György Művelődési Otthon és Isaszegi Múzeumi Kiállítóhely tető-és kapujavítás</t>
  </si>
  <si>
    <t>Dózsa György Művelődési Otthon és Isaszegi Múzeumi Kiállítóhely felújítása</t>
  </si>
  <si>
    <t>Isaszegi Polgármesteri Hivatal nyílászárók kiépítése</t>
  </si>
  <si>
    <t>Hétszínvirág óvoda tető javítás, ablak, padlócsere</t>
  </si>
  <si>
    <t>felújítások mindösszesen</t>
  </si>
  <si>
    <t>Belterületi csapadékvíz elvezetés tervezése</t>
  </si>
  <si>
    <t>A.</t>
  </si>
  <si>
    <t>szellemi termékek vásárlása mindösszesen</t>
  </si>
  <si>
    <t>Damjanich János Általános Iskola ebédlő telek vásárlás</t>
  </si>
  <si>
    <t>B.</t>
  </si>
  <si>
    <t>földterület, telek vásárlás</t>
  </si>
  <si>
    <t>C.</t>
  </si>
  <si>
    <t>épületek vásárlása, létesítése</t>
  </si>
  <si>
    <t>Bartók Béla utca- Kodály Zoltán utca aszfaltozása,csapadékvíz elvezetés tervezése, kiépítése, Daköv kompenzáció</t>
  </si>
  <si>
    <t>Dózsa György Művelődési Otthon és Isaszegi Múzeumi Kiállítóhely előtti gyalogátkelőhely megépítése</t>
  </si>
  <si>
    <t>Wesselényi utca emelt szintű út karbantartás</t>
  </si>
  <si>
    <t>Járda építése és felújítás tervezése</t>
  </si>
  <si>
    <t>Polgármesteri Hivatal épület előtt és az udvaron parkosítás</t>
  </si>
  <si>
    <t>Bóbita Óvoda parkosítás</t>
  </si>
  <si>
    <t>Aulich utca és Aulich utcai orvosi rendelő: parkoló kiépítése, bővítése</t>
  </si>
  <si>
    <t>Hunyadi utcai orvosi rendelő egészségügyi központ megépítése</t>
  </si>
  <si>
    <t>Iparterületek infrastruktúrális fejlesztése, Szentgyörgypuszta</t>
  </si>
  <si>
    <t>Dózsa György Művelődési Otthon és Isaszegi Múzeumi Kiállítóhely nyílászárók és csatorna cseréje</t>
  </si>
  <si>
    <t>járdalapok beszerzése</t>
  </si>
  <si>
    <t xml:space="preserve">Isaszegi Humánszolgáltató Központ és Aprókfalva Bölcsőde : terasz burkolás, udvar viacolor, fedett terasz </t>
  </si>
  <si>
    <t>utcanévtábla</t>
  </si>
  <si>
    <t>D.</t>
  </si>
  <si>
    <t>egyéb építmények, vásárlása, létesítése</t>
  </si>
  <si>
    <t xml:space="preserve">gépjárművásárlás </t>
  </si>
  <si>
    <t>Dózsa György Művelődési Otthon és Isaszegi Múzeumi Kiállítóhely részére bútor és kerékpár vásárlása</t>
  </si>
  <si>
    <t>Isaszegi Humánszolgáltató Központ és Aprókfalva Bölcsőde : bejárati ajtók, udvari játékok, bútor, padok, asztalok beszerzése, informatika kialakítás, irodabútor, konténer</t>
  </si>
  <si>
    <t>Hétszínvirág óvoda udvari játék</t>
  </si>
  <si>
    <t>Bóbita óvoda udvari játék</t>
  </si>
  <si>
    <t>Jókai Mór Városi Könyvtár eszközbeszerzések</t>
  </si>
  <si>
    <t>E.</t>
  </si>
  <si>
    <t>egyéb gépek,berendezés, felszerelés</t>
  </si>
  <si>
    <t>Beruházások mindösszesen (A..+E)</t>
  </si>
  <si>
    <t>Felhalmozási célra átadott pénzeszközök</t>
  </si>
  <si>
    <t>FELHALMOZÁSI KIADÁSOK MINDÖSSZESEN (I.+II.+III.)</t>
  </si>
  <si>
    <t xml:space="preserve">FELHALMOZÁSI CÉLÚ KIADÁSOK MINDÖSSZESEN </t>
  </si>
  <si>
    <t>Isaszeg Önkormányzat saját bevételeinek részletezése az adósságot keletkeztető ügyletből származó tárgyévi fizetési kötelezettség megállapításához</t>
  </si>
  <si>
    <t>Bevételi jogcímek</t>
  </si>
  <si>
    <t>2018. évi előirányzat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</si>
  <si>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</si>
  <si>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</si>
  <si>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</si>
  <si>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</si>
  <si>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</si>
  <si>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</si>
  <si>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</si>
  <si>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</si>
  <si>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Isaszeg Város Önkormányzat 2018. évi tartaléka</t>
  </si>
  <si>
    <t>ezer Ft-ban</t>
  </si>
  <si>
    <t>feladat</t>
  </si>
  <si>
    <t>az átcsoportosítás jogát gyakorolja</t>
  </si>
  <si>
    <t>Működési tartalék</t>
  </si>
  <si>
    <t>Képviselő-testület</t>
  </si>
  <si>
    <t>általános tartalék</t>
  </si>
  <si>
    <t>pályázati önerő Bóbita óvoda 5% önerő, várható bekerülési érték 155.300 e Ft</t>
  </si>
  <si>
    <t>Összesen (1-2)</t>
  </si>
  <si>
    <t>Isaszeg Város Önkormányzatának 2018. évben Európai Uniós támogatással megvalósuló beruházásának bevételei, kiadásai</t>
  </si>
  <si>
    <t xml:space="preserve">A projekt neve: </t>
  </si>
  <si>
    <t xml:space="preserve">A projekt kódszáma:  </t>
  </si>
  <si>
    <t xml:space="preserve">A megvalósítás helye: </t>
  </si>
  <si>
    <t xml:space="preserve">A projekt megvalósításának kezdete: </t>
  </si>
  <si>
    <t xml:space="preserve">A projekt megvalósításának befejezése: </t>
  </si>
  <si>
    <t>A projekt bevételei és kiadásai</t>
  </si>
  <si>
    <t>adatok Eft-ban</t>
  </si>
  <si>
    <t>Bevétel</t>
  </si>
  <si>
    <t>összesen</t>
  </si>
  <si>
    <t>támogatás</t>
  </si>
  <si>
    <t>Kiadás</t>
  </si>
  <si>
    <t>Önkormányzat</t>
  </si>
  <si>
    <t>01</t>
  </si>
  <si>
    <t>Isaszeg Város Önkormányzat</t>
  </si>
  <si>
    <t>--------</t>
  </si>
  <si>
    <t>Előirányzat-csoport, kiemelt előirányzat megnevezése</t>
  </si>
  <si>
    <t>Előirányzat</t>
  </si>
  <si>
    <t>Bevételek</t>
  </si>
  <si>
    <t>Felhalmozási célú önkormányzati támogatások</t>
  </si>
  <si>
    <t>Egyéb működési célra átvett pénzeszközök</t>
  </si>
  <si>
    <t>Felhalmozási célú visszatérítendő támogatások, kölcsönök visszatérülése államháztartáson kívülről (kmk, LTP, csatorna hozzájárulás, úthozzájárulás)</t>
  </si>
  <si>
    <t>Egyéb felhalmozási célú átvett pénzeszköz (beruházások pályázati támogatásai)</t>
  </si>
  <si>
    <t>00.havi állami, értékpapír eladás</t>
  </si>
  <si>
    <t>Kiadások</t>
  </si>
  <si>
    <t xml:space="preserve"> Ebből:EU-s forrásból finanszírozott támogatással megvalósuló programok, projektek kiadásai</t>
  </si>
  <si>
    <t>Ebből:EU-s forrásból finansz. támogatással megv. pr., projektek önk. hozzájárulásának kiadásai</t>
  </si>
  <si>
    <t>konszolidált kiadás</t>
  </si>
  <si>
    <t>cafeteria</t>
  </si>
  <si>
    <t>létszám</t>
  </si>
  <si>
    <t xml:space="preserve">mezőőr </t>
  </si>
  <si>
    <t>járulék ( a 96.860 Ft/fő/év  után 34,22 %)</t>
  </si>
  <si>
    <t>2</t>
  </si>
  <si>
    <t>polgármester, alpolgármester</t>
  </si>
  <si>
    <t>járulék ( a 149.000 Ft/fő/év  után 34,22 %)</t>
  </si>
  <si>
    <t>Védőnői szolgálat</t>
  </si>
  <si>
    <t>4</t>
  </si>
  <si>
    <t>Fogorvosi szolgálat</t>
  </si>
  <si>
    <t>járulék ( a 72.000 Ft/fő/év  után 34,22 %)</t>
  </si>
  <si>
    <t>Összesen</t>
  </si>
  <si>
    <t>Önkormányzat összes személyi jellegű kifizetéséből a cafeteria személyi előirányzata</t>
  </si>
  <si>
    <t>Önkormányzat összes személyi jellegű kifizetéséből a cafeteria járulék előirányzata</t>
  </si>
  <si>
    <t xml:space="preserve">Isaszegi Polgármesteri Hivatal </t>
  </si>
  <si>
    <t>02</t>
  </si>
  <si>
    <t>Igazgatási feladatok</t>
  </si>
  <si>
    <t>Felhalmozási célú önkormányzati támogatások (vis maior)</t>
  </si>
  <si>
    <t>Felhalmozási célú visszatérítendő támogatások, kölcsönök visszatérülése államháztartáson kívülről (kmk, munkáltatói)</t>
  </si>
  <si>
    <t>Egyéb felhalmozási célú átvett pénzeszköz (LTP)</t>
  </si>
  <si>
    <t>Irányító szervi támogatás</t>
  </si>
  <si>
    <t xml:space="preserve"> ebből: EU-s forrásból finanszírozott támogatással megvalósuló programok, projektek kiadásai ( ÁROP)</t>
  </si>
  <si>
    <t>Hitel-,kölcsöntörlesztés államháztartáson kívülre</t>
  </si>
  <si>
    <t>Köztisztviselő (31 fő*149000 Ft/fő/év)</t>
  </si>
  <si>
    <t>Járulék (  34,22 %)</t>
  </si>
  <si>
    <t>Költségvetési szerv I.</t>
  </si>
  <si>
    <t>03</t>
  </si>
  <si>
    <t>Isaszegi Hétszínvirág Óvoda</t>
  </si>
  <si>
    <t>közalkalmazottak részére (1x6000Ft/hó+1x10000Ft/hó 12 hóra)</t>
  </si>
  <si>
    <t>járulék</t>
  </si>
  <si>
    <t>04</t>
  </si>
  <si>
    <t>Isaszegi Bóbita Óvoda</t>
  </si>
  <si>
    <t>közalkalmazottak részére (10000Ft/hó 12 hóra)</t>
  </si>
  <si>
    <t>05</t>
  </si>
  <si>
    <t>Isaszegi Humánszolgáltató Központ</t>
  </si>
  <si>
    <t>közalkalmazottak részére (6000Ft/hó  12 hóra)</t>
  </si>
  <si>
    <t>06</t>
  </si>
  <si>
    <t>Dózsa György Művelődési Otthon és Isaszegi Múzeumi Kiállítóhely</t>
  </si>
  <si>
    <t>közalkalmazottak részére (6000Ft/hó 12 hóra)</t>
  </si>
  <si>
    <t>07</t>
  </si>
  <si>
    <t>Jókai Mór Városi Könyvtár</t>
  </si>
  <si>
    <t>08</t>
  </si>
  <si>
    <t>Isaszegi Városüzemeltető Szervezet</t>
  </si>
  <si>
    <t>2 fő részére 149.000Ft/fő/év</t>
  </si>
  <si>
    <t>13</t>
  </si>
  <si>
    <t>13 fő közalkalmazott részére 96.860 Ft/fő/év</t>
  </si>
  <si>
    <t>8,75 fő közalkalmazott részére 72000 Ft/fő/év</t>
  </si>
  <si>
    <t>IVÜSZ összes személyi jellegű kifizetéséből a cafeteria személyi előirányzata</t>
  </si>
  <si>
    <t>IVÜSZ összes személyi jellegű kifizetéséből a cafeteria járulék előirányzata</t>
  </si>
  <si>
    <t>Támogatások részletezése 2018. év</t>
  </si>
  <si>
    <t xml:space="preserve">       </t>
  </si>
  <si>
    <t>Megnevezés</t>
  </si>
  <si>
    <t>Nyugdíjas klubok</t>
  </si>
  <si>
    <t>Sportkör</t>
  </si>
  <si>
    <t>Turisztikai célok támogatása</t>
  </si>
  <si>
    <t>Ceglédi Mozgássérültek Egyesülete</t>
  </si>
  <si>
    <t>Szociális és Egészségügyi Bizottság</t>
  </si>
  <si>
    <t>Nyári táborozás</t>
  </si>
  <si>
    <t>Történelmi Lovasegyesület</t>
  </si>
  <si>
    <t>Civil szervezetek támogatása</t>
  </si>
  <si>
    <t>Kultúrális, Közművelődési és Sport Bizottság</t>
  </si>
  <si>
    <t>Pénzügyi, Jogi, Ügyrendi, Vagyonnyilatkozati és összeférhetetlenséget Kezelő Bizottság</t>
  </si>
  <si>
    <t>Polgárőrség</t>
  </si>
  <si>
    <t>Rendőrség támogatása</t>
  </si>
  <si>
    <t>Polgármesteri keret</t>
  </si>
  <si>
    <t>Gödöllő-Vác Térségi Vízgazdálkodási Társulat</t>
  </si>
  <si>
    <t>Nyugdíjas Vasutasok Szervezete</t>
  </si>
  <si>
    <t>Születés Hete</t>
  </si>
  <si>
    <t xml:space="preserve">    Összesen:</t>
  </si>
  <si>
    <t>kész</t>
  </si>
  <si>
    <t>Adatszolgáltatás az elismert tartozás 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</si>
  <si>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</si>
  <si>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</si>
  <si>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</si>
  <si>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</si>
  <si>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</si>
  <si>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</si>
  <si>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</si>
  <si>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</si>
  <si>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</si>
  <si>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</si>
  <si>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Összesen: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</si>
  <si>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</si>
  <si>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</si>
  <si>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</si>
  <si>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</si>
  <si>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</si>
  <si>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</si>
  <si>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7.</t>
  </si>
  <si>
    <t>......................, 2018. .......................... hó ..... nap</t>
  </si>
  <si>
    <t>költségvetési szerv vezetője</t>
  </si>
  <si>
    <t>Isaszeg Város Önkormányzat intézményeinek 2018. évi tervezett energia költségei</t>
  </si>
  <si>
    <t>Intézmény</t>
  </si>
  <si>
    <t>gáz</t>
  </si>
  <si>
    <t>villany</t>
  </si>
  <si>
    <t>víz, csatorna</t>
  </si>
  <si>
    <t>Áfa 27%</t>
  </si>
  <si>
    <t>Mindösszesen</t>
  </si>
  <si>
    <t>Közvilágítás</t>
  </si>
  <si>
    <t>Fogászat</t>
  </si>
  <si>
    <t>Védőnői Szolgálat</t>
  </si>
  <si>
    <t>Polgármesteri Hivatal</t>
  </si>
  <si>
    <t>Művelődési Otthon</t>
  </si>
  <si>
    <t>Könyvtár</t>
  </si>
  <si>
    <t>IVÜSZ</t>
  </si>
  <si>
    <t>Bölcsőde</t>
  </si>
  <si>
    <t>Isaszeg Város Önkormányzat 2018. évi adókból biztosított kedvezményei</t>
  </si>
  <si>
    <t>Bevételi jogcím</t>
  </si>
  <si>
    <t>Kedvezmény nélkül elérhető bevétel</t>
  </si>
  <si>
    <t>Kedvezmények összege</t>
  </si>
  <si>
    <t>Ellátottak térítési díjának méltányossági alapon történő elengedésének összege</t>
  </si>
  <si>
    <t>Lakosság részére lakásépítéshez, lakásfelújításhoz nyújtott kölcsönök elengedésének összege</t>
  </si>
  <si>
    <t>Iparűzési adóból biztosított kedvezmény, mentesség</t>
  </si>
  <si>
    <t>Kommunális adóból biztosított kedvezmény, mentesség</t>
  </si>
  <si>
    <t>Pótlékokra, bírságokra adott mentesség</t>
  </si>
  <si>
    <t>Gépjárműadóból biztosított kedvezmény, mentesség</t>
  </si>
  <si>
    <t>Helyiségek, eszközök hasznosításából származó bevételből nyújtott kedvezmény, mentesség összege</t>
  </si>
  <si>
    <t>Egyéb nyújtott kedvezmény, vagy kölcsön elengedésének összege</t>
  </si>
  <si>
    <t>Isaszegi Sportkör tetőtér beépítés</t>
  </si>
  <si>
    <t>Belsőmajori és Május 1. utca aszfaltozás és csapadékvíz elvezetés 5%, várható bekerülési érték 372.500 E Ft.</t>
  </si>
  <si>
    <t>Isaszegi  Önkéntes Tűzoltó Egyesület</t>
  </si>
  <si>
    <t>Tormay Károly Egészségügyi Központ</t>
  </si>
  <si>
    <t>Nemzetközi-kulturális-sport-és társadalmi kapcsolatok támogatása</t>
  </si>
  <si>
    <t>8. melléklet a3/2018. (II.21.) önkormányzati rendelethez</t>
  </si>
  <si>
    <t>9. melléklet a 3/2018. (II.21.) önkormányzati rendelethez</t>
  </si>
  <si>
    <t>10. melléklet a 3/2018. (II.21.) önkormányzati rendelethez</t>
  </si>
  <si>
    <t>11. melléklet a  3/2018. (II.21.) önkormányzati rendelethez</t>
  </si>
  <si>
    <t>12. melléklet a 3/2018. (II.21.) önkormányzati rendelethez</t>
  </si>
  <si>
    <t>13. melléklet a  3/2018. (II.21.) önkormányzati rendelethez</t>
  </si>
  <si>
    <t>14. melléklet a  3/2018. (II.21.) önkormányzati rendelethez</t>
  </si>
  <si>
    <t>15. melléklet a 3/2018. (II.21.) önkormányzati rendelethez</t>
  </si>
  <si>
    <t>rendeletmódosítás miatti tételet</t>
  </si>
  <si>
    <t>eredeti előirányzat</t>
  </si>
  <si>
    <t xml:space="preserve">2018. </t>
  </si>
  <si>
    <t>módosított előirányzat</t>
  </si>
  <si>
    <t>finanszírozott feladat</t>
  </si>
  <si>
    <t>testületi döntés</t>
  </si>
  <si>
    <t xml:space="preserve"> Általános tartalék</t>
  </si>
  <si>
    <t xml:space="preserve">kulturális illetmény pótlék </t>
  </si>
  <si>
    <t>Szociális ágazati pótlék</t>
  </si>
  <si>
    <t>Személyi kiadások:</t>
  </si>
  <si>
    <t>bérkompenzáció személyi kiadás</t>
  </si>
  <si>
    <t>Járulék kiadások:</t>
  </si>
  <si>
    <t>bérkompenzáció járulék kiadás</t>
  </si>
  <si>
    <t>Dologi kiadások:</t>
  </si>
  <si>
    <t>irányító szervi támogatás rendeletmódosítás miatt</t>
  </si>
  <si>
    <t>Módosított működési tartalék összesen</t>
  </si>
  <si>
    <t>Módosított felhalmozási tartalék összesen</t>
  </si>
  <si>
    <t>Tartalékok összesen</t>
  </si>
  <si>
    <t>adatok e Ft-ban</t>
  </si>
  <si>
    <t xml:space="preserve">Polgármesteri Hivatal </t>
  </si>
  <si>
    <t>intézményfinanszírozás</t>
  </si>
  <si>
    <t>Művelődési ház</t>
  </si>
  <si>
    <t>kulturális illetmény pótlék személyi kiadás</t>
  </si>
  <si>
    <t>kulturális illetmény pótlék járulék kiadás</t>
  </si>
  <si>
    <t>Bóbita Óvoda</t>
  </si>
  <si>
    <t>Hétszínvirág óvoda</t>
  </si>
  <si>
    <t>szociális ágazati pótlék személyi kiadás</t>
  </si>
  <si>
    <t>szociális ágazati pótlék járulék kiadás</t>
  </si>
  <si>
    <t>bérkompenzáció</t>
  </si>
  <si>
    <t>Marcsányi utca 6. sz. alatti ingatlan megvásárlása</t>
  </si>
  <si>
    <t>Hétszínvirág Óvoda energetikai fejlesztése</t>
  </si>
  <si>
    <t>Dózsa György Művelődési Otthon és Isaszegi Múzeumi Kiállítóhely részére számítógép beszerzés</t>
  </si>
  <si>
    <t>Isaszegi Polgármesteri Hivatal részére tárgyi eszköz beszerzése</t>
  </si>
  <si>
    <t xml:space="preserve">Isaszegi Humánszolgáltató Központ és Aprókfalva Bölcsőde felújítási költségei </t>
  </si>
  <si>
    <t>ASP központ tárgyi eszköz beszezése</t>
  </si>
  <si>
    <t>teljesítés</t>
  </si>
  <si>
    <t>teljesítés %-a a módosított előirnyzathoz képest</t>
  </si>
  <si>
    <t>eddig módosított előirányzat</t>
  </si>
  <si>
    <t>teljesítés %-a a módosított előirányzathoz képest</t>
  </si>
  <si>
    <t>2018. II. rendeletmódosítás  tételeinek kimutatása</t>
  </si>
  <si>
    <t>II.rendelet módosítás tételei</t>
  </si>
  <si>
    <t>Tárgyi eszköz értékesítése</t>
  </si>
  <si>
    <t>jó</t>
  </si>
  <si>
    <t>Tárgyi eszköz értékesítés</t>
  </si>
  <si>
    <t>IVÜSZ részére tárgyi eszköz beszerzése</t>
  </si>
  <si>
    <t>Klapka György Általános Iskola és AMI épületenergetikai pályázat</t>
  </si>
  <si>
    <t>Önkormányzat  tárgyi eszköz beszerzés (közfoglalkoztatás, közterületfelügyelet, védőnők  , mezőőrök részére)</t>
  </si>
  <si>
    <t>Isaszegi Sportegyesület</t>
  </si>
  <si>
    <t>PM_ÓVODAFEJLESZTÉS_2017 pályázat alapján az Isaszegi Bóbita Óvoda felújítása</t>
  </si>
  <si>
    <t>PM_ÓVODAFEJLESZTÉS_2017 pályázat alapján az Isaszegi Bóbita Óvoda felújítására pályázati bevétel</t>
  </si>
  <si>
    <t>Karbantartási feladatok ellátására szerződés az Isaszegi Városgazda Nonprofit Kft-vel</t>
  </si>
  <si>
    <t>175/0218.(VII.11.) Kt. Határozat</t>
  </si>
  <si>
    <t>Belterületi utak kátyúzási munkáinak elvégzésére keretszerződés kötése</t>
  </si>
  <si>
    <t>164/2018. (VI.20.) Kt. Határozat</t>
  </si>
  <si>
    <t>ingatlan értékesítés bevétele</t>
  </si>
  <si>
    <t>iparűzési adóbevétel</t>
  </si>
  <si>
    <t>Városi ünnepség kiadásai</t>
  </si>
  <si>
    <t>rendeletmódosítás miatti tételek</t>
  </si>
  <si>
    <t>175/2018.(VII.11.) Kt. határozat:</t>
  </si>
  <si>
    <t>163/2018.(IV.20.) Kt. Határozat</t>
  </si>
  <si>
    <t>2016. évről áthózódó bérkompenzáció</t>
  </si>
  <si>
    <t>gyermekvédelmi kedvezmény</t>
  </si>
  <si>
    <t>ASP működési támogatás rovat javítása</t>
  </si>
  <si>
    <t>Isaszegi Bóbita Óvoda vizesblokk felújítása, padlózatcsere</t>
  </si>
  <si>
    <t>Isaszegi Hétszínvirág Óvoda tető javítás, ablak, padlócsere</t>
  </si>
  <si>
    <t>Dózsa Görgy utcai gyalogosátkelőhely megvilágítása</t>
  </si>
  <si>
    <t>támogatás a Pátria Takarékszövetkezettől</t>
  </si>
  <si>
    <t>támogatás összegének megfelelően a dologi előirányzat növelése</t>
  </si>
  <si>
    <t>ASP személyi kiadás átcsoportosítása Hivatalra</t>
  </si>
  <si>
    <t>ASP járulék kiadás átcsoportosítása Hivatalra</t>
  </si>
  <si>
    <t>Bartók Béla utca- Kodály Zoltán utca aszfaltozása, csapadékvíz elvezetés tervezése, kiépítése, Daköv kompenzáció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</si>
</sst>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\ #,##0.00&quot;       &quot;;\-#,##0.00&quot;       &quot;;&quot; -&quot;#&quot;       &quot;;@\ "/>
    <numFmt numFmtId="166" formatCode="#,###"/>
    <numFmt numFmtId="167" formatCode="#,###.00"/>
    <numFmt numFmtId="168" formatCode="yyyy\-mm\-dd"/>
    <numFmt numFmtId="169" formatCode="0\."/>
    <numFmt numFmtId="170" formatCode="_-* #,##0\ _F_t_-;\-* #,##0\ _F_t_-;_-* \-??\ _F_t_-;_-@_-"/>
    <numFmt numFmtId="171" formatCode="mmm\ d/"/>
    <numFmt numFmtId="172" formatCode="#,##0.00&quot;       &quot;;\-#,##0.00&quot;       &quot;;&quot; -&quot;#&quot;       &quot;;@\ "/>
    <numFmt numFmtId="173" formatCode="#,##0&quot;     &quot;;\-#,##0&quot;     &quot;;&quot; -&quot;#&quot;     &quot;;@\ "/>
    <numFmt numFmtId="174" formatCode="\ #,##0&quot;     &quot;;\-#,##0&quot;     &quot;;&quot; -&quot;#&quot;     &quot;;@\ "/>
    <numFmt numFmtId="175" formatCode="#,##0&quot;       &quot;;\-#,##0&quot;       &quot;;&quot; -&quot;#&quot;       &quot;;@\ "/>
    <numFmt numFmtId="176" formatCode="\ #,##0&quot;       &quot;;\-#,##0&quot;       &quot;;&quot; -&quot;#&quot;       &quot;;@\ "/>
    <numFmt numFmtId="177" formatCode="#,###.0"/>
    <numFmt numFmtId="178" formatCode="\ #,##0.0&quot;       &quot;;\-#,##0.0&quot;       &quot;;&quot; -&quot;#&quot;       &quot;;@\ 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[$¥€-2]\ #\ ##,000_);[Red]\([$€-2]\ #\ ##,000\)"/>
  </numFmts>
  <fonts count="79">
    <font>
      <sz val="10"/>
      <name val="Arial"/>
      <family val="2"/>
    </font>
    <font>
      <sz val="11"/>
      <color indexed="9"/>
      <name val="Calibri"/>
      <family val="2"/>
    </font>
    <font>
      <sz val="10"/>
      <name val="Times New Roman CE"/>
      <family val="1"/>
    </font>
    <font>
      <sz val="12"/>
      <name val="Times New Roman CE"/>
      <family val="1"/>
    </font>
    <font>
      <sz val="1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Times New Roman CE"/>
      <family val="1"/>
    </font>
    <font>
      <b/>
      <sz val="14"/>
      <name val="Times New Roman CE"/>
      <family val="1"/>
    </font>
    <font>
      <i/>
      <sz val="14"/>
      <name val="Times New Roman CE"/>
      <family val="1"/>
    </font>
    <font>
      <i/>
      <sz val="14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 CE"/>
      <family val="1"/>
    </font>
    <font>
      <b/>
      <i/>
      <sz val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 CE"/>
      <family val="2"/>
    </font>
    <font>
      <b/>
      <sz val="15"/>
      <color indexed="8"/>
      <name val="Arial CE"/>
      <family val="2"/>
    </font>
    <font>
      <sz val="15"/>
      <color indexed="8"/>
      <name val="Arial CE"/>
      <family val="0"/>
    </font>
    <font>
      <sz val="14"/>
      <color indexed="8"/>
      <name val="Arial CE"/>
      <family val="2"/>
    </font>
    <font>
      <b/>
      <sz val="16"/>
      <color indexed="8"/>
      <name val="Arial CE"/>
      <family val="2"/>
    </font>
    <font>
      <sz val="13"/>
      <name val="Arial"/>
      <family val="2"/>
    </font>
    <font>
      <b/>
      <i/>
      <sz val="18"/>
      <name val="Arial"/>
      <family val="2"/>
    </font>
    <font>
      <b/>
      <i/>
      <sz val="14"/>
      <color indexed="8"/>
      <name val="Arial CE"/>
      <family val="2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2" fillId="26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27" borderId="5" applyNumberFormat="0" applyAlignment="0" applyProtection="0"/>
    <xf numFmtId="172" fontId="0" fillId="0" borderId="0" applyBorder="0" applyProtection="0">
      <alignment/>
    </xf>
    <xf numFmtId="165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0" fillId="28" borderId="7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71" fillId="35" borderId="0" applyNumberFormat="0" applyBorder="0" applyAlignment="0" applyProtection="0"/>
    <xf numFmtId="0" fontId="72" fillId="36" borderId="8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7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6" fillId="37" borderId="0" applyNumberFormat="0" applyBorder="0" applyAlignment="0" applyProtection="0"/>
    <xf numFmtId="0" fontId="77" fillId="38" borderId="0" applyNumberFormat="0" applyBorder="0" applyAlignment="0" applyProtection="0"/>
    <xf numFmtId="0" fontId="78" fillId="36" borderId="1" applyNumberFormat="0" applyAlignment="0" applyProtection="0"/>
    <xf numFmtId="9" fontId="19" fillId="0" borderId="0" applyBorder="0" applyProtection="0">
      <alignment/>
    </xf>
  </cellStyleXfs>
  <cellXfs count="503">
    <xf numFmtId="0" fontId="0" fillId="0" borderId="0" xfId="0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8" fillId="39" borderId="10" xfId="0" applyFont="1" applyFill="1" applyBorder="1" applyAlignment="1" applyProtection="1">
      <alignment horizontal="center" vertical="center" wrapText="1"/>
      <protection/>
    </xf>
    <xf numFmtId="0" fontId="8" fillId="39" borderId="10" xfId="0" applyFont="1" applyFill="1" applyBorder="1" applyAlignment="1" applyProtection="1">
      <alignment horizontal="left" vertical="center" wrapText="1" indent="1"/>
      <protection/>
    </xf>
    <xf numFmtId="166" fontId="8" fillId="39" borderId="10" xfId="0" applyNumberFormat="1" applyFont="1" applyFill="1" applyBorder="1" applyAlignment="1" applyProtection="1">
      <alignment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 indent="1"/>
      <protection/>
    </xf>
    <xf numFmtId="166" fontId="4" fillId="0" borderId="10" xfId="0" applyNumberFormat="1" applyFont="1" applyFill="1" applyBorder="1" applyAlignment="1" applyProtection="1">
      <alignment vertical="center" wrapText="1"/>
      <protection/>
    </xf>
    <xf numFmtId="166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39" borderId="10" xfId="0" applyNumberFormat="1" applyFont="1" applyFill="1" applyBorder="1" applyAlignment="1" applyProtection="1">
      <alignment horizontal="center" vertical="center" wrapText="1"/>
      <protection/>
    </xf>
    <xf numFmtId="0" fontId="8" fillId="39" borderId="10" xfId="66" applyFont="1" applyFill="1" applyBorder="1" applyAlignment="1" applyProtection="1">
      <alignment horizontal="left" vertical="center" wrapText="1" inden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66" applyFont="1" applyFill="1" applyBorder="1" applyAlignment="1" applyProtection="1">
      <alignment horizontal="left" vertical="center" wrapText="1" inden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66" applyFont="1" applyFill="1" applyBorder="1" applyAlignment="1" applyProtection="1">
      <alignment horizontal="left" vertical="center" wrapText="1" indent="1"/>
      <protection/>
    </xf>
    <xf numFmtId="0" fontId="8" fillId="39" borderId="13" xfId="66" applyFont="1" applyFill="1" applyBorder="1" applyAlignment="1" applyProtection="1">
      <alignment horizontal="left" vertical="center" wrapText="1" indent="1"/>
      <protection/>
    </xf>
    <xf numFmtId="0" fontId="8" fillId="0" borderId="10" xfId="66" applyFont="1" applyFill="1" applyBorder="1" applyAlignment="1" applyProtection="1">
      <alignment horizontal="left" vertical="center" wrapText="1" indent="1"/>
      <protection/>
    </xf>
    <xf numFmtId="49" fontId="8" fillId="39" borderId="10" xfId="66" applyNumberFormat="1" applyFont="1" applyFill="1" applyBorder="1" applyAlignment="1" applyProtection="1">
      <alignment horizontal="center" vertical="center" wrapText="1"/>
      <protection/>
    </xf>
    <xf numFmtId="49" fontId="4" fillId="0" borderId="10" xfId="66" applyNumberFormat="1" applyFont="1" applyFill="1" applyBorder="1" applyAlignment="1" applyProtection="1">
      <alignment horizontal="left" vertical="center" wrapText="1" indent="1"/>
      <protection/>
    </xf>
    <xf numFmtId="49" fontId="4" fillId="39" borderId="10" xfId="66" applyNumberFormat="1" applyFont="1" applyFill="1" applyBorder="1" applyAlignment="1" applyProtection="1">
      <alignment horizontal="left" vertical="center" wrapText="1" indent="1"/>
      <protection/>
    </xf>
    <xf numFmtId="0" fontId="10" fillId="4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49" fontId="4" fillId="0" borderId="13" xfId="66" applyNumberFormat="1" applyFont="1" applyFill="1" applyBorder="1" applyAlignment="1" applyProtection="1">
      <alignment horizontal="left" vertical="center" wrapText="1" indent="1"/>
      <protection/>
    </xf>
    <xf numFmtId="0" fontId="4" fillId="0" borderId="13" xfId="66" applyFont="1" applyFill="1" applyBorder="1" applyAlignment="1" applyProtection="1">
      <alignment horizontal="left" vertical="center" wrapText="1" indent="1"/>
      <protection/>
    </xf>
    <xf numFmtId="166" fontId="4" fillId="0" borderId="10" xfId="0" applyNumberFormat="1" applyFont="1" applyFill="1" applyBorder="1" applyAlignment="1" applyProtection="1">
      <alignment vertical="center" wrapText="1"/>
      <protection locked="0"/>
    </xf>
    <xf numFmtId="0" fontId="4" fillId="0" borderId="10" xfId="66" applyFont="1" applyFill="1" applyBorder="1" applyAlignment="1" applyProtection="1">
      <alignment horizontal="left" vertical="center" wrapText="1" indent="6"/>
      <protection/>
    </xf>
    <xf numFmtId="0" fontId="4" fillId="0" borderId="10" xfId="66" applyFont="1" applyFill="1" applyBorder="1" applyAlignment="1" applyProtection="1">
      <alignment horizontal="left" indent="6"/>
      <protection/>
    </xf>
    <xf numFmtId="166" fontId="8" fillId="39" borderId="1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/>
    </xf>
    <xf numFmtId="0" fontId="9" fillId="0" borderId="10" xfId="66" applyFont="1" applyFill="1" applyBorder="1" applyAlignment="1" applyProtection="1">
      <alignment horizontal="left" vertical="center" wrapText="1" indent="1"/>
      <protection/>
    </xf>
    <xf numFmtId="166" fontId="8" fillId="0" borderId="10" xfId="0" applyNumberFormat="1" applyFont="1" applyFill="1" applyBorder="1" applyAlignment="1" applyProtection="1">
      <alignment vertical="center" wrapText="1"/>
      <protection locked="0"/>
    </xf>
    <xf numFmtId="166" fontId="4" fillId="0" borderId="10" xfId="0" applyNumberFormat="1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 indent="1"/>
      <protection/>
    </xf>
    <xf numFmtId="166" fontId="8" fillId="0" borderId="1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167" fontId="8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1" fontId="13" fillId="0" borderId="0" xfId="0" applyNumberFormat="1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/>
    </xf>
    <xf numFmtId="49" fontId="14" fillId="39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66" applyFont="1" applyFill="1" applyBorder="1" applyAlignment="1" applyProtection="1">
      <alignment horizontal="left" vertical="center" wrapText="1" indent="1"/>
      <protection/>
    </xf>
    <xf numFmtId="49" fontId="14" fillId="39" borderId="10" xfId="66" applyNumberFormat="1" applyFont="1" applyFill="1" applyBorder="1" applyAlignment="1" applyProtection="1">
      <alignment horizontal="center" vertical="center" wrapText="1"/>
      <protection/>
    </xf>
    <xf numFmtId="49" fontId="11" fillId="0" borderId="10" xfId="66" applyNumberFormat="1" applyFont="1" applyFill="1" applyBorder="1" applyAlignment="1" applyProtection="1">
      <alignment horizontal="left" vertical="center" wrapText="1" indent="1"/>
      <protection/>
    </xf>
    <xf numFmtId="3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39" borderId="10" xfId="66" applyFont="1" applyFill="1" applyBorder="1" applyAlignment="1" applyProtection="1">
      <alignment horizontal="left" vertical="center" wrapText="1" indent="1"/>
      <protection/>
    </xf>
    <xf numFmtId="0" fontId="8" fillId="39" borderId="10" xfId="66" applyFont="1" applyFill="1" applyBorder="1" applyAlignment="1" applyProtection="1">
      <alignment horizontal="left" vertical="center" wrapText="1" indent="1"/>
      <protection/>
    </xf>
    <xf numFmtId="166" fontId="8" fillId="39" borderId="10" xfId="0" applyNumberFormat="1" applyFont="1" applyFill="1" applyBorder="1" applyAlignment="1" applyProtection="1">
      <alignment vertical="center" wrapText="1"/>
      <protection locked="0"/>
    </xf>
    <xf numFmtId="49" fontId="11" fillId="0" borderId="13" xfId="66" applyNumberFormat="1" applyFont="1" applyFill="1" applyBorder="1" applyAlignment="1" applyProtection="1">
      <alignment horizontal="left" vertical="center" wrapText="1" indent="1"/>
      <protection/>
    </xf>
    <xf numFmtId="0" fontId="4" fillId="0" borderId="10" xfId="66" applyFont="1" applyFill="1" applyBorder="1" applyAlignment="1" applyProtection="1">
      <alignment horizontal="left" vertical="center" wrapText="1" indent="6"/>
      <protection/>
    </xf>
    <xf numFmtId="0" fontId="4" fillId="0" borderId="10" xfId="66" applyFont="1" applyFill="1" applyBorder="1" applyAlignment="1" applyProtection="1">
      <alignment horizontal="left" vertical="center" wrapText="1" indent="1"/>
      <protection/>
    </xf>
    <xf numFmtId="0" fontId="9" fillId="0" borderId="10" xfId="66" applyFont="1" applyFill="1" applyBorder="1" applyAlignment="1" applyProtection="1">
      <alignment horizontal="left" vertical="center" wrapText="1" indent="1"/>
      <protection/>
    </xf>
    <xf numFmtId="0" fontId="4" fillId="0" borderId="13" xfId="66" applyFont="1" applyFill="1" applyBorder="1" applyAlignment="1" applyProtection="1">
      <alignment horizontal="left" vertical="center" wrapText="1" inden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 inden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11" fillId="0" borderId="14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/>
    </xf>
    <xf numFmtId="0" fontId="14" fillId="0" borderId="15" xfId="0" applyFont="1" applyBorder="1" applyAlignment="1">
      <alignment/>
    </xf>
    <xf numFmtId="0" fontId="14" fillId="0" borderId="10" xfId="0" applyFont="1" applyBorder="1" applyAlignment="1">
      <alignment/>
    </xf>
    <xf numFmtId="0" fontId="14" fillId="39" borderId="10" xfId="0" applyFont="1" applyFill="1" applyBorder="1" applyAlignment="1" applyProtection="1">
      <alignment horizontal="center" vertical="center" wrapText="1"/>
      <protection/>
    </xf>
    <xf numFmtId="0" fontId="14" fillId="39" borderId="10" xfId="0" applyFont="1" applyFill="1" applyBorder="1" applyAlignment="1" applyProtection="1">
      <alignment horizontal="left" vertical="center" wrapText="1" indent="1"/>
      <protection/>
    </xf>
    <xf numFmtId="166" fontId="14" fillId="39" borderId="10" xfId="0" applyNumberFormat="1" applyFont="1" applyFill="1" applyBorder="1" applyAlignment="1" applyProtection="1">
      <alignment vertical="center" wrapText="1"/>
      <protection/>
    </xf>
    <xf numFmtId="0" fontId="14" fillId="39" borderId="10" xfId="66" applyFont="1" applyFill="1" applyBorder="1" applyAlignment="1" applyProtection="1">
      <alignment horizontal="left" vertical="center" wrapText="1" indent="1"/>
      <protection/>
    </xf>
    <xf numFmtId="0" fontId="14" fillId="39" borderId="10" xfId="66" applyFont="1" applyFill="1" applyBorder="1" applyAlignment="1" applyProtection="1">
      <alignment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166" fontId="11" fillId="0" borderId="10" xfId="0" applyNumberFormat="1" applyFont="1" applyFill="1" applyBorder="1" applyAlignment="1" applyProtection="1">
      <alignment vertical="center" wrapText="1"/>
      <protection/>
    </xf>
    <xf numFmtId="49" fontId="11" fillId="0" borderId="13" xfId="66" applyNumberFormat="1" applyFont="1" applyFill="1" applyBorder="1" applyAlignment="1" applyProtection="1">
      <alignment horizontal="left" vertical="center" wrapText="1" indent="1"/>
      <protection/>
    </xf>
    <xf numFmtId="0" fontId="11" fillId="0" borderId="13" xfId="66" applyFont="1" applyFill="1" applyBorder="1" applyAlignment="1" applyProtection="1">
      <alignment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66" applyNumberFormat="1" applyFont="1" applyFill="1" applyBorder="1" applyAlignment="1" applyProtection="1">
      <alignment horizontal="left" vertical="center" wrapText="1" indent="1"/>
      <protection/>
    </xf>
    <xf numFmtId="0" fontId="11" fillId="0" borderId="10" xfId="66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 indent="1"/>
      <protection/>
    </xf>
    <xf numFmtId="166" fontId="14" fillId="0" borderId="10" xfId="0" applyNumberFormat="1" applyFont="1" applyFill="1" applyBorder="1" applyAlignment="1" applyProtection="1">
      <alignment vertical="center" wrapText="1"/>
      <protection/>
    </xf>
    <xf numFmtId="49" fontId="14" fillId="39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wrapText="1"/>
    </xf>
    <xf numFmtId="49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/>
    </xf>
    <xf numFmtId="0" fontId="14" fillId="39" borderId="13" xfId="66" applyFont="1" applyFill="1" applyBorder="1" applyAlignment="1" applyProtection="1">
      <alignment horizontal="left" vertical="center" wrapText="1" inden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Border="1" applyAlignment="1">
      <alignment/>
    </xf>
    <xf numFmtId="49" fontId="14" fillId="39" borderId="10" xfId="66" applyNumberFormat="1" applyFont="1" applyFill="1" applyBorder="1" applyAlignment="1" applyProtection="1">
      <alignment horizontal="center" vertical="center" wrapText="1"/>
      <protection/>
    </xf>
    <xf numFmtId="0" fontId="14" fillId="0" borderId="10" xfId="66" applyFont="1" applyFill="1" applyBorder="1" applyAlignment="1" applyProtection="1">
      <alignment vertical="center" wrapText="1"/>
      <protection/>
    </xf>
    <xf numFmtId="3" fontId="12" fillId="0" borderId="10" xfId="0" applyNumberFormat="1" applyFont="1" applyBorder="1" applyAlignment="1">
      <alignment/>
    </xf>
    <xf numFmtId="0" fontId="14" fillId="0" borderId="10" xfId="0" applyFont="1" applyFill="1" applyBorder="1" applyAlignment="1" applyProtection="1">
      <alignment vertical="center" wrapText="1"/>
      <protection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12" fillId="39" borderId="15" xfId="0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/>
    </xf>
    <xf numFmtId="0" fontId="14" fillId="39" borderId="10" xfId="66" applyFont="1" applyFill="1" applyBorder="1" applyAlignment="1" applyProtection="1">
      <alignment horizontal="left" vertical="center" wrapText="1"/>
      <protection/>
    </xf>
    <xf numFmtId="0" fontId="12" fillId="0" borderId="15" xfId="0" applyFont="1" applyBorder="1" applyAlignment="1">
      <alignment horizontal="center" vertical="center"/>
    </xf>
    <xf numFmtId="0" fontId="11" fillId="0" borderId="13" xfId="66" applyFont="1" applyFill="1" applyBorder="1" applyAlignment="1" applyProtection="1">
      <alignment horizontal="left" vertical="center" wrapText="1" indent="1"/>
      <protection/>
    </xf>
    <xf numFmtId="0" fontId="11" fillId="0" borderId="10" xfId="66" applyFont="1" applyFill="1" applyBorder="1" applyAlignment="1" applyProtection="1">
      <alignment horizontal="left" vertical="center" wrapText="1"/>
      <protection/>
    </xf>
    <xf numFmtId="0" fontId="13" fillId="0" borderId="15" xfId="0" applyFont="1" applyBorder="1" applyAlignment="1">
      <alignment horizontal="center" vertical="center"/>
    </xf>
    <xf numFmtId="168" fontId="12" fillId="39" borderId="15" xfId="0" applyNumberFormat="1" applyFont="1" applyFill="1" applyBorder="1" applyAlignment="1">
      <alignment horizontal="center" vertical="center"/>
    </xf>
    <xf numFmtId="0" fontId="13" fillId="39" borderId="10" xfId="0" applyFont="1" applyFill="1" applyBorder="1" applyAlignment="1">
      <alignment/>
    </xf>
    <xf numFmtId="0" fontId="14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left"/>
    </xf>
    <xf numFmtId="3" fontId="14" fillId="0" borderId="0" xfId="0" applyNumberFormat="1" applyFont="1" applyBorder="1" applyAlignment="1">
      <alignment/>
    </xf>
    <xf numFmtId="0" fontId="16" fillId="0" borderId="0" xfId="66" applyFont="1" applyFill="1">
      <alignment/>
      <protection/>
    </xf>
    <xf numFmtId="166" fontId="14" fillId="0" borderId="0" xfId="66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/>
      <protection/>
    </xf>
    <xf numFmtId="169" fontId="14" fillId="0" borderId="12" xfId="66" applyNumberFormat="1" applyFont="1" applyFill="1" applyBorder="1" applyAlignment="1">
      <alignment horizontal="center" vertical="center" wrapText="1"/>
      <protection/>
    </xf>
    <xf numFmtId="0" fontId="11" fillId="0" borderId="16" xfId="66" applyFont="1" applyFill="1" applyBorder="1" applyAlignment="1">
      <alignment horizontal="center" vertical="center"/>
      <protection/>
    </xf>
    <xf numFmtId="0" fontId="11" fillId="0" borderId="17" xfId="66" applyFont="1" applyFill="1" applyBorder="1" applyAlignment="1">
      <alignment horizontal="center" vertical="center"/>
      <protection/>
    </xf>
    <xf numFmtId="0" fontId="11" fillId="0" borderId="18" xfId="66" applyFont="1" applyFill="1" applyBorder="1" applyAlignment="1">
      <alignment horizontal="center" vertical="center"/>
      <protection/>
    </xf>
    <xf numFmtId="0" fontId="11" fillId="0" borderId="19" xfId="66" applyFont="1" applyFill="1" applyBorder="1" applyAlignment="1">
      <alignment horizontal="center" vertical="center"/>
      <protection/>
    </xf>
    <xf numFmtId="0" fontId="11" fillId="0" borderId="13" xfId="66" applyFont="1" applyFill="1" applyBorder="1" applyProtection="1">
      <alignment/>
      <protection locked="0"/>
    </xf>
    <xf numFmtId="170" fontId="11" fillId="0" borderId="13" xfId="47" applyNumberFormat="1" applyFont="1" applyFill="1" applyBorder="1" applyAlignment="1" applyProtection="1">
      <alignment/>
      <protection locked="0"/>
    </xf>
    <xf numFmtId="170" fontId="11" fillId="0" borderId="20" xfId="47" applyNumberFormat="1" applyFont="1" applyFill="1" applyBorder="1" applyAlignment="1" applyProtection="1">
      <alignment/>
      <protection/>
    </xf>
    <xf numFmtId="0" fontId="11" fillId="0" borderId="21" xfId="66" applyFont="1" applyFill="1" applyBorder="1" applyAlignment="1">
      <alignment horizontal="center" vertical="center"/>
      <protection/>
    </xf>
    <xf numFmtId="0" fontId="11" fillId="0" borderId="10" xfId="66" applyFont="1" applyFill="1" applyBorder="1" applyProtection="1">
      <alignment/>
      <protection locked="0"/>
    </xf>
    <xf numFmtId="170" fontId="11" fillId="0" borderId="10" xfId="47" applyNumberFormat="1" applyFont="1" applyFill="1" applyBorder="1" applyAlignment="1" applyProtection="1">
      <alignment/>
      <protection locked="0"/>
    </xf>
    <xf numFmtId="170" fontId="11" fillId="0" borderId="22" xfId="47" applyNumberFormat="1" applyFont="1" applyFill="1" applyBorder="1" applyAlignment="1" applyProtection="1">
      <alignment/>
      <protection/>
    </xf>
    <xf numFmtId="0" fontId="11" fillId="0" borderId="23" xfId="66" applyFont="1" applyFill="1" applyBorder="1" applyAlignment="1">
      <alignment horizontal="center" vertical="center"/>
      <protection/>
    </xf>
    <xf numFmtId="0" fontId="11" fillId="0" borderId="12" xfId="66" applyFont="1" applyFill="1" applyBorder="1" applyProtection="1">
      <alignment/>
      <protection locked="0"/>
    </xf>
    <xf numFmtId="170" fontId="11" fillId="0" borderId="12" xfId="47" applyNumberFormat="1" applyFont="1" applyFill="1" applyBorder="1" applyAlignment="1" applyProtection="1">
      <alignment/>
      <protection locked="0"/>
    </xf>
    <xf numFmtId="0" fontId="14" fillId="0" borderId="16" xfId="66" applyFont="1" applyFill="1" applyBorder="1" applyAlignment="1">
      <alignment horizontal="center" vertical="center"/>
      <protection/>
    </xf>
    <xf numFmtId="0" fontId="14" fillId="0" borderId="17" xfId="66" applyFont="1" applyFill="1" applyBorder="1">
      <alignment/>
      <protection/>
    </xf>
    <xf numFmtId="170" fontId="14" fillId="0" borderId="17" xfId="66" applyNumberFormat="1" applyFont="1" applyFill="1" applyBorder="1">
      <alignment/>
      <protection/>
    </xf>
    <xf numFmtId="170" fontId="14" fillId="0" borderId="18" xfId="66" applyNumberFormat="1" applyFont="1" applyFill="1" applyBorder="1">
      <alignment/>
      <protection/>
    </xf>
    <xf numFmtId="0" fontId="18" fillId="0" borderId="0" xfId="66" applyFont="1" applyFill="1">
      <alignment/>
      <protection/>
    </xf>
    <xf numFmtId="0" fontId="14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" fontId="11" fillId="0" borderId="0" xfId="0" applyNumberFormat="1" applyFont="1" applyAlignment="1">
      <alignment/>
    </xf>
    <xf numFmtId="171" fontId="14" fillId="39" borderId="10" xfId="0" applyNumberFormat="1" applyFont="1" applyFill="1" applyBorder="1" applyAlignment="1">
      <alignment horizontal="left"/>
    </xf>
    <xf numFmtId="173" fontId="11" fillId="0" borderId="10" xfId="46" applyNumberFormat="1" applyFont="1" applyBorder="1" applyAlignment="1" applyProtection="1">
      <alignment/>
      <protection/>
    </xf>
    <xf numFmtId="0" fontId="11" fillId="0" borderId="15" xfId="0" applyFont="1" applyBorder="1" applyAlignment="1">
      <alignment/>
    </xf>
    <xf numFmtId="173" fontId="11" fillId="0" borderId="10" xfId="46" applyNumberFormat="1" applyFont="1" applyBorder="1" applyAlignment="1" applyProtection="1">
      <alignment horizontal="right"/>
      <protection/>
    </xf>
    <xf numFmtId="171" fontId="11" fillId="0" borderId="10" xfId="0" applyNumberFormat="1" applyFont="1" applyBorder="1" applyAlignment="1">
      <alignment horizontal="left"/>
    </xf>
    <xf numFmtId="0" fontId="14" fillId="39" borderId="0" xfId="0" applyFont="1" applyFill="1" applyAlignment="1">
      <alignment/>
    </xf>
    <xf numFmtId="173" fontId="14" fillId="0" borderId="15" xfId="0" applyNumberFormat="1" applyFont="1" applyBorder="1" applyAlignment="1">
      <alignment/>
    </xf>
    <xf numFmtId="173" fontId="14" fillId="0" borderId="10" xfId="0" applyNumberFormat="1" applyFont="1" applyBorder="1" applyAlignment="1">
      <alignment/>
    </xf>
    <xf numFmtId="173" fontId="11" fillId="0" borderId="10" xfId="0" applyNumberFormat="1" applyFont="1" applyBorder="1" applyAlignment="1">
      <alignment/>
    </xf>
    <xf numFmtId="174" fontId="14" fillId="0" borderId="15" xfId="0" applyNumberFormat="1" applyFont="1" applyBorder="1" applyAlignment="1">
      <alignment/>
    </xf>
    <xf numFmtId="174" fontId="14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39" borderId="10" xfId="0" applyFont="1" applyFill="1" applyBorder="1" applyAlignment="1">
      <alignment/>
    </xf>
    <xf numFmtId="174" fontId="14" fillId="39" borderId="10" xfId="50" applyNumberFormat="1" applyFont="1" applyFill="1" applyBorder="1" applyAlignment="1" applyProtection="1">
      <alignment/>
      <protection/>
    </xf>
    <xf numFmtId="174" fontId="15" fillId="0" borderId="15" xfId="50" applyNumberFormat="1" applyFont="1" applyFill="1" applyBorder="1" applyAlignment="1" applyProtection="1">
      <alignment/>
      <protection/>
    </xf>
    <xf numFmtId="174" fontId="15" fillId="0" borderId="10" xfId="50" applyNumberFormat="1" applyFont="1" applyFill="1" applyBorder="1" applyAlignment="1" applyProtection="1">
      <alignment/>
      <protection/>
    </xf>
    <xf numFmtId="171" fontId="14" fillId="0" borderId="10" xfId="0" applyNumberFormat="1" applyFont="1" applyBorder="1" applyAlignment="1">
      <alignment horizontal="left"/>
    </xf>
    <xf numFmtId="0" fontId="15" fillId="0" borderId="10" xfId="0" applyFont="1" applyBorder="1" applyAlignment="1">
      <alignment/>
    </xf>
    <xf numFmtId="174" fontId="14" fillId="0" borderId="10" xfId="5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174" fontId="11" fillId="0" borderId="10" xfId="50" applyNumberFormat="1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174" fontId="11" fillId="0" borderId="10" xfId="0" applyNumberFormat="1" applyFont="1" applyBorder="1" applyAlignment="1">
      <alignment/>
    </xf>
    <xf numFmtId="171" fontId="15" fillId="0" borderId="10" xfId="0" applyNumberFormat="1" applyFont="1" applyBorder="1" applyAlignment="1">
      <alignment horizontal="left"/>
    </xf>
    <xf numFmtId="173" fontId="15" fillId="0" borderId="15" xfId="46" applyNumberFormat="1" applyFont="1" applyBorder="1" applyAlignment="1" applyProtection="1">
      <alignment/>
      <protection/>
    </xf>
    <xf numFmtId="173" fontId="15" fillId="0" borderId="10" xfId="46" applyNumberFormat="1" applyFont="1" applyBorder="1" applyAlignment="1" applyProtection="1">
      <alignment/>
      <protection/>
    </xf>
    <xf numFmtId="0" fontId="15" fillId="39" borderId="0" xfId="0" applyFont="1" applyFill="1" applyAlignment="1">
      <alignment/>
    </xf>
    <xf numFmtId="171" fontId="14" fillId="0" borderId="10" xfId="0" applyNumberFormat="1" applyFont="1" applyFill="1" applyBorder="1" applyAlignment="1">
      <alignment horizontal="left"/>
    </xf>
    <xf numFmtId="175" fontId="11" fillId="0" borderId="10" xfId="47" applyNumberFormat="1" applyFon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9" fontId="11" fillId="0" borderId="10" xfId="73" applyFont="1" applyBorder="1" applyAlignment="1" applyProtection="1">
      <alignment/>
      <protection/>
    </xf>
    <xf numFmtId="174" fontId="15" fillId="39" borderId="10" xfId="50" applyNumberFormat="1" applyFont="1" applyFill="1" applyBorder="1" applyAlignment="1" applyProtection="1">
      <alignment/>
      <protection/>
    </xf>
    <xf numFmtId="0" fontId="14" fillId="39" borderId="10" xfId="0" applyFont="1" applyFill="1" applyBorder="1" applyAlignment="1">
      <alignment wrapText="1"/>
    </xf>
    <xf numFmtId="174" fontId="14" fillId="41" borderId="10" xfId="50" applyNumberFormat="1" applyFont="1" applyFill="1" applyBorder="1" applyAlignment="1" applyProtection="1">
      <alignment wrapText="1"/>
      <protection/>
    </xf>
    <xf numFmtId="174" fontId="14" fillId="41" borderId="10" xfId="50" applyNumberFormat="1" applyFont="1" applyFill="1" applyBorder="1" applyAlignment="1" applyProtection="1">
      <alignment/>
      <protection/>
    </xf>
    <xf numFmtId="176" fontId="11" fillId="0" borderId="10" xfId="47" applyNumberFormat="1" applyFont="1" applyFill="1" applyBorder="1" applyAlignment="1" applyProtection="1">
      <alignment/>
      <protection/>
    </xf>
    <xf numFmtId="3" fontId="11" fillId="0" borderId="10" xfId="0" applyNumberFormat="1" applyFont="1" applyBorder="1" applyAlignment="1">
      <alignment horizontal="center"/>
    </xf>
    <xf numFmtId="0" fontId="11" fillId="42" borderId="10" xfId="0" applyFont="1" applyFill="1" applyBorder="1" applyAlignment="1">
      <alignment/>
    </xf>
    <xf numFmtId="0" fontId="14" fillId="42" borderId="10" xfId="0" applyFont="1" applyFill="1" applyBorder="1" applyAlignment="1">
      <alignment wrapText="1"/>
    </xf>
    <xf numFmtId="174" fontId="14" fillId="42" borderId="10" xfId="0" applyNumberFormat="1" applyFont="1" applyFill="1" applyBorder="1" applyAlignment="1">
      <alignment/>
    </xf>
    <xf numFmtId="174" fontId="11" fillId="0" borderId="0" xfId="0" applyNumberFormat="1" applyFont="1" applyAlignment="1">
      <alignment/>
    </xf>
    <xf numFmtId="0" fontId="11" fillId="0" borderId="0" xfId="66" applyFont="1" applyFill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4" fillId="0" borderId="24" xfId="66" applyFont="1" applyFill="1" applyBorder="1" applyAlignment="1" applyProtection="1">
      <alignment horizontal="center" vertical="center" wrapText="1"/>
      <protection/>
    </xf>
    <xf numFmtId="0" fontId="14" fillId="0" borderId="25" xfId="66" applyFont="1" applyFill="1" applyBorder="1" applyAlignment="1" applyProtection="1">
      <alignment horizontal="center" vertical="center" wrapText="1"/>
      <protection/>
    </xf>
    <xf numFmtId="0" fontId="14" fillId="0" borderId="26" xfId="66" applyFont="1" applyFill="1" applyBorder="1" applyAlignment="1" applyProtection="1">
      <alignment horizontal="center" vertical="center" wrapText="1"/>
      <protection/>
    </xf>
    <xf numFmtId="0" fontId="11" fillId="0" borderId="16" xfId="66" applyFont="1" applyFill="1" applyBorder="1" applyAlignment="1" applyProtection="1">
      <alignment horizontal="center" vertical="center"/>
      <protection/>
    </xf>
    <xf numFmtId="0" fontId="14" fillId="0" borderId="17" xfId="66" applyFont="1" applyFill="1" applyBorder="1" applyAlignment="1" applyProtection="1">
      <alignment horizontal="center" vertical="center"/>
      <protection/>
    </xf>
    <xf numFmtId="0" fontId="14" fillId="0" borderId="18" xfId="66" applyFont="1" applyFill="1" applyBorder="1" applyAlignment="1" applyProtection="1">
      <alignment horizontal="center" vertical="center"/>
      <protection/>
    </xf>
    <xf numFmtId="0" fontId="11" fillId="0" borderId="24" xfId="66" applyFont="1" applyFill="1" applyBorder="1" applyAlignment="1" applyProtection="1">
      <alignment horizontal="center" vertical="center"/>
      <protection/>
    </xf>
    <xf numFmtId="0" fontId="11" fillId="0" borderId="13" xfId="66" applyFont="1" applyFill="1" applyBorder="1" applyProtection="1">
      <alignment/>
      <protection/>
    </xf>
    <xf numFmtId="170" fontId="11" fillId="0" borderId="27" xfId="47" applyNumberFormat="1" applyFont="1" applyFill="1" applyBorder="1" applyAlignment="1" applyProtection="1">
      <alignment/>
      <protection locked="0"/>
    </xf>
    <xf numFmtId="0" fontId="11" fillId="0" borderId="21" xfId="66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justify" wrapText="1"/>
    </xf>
    <xf numFmtId="170" fontId="11" fillId="0" borderId="28" xfId="47" applyNumberFormat="1" applyFont="1" applyFill="1" applyBorder="1" applyAlignment="1" applyProtection="1">
      <alignment/>
      <protection locked="0"/>
    </xf>
    <xf numFmtId="0" fontId="11" fillId="0" borderId="10" xfId="0" applyFont="1" applyBorder="1" applyAlignment="1">
      <alignment wrapText="1"/>
    </xf>
    <xf numFmtId="0" fontId="11" fillId="0" borderId="23" xfId="66" applyFont="1" applyFill="1" applyBorder="1" applyAlignment="1" applyProtection="1">
      <alignment horizontal="center" vertical="center"/>
      <protection/>
    </xf>
    <xf numFmtId="170" fontId="11" fillId="0" borderId="29" xfId="47" applyNumberFormat="1" applyFont="1" applyFill="1" applyBorder="1" applyAlignment="1" applyProtection="1">
      <alignment/>
      <protection locked="0"/>
    </xf>
    <xf numFmtId="0" fontId="11" fillId="0" borderId="30" xfId="0" applyFont="1" applyBorder="1" applyAlignment="1">
      <alignment wrapText="1"/>
    </xf>
    <xf numFmtId="170" fontId="14" fillId="0" borderId="18" xfId="47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31" xfId="0" applyFont="1" applyBorder="1" applyAlignment="1">
      <alignment horizontal="right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1" fontId="12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2" fontId="11" fillId="0" borderId="10" xfId="0" applyNumberFormat="1" applyFont="1" applyFill="1" applyBorder="1" applyAlignment="1">
      <alignment wrapText="1"/>
    </xf>
    <xf numFmtId="166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166" fontId="20" fillId="0" borderId="0" xfId="0" applyNumberFormat="1" applyFont="1" applyFill="1" applyBorder="1" applyAlignment="1" applyProtection="1">
      <alignment vertical="center" wrapText="1"/>
      <protection locked="0"/>
    </xf>
    <xf numFmtId="166" fontId="21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Alignment="1">
      <alignment vertical="center" wrapText="1"/>
    </xf>
    <xf numFmtId="166" fontId="22" fillId="0" borderId="0" xfId="0" applyNumberFormat="1" applyFont="1" applyFill="1" applyAlignment="1">
      <alignment vertical="center" wrapText="1"/>
    </xf>
    <xf numFmtId="166" fontId="11" fillId="0" borderId="0" xfId="0" applyNumberFormat="1" applyFont="1" applyFill="1" applyAlignment="1" applyProtection="1">
      <alignment vertical="center" wrapText="1"/>
      <protection/>
    </xf>
    <xf numFmtId="0" fontId="11" fillId="0" borderId="0" xfId="0" applyFont="1" applyAlignment="1" applyProtection="1">
      <alignment horizontal="right" vertical="top"/>
      <protection locked="0"/>
    </xf>
    <xf numFmtId="0" fontId="23" fillId="0" borderId="0" xfId="0" applyFont="1" applyFill="1" applyAlignment="1">
      <alignment vertical="center"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right" vertical="center"/>
      <protection/>
    </xf>
    <xf numFmtId="0" fontId="14" fillId="0" borderId="32" xfId="0" applyFont="1" applyFill="1" applyBorder="1" applyAlignment="1" applyProtection="1">
      <alignment vertical="center"/>
      <protection/>
    </xf>
    <xf numFmtId="0" fontId="14" fillId="0" borderId="33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horizontal="right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horizontal="center" vertical="center" wrapText="1"/>
    </xf>
    <xf numFmtId="0" fontId="14" fillId="0" borderId="34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vertical="center" wrapText="1"/>
      <protection/>
    </xf>
    <xf numFmtId="166" fontId="14" fillId="0" borderId="10" xfId="0" applyNumberFormat="1" applyFont="1" applyFill="1" applyBorder="1" applyAlignment="1" applyProtection="1">
      <alignment vertical="center" wrapText="1"/>
      <protection/>
    </xf>
    <xf numFmtId="0" fontId="24" fillId="0" borderId="0" xfId="0" applyFont="1" applyFill="1" applyAlignment="1">
      <alignment vertical="center" wrapText="1"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166" fontId="11" fillId="0" borderId="10" xfId="0" applyNumberFormat="1" applyFont="1" applyFill="1" applyBorder="1" applyAlignment="1" applyProtection="1">
      <alignment vertical="center" wrapText="1"/>
      <protection/>
    </xf>
    <xf numFmtId="0" fontId="22" fillId="0" borderId="0" xfId="0" applyFont="1" applyFill="1" applyAlignment="1">
      <alignment vertical="center" wrapText="1"/>
    </xf>
    <xf numFmtId="166" fontId="11" fillId="0" borderId="10" xfId="0" applyNumberFormat="1" applyFont="1" applyFill="1" applyBorder="1" applyAlignment="1" applyProtection="1">
      <alignment vertical="center" wrapText="1"/>
      <protection locked="0"/>
    </xf>
    <xf numFmtId="0" fontId="24" fillId="0" borderId="10" xfId="0" applyFont="1" applyFill="1" applyBorder="1" applyAlignment="1">
      <alignment vertical="center" wrapText="1"/>
    </xf>
    <xf numFmtId="166" fontId="14" fillId="0" borderId="10" xfId="0" applyNumberFormat="1" applyFont="1" applyFill="1" applyBorder="1" applyAlignment="1" applyProtection="1">
      <alignment vertical="center" wrapText="1"/>
      <protection locked="0"/>
    </xf>
    <xf numFmtId="0" fontId="14" fillId="0" borderId="10" xfId="66" applyFont="1" applyFill="1" applyBorder="1" applyAlignment="1" applyProtection="1">
      <alignment vertical="center" wrapText="1"/>
      <protection/>
    </xf>
    <xf numFmtId="0" fontId="11" fillId="0" borderId="11" xfId="66" applyFont="1" applyFill="1" applyBorder="1" applyAlignment="1" applyProtection="1">
      <alignment vertical="center" wrapText="1"/>
      <protection/>
    </xf>
    <xf numFmtId="166" fontId="11" fillId="0" borderId="11" xfId="0" applyNumberFormat="1" applyFont="1" applyFill="1" applyBorder="1" applyAlignment="1" applyProtection="1">
      <alignment vertical="center" wrapText="1"/>
      <protection locked="0"/>
    </xf>
    <xf numFmtId="0" fontId="22" fillId="0" borderId="10" xfId="0" applyFont="1" applyFill="1" applyBorder="1" applyAlignment="1">
      <alignment vertical="center" wrapText="1"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66" applyFont="1" applyFill="1" applyBorder="1" applyAlignment="1" applyProtection="1">
      <alignment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14" fillId="0" borderId="13" xfId="66" applyFont="1" applyFill="1" applyBorder="1" applyAlignment="1" applyProtection="1">
      <alignment vertical="center" wrapText="1"/>
      <protection/>
    </xf>
    <xf numFmtId="49" fontId="14" fillId="0" borderId="10" xfId="66" applyNumberFormat="1" applyFont="1" applyFill="1" applyBorder="1" applyAlignment="1" applyProtection="1">
      <alignment horizontal="center" vertical="center" wrapText="1"/>
      <protection/>
    </xf>
    <xf numFmtId="3" fontId="22" fillId="0" borderId="1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left" vertical="center" wrapText="1" indent="1"/>
      <protection/>
    </xf>
    <xf numFmtId="166" fontId="14" fillId="0" borderId="0" xfId="0" applyNumberFormat="1" applyFont="1" applyFill="1" applyBorder="1" applyAlignment="1" applyProtection="1">
      <alignment vertical="center" wrapText="1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4" fillId="0" borderId="10" xfId="66" applyFont="1" applyFill="1" applyBorder="1" applyAlignment="1" applyProtection="1">
      <alignment horizontal="left" vertical="center" wrapText="1"/>
      <protection/>
    </xf>
    <xf numFmtId="0" fontId="11" fillId="0" borderId="13" xfId="66" applyFont="1" applyFill="1" applyBorder="1" applyAlignment="1" applyProtection="1">
      <alignment horizontal="left" vertical="center" wrapText="1"/>
      <protection/>
    </xf>
    <xf numFmtId="0" fontId="11" fillId="0" borderId="10" xfId="66" applyFont="1" applyFill="1" applyBorder="1" applyAlignment="1" applyProtection="1">
      <alignment horizontal="left" vertical="center" wrapText="1"/>
      <protection/>
    </xf>
    <xf numFmtId="0" fontId="11" fillId="0" borderId="10" xfId="66" applyFont="1" applyFill="1" applyBorder="1" applyAlignment="1" applyProtection="1">
      <alignment horizontal="left"/>
      <protection/>
    </xf>
    <xf numFmtId="171" fontId="11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5" fillId="0" borderId="10" xfId="66" applyFont="1" applyFill="1" applyBorder="1" applyAlignment="1" applyProtection="1">
      <alignment horizontal="left" vertical="center" wrapText="1"/>
      <protection/>
    </xf>
    <xf numFmtId="166" fontId="15" fillId="0" borderId="10" xfId="0" applyNumberFormat="1" applyFont="1" applyFill="1" applyBorder="1" applyAlignment="1" applyProtection="1">
      <alignment vertical="center" wrapText="1"/>
      <protection/>
    </xf>
    <xf numFmtId="0" fontId="14" fillId="0" borderId="1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4" fillId="0" borderId="10" xfId="0" applyFont="1" applyFill="1" applyBorder="1" applyAlignment="1" applyProtection="1">
      <alignment horizontal="left" vertical="center"/>
      <protection/>
    </xf>
    <xf numFmtId="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" fontId="11" fillId="0" borderId="0" xfId="0" applyNumberFormat="1" applyFont="1" applyFill="1" applyAlignment="1">
      <alignment vertical="center" wrapText="1"/>
    </xf>
    <xf numFmtId="168" fontId="11" fillId="0" borderId="0" xfId="0" applyNumberFormat="1" applyFont="1" applyFill="1" applyAlignment="1">
      <alignment horizontal="right" vertical="center" wrapText="1"/>
    </xf>
    <xf numFmtId="0" fontId="11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left" vertical="center" wrapText="1"/>
    </xf>
    <xf numFmtId="1" fontId="14" fillId="0" borderId="0" xfId="0" applyNumberFormat="1" applyFont="1" applyFill="1" applyAlignment="1">
      <alignment vertical="center" wrapText="1"/>
    </xf>
    <xf numFmtId="166" fontId="11" fillId="0" borderId="0" xfId="0" applyNumberFormat="1" applyFont="1" applyFill="1" applyAlignment="1" applyProtection="1">
      <alignment vertical="center" wrapText="1"/>
      <protection locked="0"/>
    </xf>
    <xf numFmtId="166" fontId="11" fillId="0" borderId="0" xfId="0" applyNumberFormat="1" applyFont="1" applyFill="1" applyAlignment="1">
      <alignment vertical="center" wrapText="1"/>
    </xf>
    <xf numFmtId="49" fontId="14" fillId="0" borderId="10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49" fontId="14" fillId="0" borderId="33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4" fontId="11" fillId="0" borderId="0" xfId="0" applyNumberFormat="1" applyFont="1" applyFill="1" applyAlignment="1">
      <alignment vertical="center" wrapText="1"/>
    </xf>
    <xf numFmtId="3" fontId="26" fillId="0" borderId="0" xfId="0" applyNumberFormat="1" applyFont="1" applyBorder="1" applyAlignment="1">
      <alignment horizontal="center"/>
    </xf>
    <xf numFmtId="3" fontId="26" fillId="0" borderId="0" xfId="0" applyNumberFormat="1" applyFont="1" applyAlignment="1">
      <alignment/>
    </xf>
    <xf numFmtId="3" fontId="26" fillId="0" borderId="0" xfId="0" applyNumberFormat="1" applyFont="1" applyBorder="1" applyAlignment="1">
      <alignment/>
    </xf>
    <xf numFmtId="3" fontId="27" fillId="0" borderId="10" xfId="0" applyNumberFormat="1" applyFont="1" applyBorder="1" applyAlignment="1">
      <alignment horizontal="center"/>
    </xf>
    <xf numFmtId="3" fontId="26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 wrapText="1"/>
    </xf>
    <xf numFmtId="3" fontId="26" fillId="0" borderId="12" xfId="0" applyNumberFormat="1" applyFont="1" applyBorder="1" applyAlignment="1">
      <alignment/>
    </xf>
    <xf numFmtId="3" fontId="27" fillId="0" borderId="10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0" fontId="0" fillId="0" borderId="0" xfId="0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16" fillId="0" borderId="0" xfId="0" applyFont="1" applyFill="1" applyAlignment="1">
      <alignment/>
    </xf>
    <xf numFmtId="0" fontId="30" fillId="0" borderId="1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 horizontal="center" vertical="center" wrapText="1"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28" fillId="0" borderId="13" xfId="0" applyFont="1" applyFill="1" applyBorder="1" applyAlignment="1" applyProtection="1">
      <alignment vertical="center" wrapText="1"/>
      <protection/>
    </xf>
    <xf numFmtId="166" fontId="28" fillId="0" borderId="13" xfId="0" applyNumberFormat="1" applyFont="1" applyFill="1" applyBorder="1" applyAlignment="1" applyProtection="1">
      <alignment vertical="center"/>
      <protection locked="0"/>
    </xf>
    <xf numFmtId="166" fontId="30" fillId="0" borderId="13" xfId="0" applyNumberFormat="1" applyFont="1" applyFill="1" applyBorder="1" applyAlignment="1" applyProtection="1">
      <alignment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vertical="center" wrapText="1"/>
      <protection/>
    </xf>
    <xf numFmtId="166" fontId="28" fillId="0" borderId="10" xfId="0" applyNumberFormat="1" applyFont="1" applyFill="1" applyBorder="1" applyAlignment="1" applyProtection="1">
      <alignment vertical="center"/>
      <protection locked="0"/>
    </xf>
    <xf numFmtId="166" fontId="30" fillId="0" borderId="10" xfId="0" applyNumberFormat="1" applyFont="1" applyFill="1" applyBorder="1" applyAlignment="1" applyProtection="1">
      <alignment vertical="center"/>
      <protection/>
    </xf>
    <xf numFmtId="0" fontId="28" fillId="0" borderId="12" xfId="0" applyFont="1" applyFill="1" applyBorder="1" applyAlignment="1" applyProtection="1">
      <alignment horizontal="center" vertical="center"/>
      <protection/>
    </xf>
    <xf numFmtId="0" fontId="28" fillId="0" borderId="12" xfId="0" applyFont="1" applyFill="1" applyBorder="1" applyAlignment="1" applyProtection="1">
      <alignment vertical="center" wrapText="1"/>
      <protection/>
    </xf>
    <xf numFmtId="166" fontId="28" fillId="0" borderId="12" xfId="0" applyNumberFormat="1" applyFont="1" applyFill="1" applyBorder="1" applyAlignment="1" applyProtection="1">
      <alignment vertical="center"/>
      <protection locked="0"/>
    </xf>
    <xf numFmtId="166" fontId="30" fillId="0" borderId="12" xfId="0" applyNumberFormat="1" applyFont="1" applyFill="1" applyBorder="1" applyAlignment="1" applyProtection="1">
      <alignment vertical="center"/>
      <protection/>
    </xf>
    <xf numFmtId="0" fontId="30" fillId="0" borderId="10" xfId="0" applyFont="1" applyFill="1" applyBorder="1" applyAlignment="1" applyProtection="1">
      <alignment horizontal="center" vertical="center"/>
      <protection/>
    </xf>
    <xf numFmtId="0" fontId="30" fillId="0" borderId="10" xfId="0" applyFont="1" applyFill="1" applyBorder="1" applyAlignment="1" applyProtection="1">
      <alignment vertical="center" wrapText="1"/>
      <protection/>
    </xf>
    <xf numFmtId="0" fontId="31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/>
    </xf>
    <xf numFmtId="0" fontId="0" fillId="0" borderId="35" xfId="0" applyFont="1" applyFill="1" applyBorder="1" applyAlignment="1" applyProtection="1">
      <alignment/>
      <protection/>
    </xf>
    <xf numFmtId="0" fontId="32" fillId="0" borderId="35" xfId="0" applyFont="1" applyFill="1" applyBorder="1" applyAlignment="1" applyProtection="1">
      <alignment horizontal="center"/>
      <protection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1" fontId="21" fillId="0" borderId="10" xfId="0" applyNumberFormat="1" applyFont="1" applyBorder="1" applyAlignment="1">
      <alignment/>
    </xf>
    <xf numFmtId="0" fontId="2" fillId="0" borderId="0" xfId="65" applyFill="1" applyAlignment="1">
      <alignment horizontal="center" vertical="center" wrapText="1"/>
      <protection/>
    </xf>
    <xf numFmtId="0" fontId="2" fillId="0" borderId="0" xfId="65" applyFill="1" applyAlignment="1">
      <alignment vertical="center" wrapText="1"/>
      <protection/>
    </xf>
    <xf numFmtId="0" fontId="0" fillId="0" borderId="0" xfId="65" applyFont="1" applyFill="1" applyAlignment="1">
      <alignment vertical="center" wrapText="1"/>
      <protection/>
    </xf>
    <xf numFmtId="0" fontId="21" fillId="0" borderId="36" xfId="65" applyFont="1" applyFill="1" applyBorder="1" applyAlignment="1">
      <alignment horizontal="center" vertical="center" wrapText="1"/>
      <protection/>
    </xf>
    <xf numFmtId="0" fontId="21" fillId="0" borderId="37" xfId="65" applyFont="1" applyFill="1" applyBorder="1" applyAlignment="1">
      <alignment horizontal="center" vertical="center" wrapText="1"/>
      <protection/>
    </xf>
    <xf numFmtId="0" fontId="21" fillId="0" borderId="38" xfId="65" applyFont="1" applyFill="1" applyBorder="1" applyAlignment="1">
      <alignment horizontal="center" vertical="center" wrapText="1"/>
      <protection/>
    </xf>
    <xf numFmtId="0" fontId="31" fillId="0" borderId="0" xfId="65" applyFont="1" applyFill="1" applyAlignment="1">
      <alignment horizontal="center" vertical="center" wrapText="1"/>
      <protection/>
    </xf>
    <xf numFmtId="0" fontId="20" fillId="0" borderId="39" xfId="65" applyFont="1" applyFill="1" applyBorder="1" applyAlignment="1" applyProtection="1">
      <alignment vertical="center" wrapText="1"/>
      <protection locked="0"/>
    </xf>
    <xf numFmtId="166" fontId="20" fillId="0" borderId="39" xfId="65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40" xfId="65" applyFont="1" applyFill="1" applyBorder="1" applyAlignment="1">
      <alignment horizontal="center" vertical="center" wrapText="1"/>
      <protection/>
    </xf>
    <xf numFmtId="0" fontId="20" fillId="0" borderId="41" xfId="65" applyNumberFormat="1" applyFont="1" applyFill="1" applyBorder="1" applyAlignment="1" applyProtection="1">
      <alignment horizontal="right" vertical="center" wrapText="1" indent="1"/>
      <protection locked="0"/>
    </xf>
    <xf numFmtId="166" fontId="20" fillId="0" borderId="41" xfId="65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Alignment="1">
      <alignment wrapText="1"/>
    </xf>
    <xf numFmtId="166" fontId="21" fillId="0" borderId="42" xfId="65" applyNumberFormat="1" applyFont="1" applyFill="1" applyBorder="1" applyAlignment="1">
      <alignment horizontal="center" vertical="center" wrapText="1"/>
      <protection/>
    </xf>
    <xf numFmtId="166" fontId="21" fillId="0" borderId="42" xfId="65" applyNumberFormat="1" applyFont="1" applyFill="1" applyBorder="1" applyAlignment="1">
      <alignment vertical="center" wrapText="1"/>
      <protection/>
    </xf>
    <xf numFmtId="166" fontId="21" fillId="0" borderId="42" xfId="65" applyNumberFormat="1" applyFont="1" applyFill="1" applyBorder="1" applyAlignment="1">
      <alignment horizontal="right" vertical="center" wrapText="1"/>
      <protection/>
    </xf>
    <xf numFmtId="0" fontId="33" fillId="0" borderId="10" xfId="0" applyFont="1" applyBorder="1" applyAlignment="1">
      <alignment wrapText="1"/>
    </xf>
    <xf numFmtId="167" fontId="14" fillId="0" borderId="10" xfId="0" applyNumberFormat="1" applyFont="1" applyFill="1" applyBorder="1" applyAlignment="1" applyProtection="1">
      <alignment vertical="center" wrapText="1"/>
      <protection/>
    </xf>
    <xf numFmtId="3" fontId="34" fillId="0" borderId="10" xfId="0" applyNumberFormat="1" applyFont="1" applyFill="1" applyBorder="1" applyAlignment="1">
      <alignment horizontal="center" vertical="center" wrapText="1"/>
    </xf>
    <xf numFmtId="3" fontId="34" fillId="0" borderId="10" xfId="0" applyNumberFormat="1" applyFont="1" applyFill="1" applyBorder="1" applyAlignment="1">
      <alignment horizontal="justify" vertical="center" wrapText="1"/>
    </xf>
    <xf numFmtId="3" fontId="34" fillId="0" borderId="10" xfId="0" applyNumberFormat="1" applyFont="1" applyFill="1" applyBorder="1" applyAlignment="1">
      <alignment/>
    </xf>
    <xf numFmtId="3" fontId="34" fillId="0" borderId="10" xfId="0" applyNumberFormat="1" applyFont="1" applyFill="1" applyBorder="1" applyAlignment="1">
      <alignment wrapText="1"/>
    </xf>
    <xf numFmtId="0" fontId="25" fillId="0" borderId="10" xfId="0" applyFont="1" applyBorder="1" applyAlignment="1">
      <alignment wrapText="1"/>
    </xf>
    <xf numFmtId="174" fontId="14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3" fontId="35" fillId="0" borderId="12" xfId="0" applyNumberFormat="1" applyFont="1" applyFill="1" applyBorder="1" applyAlignment="1">
      <alignment horizontal="justify" vertical="center" wrapText="1"/>
    </xf>
    <xf numFmtId="0" fontId="25" fillId="0" borderId="12" xfId="0" applyFont="1" applyBorder="1" applyAlignment="1">
      <alignment wrapText="1"/>
    </xf>
    <xf numFmtId="174" fontId="11" fillId="0" borderId="10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0" fontId="13" fillId="0" borderId="10" xfId="0" applyFont="1" applyBorder="1" applyAlignment="1">
      <alignment/>
    </xf>
    <xf numFmtId="174" fontId="37" fillId="0" borderId="10" xfId="47" applyNumberFormat="1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11" fillId="0" borderId="10" xfId="0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0" fontId="0" fillId="0" borderId="0" xfId="0" applyFont="1" applyAlignment="1">
      <alignment/>
    </xf>
    <xf numFmtId="3" fontId="36" fillId="0" borderId="10" xfId="0" applyNumberFormat="1" applyFont="1" applyFill="1" applyBorder="1" applyAlignment="1">
      <alignment horizontal="justify" vertical="center" wrapText="1"/>
    </xf>
    <xf numFmtId="174" fontId="37" fillId="0" borderId="10" xfId="47" applyNumberFormat="1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>
      <alignment wrapText="1"/>
    </xf>
    <xf numFmtId="0" fontId="9" fillId="43" borderId="10" xfId="0" applyFont="1" applyFill="1" applyBorder="1" applyAlignment="1">
      <alignment/>
    </xf>
    <xf numFmtId="0" fontId="25" fillId="43" borderId="10" xfId="0" applyFont="1" applyFill="1" applyBorder="1" applyAlignment="1">
      <alignment wrapText="1"/>
    </xf>
    <xf numFmtId="174" fontId="38" fillId="43" borderId="10" xfId="47" applyNumberFormat="1" applyFont="1" applyFill="1" applyBorder="1" applyAlignment="1" applyProtection="1">
      <alignment horizontal="center"/>
      <protection/>
    </xf>
    <xf numFmtId="0" fontId="39" fillId="0" borderId="0" xfId="0" applyFont="1" applyAlignment="1">
      <alignment/>
    </xf>
    <xf numFmtId="174" fontId="38" fillId="43" borderId="15" xfId="47" applyNumberFormat="1" applyFont="1" applyFill="1" applyBorder="1" applyAlignment="1" applyProtection="1">
      <alignment horizontal="center"/>
      <protection/>
    </xf>
    <xf numFmtId="174" fontId="9" fillId="43" borderId="15" xfId="0" applyNumberFormat="1" applyFont="1" applyFill="1" applyBorder="1" applyAlignment="1">
      <alignment horizontal="center" wrapText="1"/>
    </xf>
    <xf numFmtId="0" fontId="40" fillId="43" borderId="10" xfId="0" applyFont="1" applyFill="1" applyBorder="1" applyAlignment="1">
      <alignment/>
    </xf>
    <xf numFmtId="3" fontId="41" fillId="0" borderId="10" xfId="0" applyNumberFormat="1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>
      <alignment horizontal="justify" vertical="center" wrapText="1"/>
    </xf>
    <xf numFmtId="0" fontId="14" fillId="0" borderId="10" xfId="0" applyFont="1" applyBorder="1" applyAlignment="1">
      <alignment horizontal="left" wrapText="1"/>
    </xf>
    <xf numFmtId="166" fontId="11" fillId="0" borderId="0" xfId="0" applyNumberFormat="1" applyFont="1" applyAlignment="1">
      <alignment/>
    </xf>
    <xf numFmtId="0" fontId="11" fillId="0" borderId="10" xfId="0" applyFont="1" applyBorder="1" applyAlignment="1">
      <alignment horizontal="left" wrapText="1"/>
    </xf>
    <xf numFmtId="173" fontId="14" fillId="0" borderId="10" xfId="46" applyNumberFormat="1" applyFont="1" applyBorder="1" applyAlignment="1" applyProtection="1">
      <alignment/>
      <protection/>
    </xf>
    <xf numFmtId="0" fontId="11" fillId="0" borderId="11" xfId="0" applyFont="1" applyBorder="1" applyAlignment="1">
      <alignment wrapText="1"/>
    </xf>
    <xf numFmtId="174" fontId="11" fillId="0" borderId="11" xfId="0" applyNumberFormat="1" applyFont="1" applyBorder="1" applyAlignment="1">
      <alignment horizontal="center"/>
    </xf>
    <xf numFmtId="9" fontId="42" fillId="0" borderId="10" xfId="73" applyFont="1" applyBorder="1">
      <alignment/>
    </xf>
    <xf numFmtId="0" fontId="33" fillId="0" borderId="15" xfId="0" applyFont="1" applyBorder="1" applyAlignment="1">
      <alignment wrapText="1"/>
    </xf>
    <xf numFmtId="166" fontId="4" fillId="0" borderId="15" xfId="0" applyNumberFormat="1" applyFont="1" applyFill="1" applyBorder="1" applyAlignment="1" applyProtection="1">
      <alignment vertical="center" wrapText="1"/>
      <protection/>
    </xf>
    <xf numFmtId="0" fontId="6" fillId="0" borderId="43" xfId="0" applyFont="1" applyBorder="1" applyAlignment="1">
      <alignment/>
    </xf>
    <xf numFmtId="0" fontId="33" fillId="0" borderId="43" xfId="0" applyFont="1" applyBorder="1" applyAlignment="1">
      <alignment wrapText="1"/>
    </xf>
    <xf numFmtId="166" fontId="14" fillId="0" borderId="15" xfId="0" applyNumberFormat="1" applyFont="1" applyFill="1" applyBorder="1" applyAlignment="1" applyProtection="1">
      <alignment vertical="center" wrapText="1"/>
      <protection/>
    </xf>
    <xf numFmtId="166" fontId="11" fillId="0" borderId="15" xfId="0" applyNumberFormat="1" applyFont="1" applyFill="1" applyBorder="1" applyAlignment="1" applyProtection="1">
      <alignment vertical="center" wrapText="1"/>
      <protection/>
    </xf>
    <xf numFmtId="0" fontId="24" fillId="0" borderId="43" xfId="0" applyFont="1" applyFill="1" applyBorder="1" applyAlignment="1">
      <alignment vertical="center" wrapText="1"/>
    </xf>
    <xf numFmtId="0" fontId="11" fillId="0" borderId="43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vertical="center" wrapText="1"/>
    </xf>
    <xf numFmtId="166" fontId="14" fillId="0" borderId="15" xfId="0" applyNumberFormat="1" applyFont="1" applyFill="1" applyBorder="1" applyAlignment="1" applyProtection="1">
      <alignment vertical="center" wrapText="1"/>
      <protection locked="0"/>
    </xf>
    <xf numFmtId="166" fontId="11" fillId="0" borderId="15" xfId="0" applyNumberFormat="1" applyFont="1" applyFill="1" applyBorder="1" applyAlignment="1" applyProtection="1">
      <alignment vertical="center" wrapText="1"/>
      <protection locked="0"/>
    </xf>
    <xf numFmtId="0" fontId="25" fillId="0" borderId="43" xfId="0" applyFont="1" applyFill="1" applyBorder="1" applyAlignment="1">
      <alignment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wrapText="1"/>
    </xf>
    <xf numFmtId="0" fontId="33" fillId="0" borderId="44" xfId="0" applyFont="1" applyBorder="1" applyAlignment="1">
      <alignment wrapText="1"/>
    </xf>
    <xf numFmtId="0" fontId="33" fillId="0" borderId="45" xfId="0" applyFont="1" applyBorder="1" applyAlignment="1">
      <alignment wrapText="1"/>
    </xf>
    <xf numFmtId="167" fontId="14" fillId="0" borderId="15" xfId="0" applyNumberFormat="1" applyFont="1" applyFill="1" applyBorder="1" applyAlignment="1" applyProtection="1">
      <alignment vertical="center" wrapText="1"/>
      <protection/>
    </xf>
    <xf numFmtId="9" fontId="26" fillId="0" borderId="10" xfId="73" applyFont="1" applyBorder="1">
      <alignment/>
    </xf>
    <xf numFmtId="9" fontId="26" fillId="0" borderId="43" xfId="73" applyFont="1" applyBorder="1">
      <alignment/>
    </xf>
    <xf numFmtId="9" fontId="26" fillId="0" borderId="10" xfId="73" applyFont="1" applyBorder="1" applyProtection="1">
      <alignment/>
      <protection/>
    </xf>
    <xf numFmtId="0" fontId="14" fillId="0" borderId="10" xfId="0" applyFont="1" applyFill="1" applyBorder="1" applyAlignment="1">
      <alignment vertical="center" wrapText="1"/>
    </xf>
    <xf numFmtId="9" fontId="27" fillId="0" borderId="10" xfId="73" applyFont="1" applyBorder="1">
      <alignment/>
    </xf>
    <xf numFmtId="0" fontId="14" fillId="0" borderId="43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9" fontId="27" fillId="0" borderId="43" xfId="73" applyFont="1" applyBorder="1">
      <alignment/>
    </xf>
    <xf numFmtId="166" fontId="6" fillId="0" borderId="10" xfId="0" applyNumberFormat="1" applyFont="1" applyBorder="1" applyAlignment="1">
      <alignment/>
    </xf>
    <xf numFmtId="9" fontId="26" fillId="44" borderId="43" xfId="73" applyFont="1" applyFill="1" applyBorder="1">
      <alignment/>
    </xf>
    <xf numFmtId="9" fontId="27" fillId="44" borderId="43" xfId="73" applyFont="1" applyFill="1" applyBorder="1">
      <alignment/>
    </xf>
    <xf numFmtId="9" fontId="27" fillId="45" borderId="10" xfId="73" applyFont="1" applyFill="1" applyBorder="1">
      <alignment/>
    </xf>
    <xf numFmtId="9" fontId="6" fillId="0" borderId="10" xfId="73" applyFont="1" applyBorder="1">
      <alignment/>
    </xf>
    <xf numFmtId="9" fontId="5" fillId="0" borderId="10" xfId="73" applyFont="1" applyBorder="1">
      <alignment/>
    </xf>
    <xf numFmtId="176" fontId="4" fillId="46" borderId="10" xfId="47" applyNumberFormat="1" applyFont="1" applyFill="1" applyBorder="1" applyAlignment="1">
      <alignment horizontal="right"/>
    </xf>
    <xf numFmtId="9" fontId="5" fillId="44" borderId="10" xfId="73" applyFont="1" applyFill="1" applyBorder="1">
      <alignment/>
    </xf>
    <xf numFmtId="9" fontId="5" fillId="44" borderId="10" xfId="73" applyFont="1" applyFill="1" applyBorder="1" applyProtection="1">
      <alignment/>
      <protection/>
    </xf>
    <xf numFmtId="9" fontId="5" fillId="0" borderId="10" xfId="73" applyFont="1" applyBorder="1" applyProtection="1">
      <alignment/>
      <protection locked="0"/>
    </xf>
    <xf numFmtId="9" fontId="5" fillId="44" borderId="10" xfId="73" applyFont="1" applyFill="1" applyBorder="1" applyProtection="1">
      <alignment/>
      <protection locked="0"/>
    </xf>
    <xf numFmtId="166" fontId="6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166" fontId="4" fillId="0" borderId="10" xfId="0" applyNumberFormat="1" applyFont="1" applyBorder="1" applyAlignment="1">
      <alignment/>
    </xf>
    <xf numFmtId="1" fontId="12" fillId="0" borderId="10" xfId="0" applyNumberFormat="1" applyFont="1" applyBorder="1" applyAlignment="1">
      <alignment/>
    </xf>
    <xf numFmtId="171" fontId="11" fillId="0" borderId="0" xfId="0" applyNumberFormat="1" applyFont="1" applyBorder="1" applyAlignment="1">
      <alignment horizontal="left"/>
    </xf>
    <xf numFmtId="9" fontId="27" fillId="44" borderId="10" xfId="73" applyFont="1" applyFill="1" applyBorder="1" applyProtection="1">
      <alignment/>
      <protection/>
    </xf>
    <xf numFmtId="9" fontId="26" fillId="46" borderId="10" xfId="73" applyFont="1" applyFill="1" applyBorder="1" applyProtection="1">
      <alignment/>
      <protection/>
    </xf>
    <xf numFmtId="1" fontId="14" fillId="0" borderId="0" xfId="0" applyNumberFormat="1" applyFont="1" applyFill="1" applyAlignment="1">
      <alignment horizontal="center"/>
    </xf>
    <xf numFmtId="173" fontId="11" fillId="0" borderId="10" xfId="46" applyNumberFormat="1" applyFont="1" applyFill="1" applyBorder="1" applyAlignment="1" applyProtection="1">
      <alignment/>
      <protection/>
    </xf>
    <xf numFmtId="3" fontId="13" fillId="0" borderId="10" xfId="0" applyNumberFormat="1" applyFont="1" applyFill="1" applyBorder="1" applyAlignment="1">
      <alignment horizontal="justify" vertical="center" wrapText="1"/>
    </xf>
    <xf numFmtId="166" fontId="11" fillId="0" borderId="0" xfId="0" applyNumberFormat="1" applyFont="1" applyAlignment="1">
      <alignment/>
    </xf>
    <xf numFmtId="9" fontId="27" fillId="47" borderId="10" xfId="73" applyFont="1" applyFill="1" applyBorder="1" applyProtection="1">
      <alignment/>
      <protection/>
    </xf>
    <xf numFmtId="174" fontId="14" fillId="0" borderId="11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46" xfId="0" applyNumberFormat="1" applyFont="1" applyBorder="1" applyAlignment="1">
      <alignment horizontal="center" vertical="center" wrapText="1"/>
    </xf>
    <xf numFmtId="1" fontId="5" fillId="0" borderId="32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10" xfId="0" applyFont="1" applyBorder="1" applyAlignment="1">
      <alignment/>
    </xf>
    <xf numFmtId="166" fontId="14" fillId="0" borderId="0" xfId="66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4" fillId="0" borderId="47" xfId="66" applyFont="1" applyFill="1" applyBorder="1" applyAlignment="1">
      <alignment horizontal="center" vertical="center" wrapText="1"/>
      <protection/>
    </xf>
    <xf numFmtId="0" fontId="14" fillId="0" borderId="48" xfId="66" applyFont="1" applyFill="1" applyBorder="1" applyAlignment="1">
      <alignment horizontal="center" vertical="center" wrapText="1"/>
      <protection/>
    </xf>
    <xf numFmtId="0" fontId="14" fillId="0" borderId="25" xfId="66" applyFont="1" applyFill="1" applyBorder="1" applyAlignment="1">
      <alignment horizontal="center" vertical="center" wrapText="1"/>
      <protection/>
    </xf>
    <xf numFmtId="0" fontId="14" fillId="0" borderId="49" xfId="66" applyFont="1" applyFill="1" applyBorder="1" applyAlignment="1">
      <alignment horizontal="center" vertical="center" wrapText="1"/>
      <protection/>
    </xf>
    <xf numFmtId="0" fontId="14" fillId="0" borderId="16" xfId="66" applyFont="1" applyFill="1" applyBorder="1" applyAlignment="1" applyProtection="1">
      <alignment horizontal="left"/>
      <protection/>
    </xf>
    <xf numFmtId="0" fontId="11" fillId="0" borderId="50" xfId="66" applyFont="1" applyFill="1" applyBorder="1" applyAlignment="1">
      <alignment horizontal="justify" vertical="center" wrapText="1"/>
      <protection/>
    </xf>
    <xf numFmtId="0" fontId="12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14" fillId="0" borderId="51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52" xfId="0" applyFont="1" applyFill="1" applyBorder="1" applyAlignment="1" applyProtection="1">
      <alignment horizontal="center" vertical="center" wrapText="1"/>
      <protection/>
    </xf>
    <xf numFmtId="1" fontId="5" fillId="0" borderId="44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4" fillId="0" borderId="46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Border="1" applyAlignment="1">
      <alignment horizontal="center" vertical="center"/>
    </xf>
    <xf numFmtId="0" fontId="21" fillId="0" borderId="31" xfId="65" applyFont="1" applyFill="1" applyBorder="1" applyAlignment="1">
      <alignment horizontal="center" vertical="center" wrapText="1"/>
      <protection/>
    </xf>
  </cellXfs>
  <cellStyles count="6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Excel Built-in Explanatory Text" xfId="46"/>
    <cellStyle name="Comma" xfId="47"/>
    <cellStyle name="Comma [0]" xfId="48"/>
    <cellStyle name="Ezres 2" xfId="49"/>
    <cellStyle name="Ezres_Munka1" xfId="50"/>
    <cellStyle name="Figyelmeztetés" xfId="51"/>
    <cellStyle name="Hyperlink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Followed Hyperlink" xfId="63"/>
    <cellStyle name="Magyarázó szöveg" xfId="64"/>
    <cellStyle name="Normál_KVIREND" xfId="65"/>
    <cellStyle name="Normál_KVRENMUNKA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="60" zoomScalePageLayoutView="0" workbookViewId="0" topLeftCell="A19">
      <selection activeCell="D52" sqref="D52"/>
    </sheetView>
  </sheetViews>
  <sheetFormatPr defaultColWidth="9.140625" defaultRowHeight="12.75"/>
  <cols>
    <col min="2" max="2" width="121.8515625" style="0" customWidth="1"/>
    <col min="3" max="3" width="37.57421875" style="0" customWidth="1"/>
    <col min="4" max="4" width="25.57421875" style="0" bestFit="1" customWidth="1"/>
    <col min="5" max="5" width="10.00390625" style="0" customWidth="1"/>
    <col min="6" max="6" width="10.00390625" style="0" bestFit="1" customWidth="1"/>
    <col min="8" max="8" width="11.00390625" style="0" customWidth="1"/>
    <col min="9" max="9" width="10.00390625" style="0" customWidth="1"/>
  </cols>
  <sheetData>
    <row r="1" spans="1:4" ht="51.75" customHeight="1">
      <c r="A1" s="129"/>
      <c r="B1" s="381" t="s">
        <v>399</v>
      </c>
      <c r="C1" s="381"/>
      <c r="D1" s="85"/>
    </row>
    <row r="2" spans="1:4" ht="36">
      <c r="A2" s="129"/>
      <c r="B2" s="382" t="s">
        <v>364</v>
      </c>
      <c r="C2" s="383" t="s">
        <v>365</v>
      </c>
      <c r="D2" s="384" t="s">
        <v>400</v>
      </c>
    </row>
    <row r="3" spans="1:4" ht="18.75">
      <c r="A3" s="129"/>
      <c r="B3" s="382" t="s">
        <v>366</v>
      </c>
      <c r="C3" s="385"/>
      <c r="D3" s="386">
        <v>1097</v>
      </c>
    </row>
    <row r="4" spans="1:4" ht="18.75">
      <c r="A4" s="129"/>
      <c r="B4" s="382"/>
      <c r="C4" s="385"/>
      <c r="D4" s="387"/>
    </row>
    <row r="5" spans="1:5" ht="22.5" customHeight="1">
      <c r="A5" s="129"/>
      <c r="B5" s="388" t="s">
        <v>213</v>
      </c>
      <c r="C5" s="389"/>
      <c r="D5" s="390"/>
      <c r="E5" s="391"/>
    </row>
    <row r="6" spans="1:5" ht="22.5" customHeight="1">
      <c r="A6" s="129"/>
      <c r="B6" s="159" t="s">
        <v>420</v>
      </c>
      <c r="C6" s="182"/>
      <c r="D6" s="386">
        <v>475</v>
      </c>
      <c r="E6" s="391"/>
    </row>
    <row r="7" spans="1:5" ht="22.5" customHeight="1">
      <c r="A7" s="129"/>
      <c r="B7" s="159" t="s">
        <v>421</v>
      </c>
      <c r="C7" s="182"/>
      <c r="D7" s="386">
        <v>75</v>
      </c>
      <c r="E7" s="391"/>
    </row>
    <row r="8" spans="1:5" ht="22.5" customHeight="1">
      <c r="A8" s="129"/>
      <c r="B8" s="159" t="s">
        <v>422</v>
      </c>
      <c r="C8" s="182"/>
      <c r="D8" s="390">
        <v>-1115</v>
      </c>
      <c r="E8" s="391"/>
    </row>
    <row r="9" spans="1:5" ht="22.5" customHeight="1">
      <c r="A9" s="129"/>
      <c r="B9" s="159" t="s">
        <v>422</v>
      </c>
      <c r="C9" s="182"/>
      <c r="D9" s="390">
        <v>1115</v>
      </c>
      <c r="E9" s="391"/>
    </row>
    <row r="10" spans="1:5" ht="22.5" customHeight="1">
      <c r="A10" s="129"/>
      <c r="B10" s="159" t="s">
        <v>367</v>
      </c>
      <c r="C10" s="159"/>
      <c r="D10" s="386">
        <v>1271</v>
      </c>
      <c r="E10" s="391"/>
    </row>
    <row r="11" spans="1:5" ht="22.5" customHeight="1">
      <c r="A11" s="129"/>
      <c r="B11" s="159" t="s">
        <v>368</v>
      </c>
      <c r="C11" s="385"/>
      <c r="D11" s="386">
        <v>930</v>
      </c>
      <c r="E11" s="391"/>
    </row>
    <row r="12" spans="1:5" ht="22.5" customHeight="1">
      <c r="A12" s="129"/>
      <c r="B12" s="159" t="s">
        <v>388</v>
      </c>
      <c r="C12" s="385"/>
      <c r="D12" s="386">
        <v>1345</v>
      </c>
      <c r="E12" s="391">
        <f>SUM(D9:D11)</f>
        <v>3316</v>
      </c>
    </row>
    <row r="13" spans="1:5" ht="22.5" customHeight="1">
      <c r="A13" s="129"/>
      <c r="B13" s="159" t="s">
        <v>414</v>
      </c>
      <c r="C13" s="182"/>
      <c r="D13" s="386">
        <v>24434</v>
      </c>
      <c r="E13" s="391"/>
    </row>
    <row r="14" spans="1:5" ht="22.5" customHeight="1">
      <c r="A14" s="129"/>
      <c r="B14" s="394" t="s">
        <v>415</v>
      </c>
      <c r="D14" s="468">
        <v>30000</v>
      </c>
      <c r="E14" s="391"/>
    </row>
    <row r="15" spans="1:5" ht="22.5" customHeight="1">
      <c r="A15" s="129"/>
      <c r="B15" s="159"/>
      <c r="C15" s="385"/>
      <c r="D15" s="390"/>
      <c r="E15" s="391">
        <f>SUM(D10:D16)</f>
        <v>57980</v>
      </c>
    </row>
    <row r="16" spans="1:4" ht="18">
      <c r="A16" s="129"/>
      <c r="B16" s="395" t="s">
        <v>369</v>
      </c>
      <c r="C16" s="159"/>
      <c r="D16" s="390"/>
    </row>
    <row r="17" spans="1:4" ht="18">
      <c r="A17" s="129"/>
      <c r="B17" s="159" t="s">
        <v>370</v>
      </c>
      <c r="C17" s="159"/>
      <c r="D17" s="386">
        <v>-184</v>
      </c>
    </row>
    <row r="18" spans="1:4" ht="18">
      <c r="A18" s="129"/>
      <c r="B18" s="159" t="s">
        <v>428</v>
      </c>
      <c r="C18" s="159"/>
      <c r="D18" s="386">
        <v>938</v>
      </c>
    </row>
    <row r="19" spans="1:4" ht="18">
      <c r="A19" s="129"/>
      <c r="B19" s="159"/>
      <c r="C19" s="159"/>
      <c r="D19" s="390"/>
    </row>
    <row r="20" spans="1:4" ht="18">
      <c r="A20" s="129"/>
      <c r="B20" s="395" t="s">
        <v>371</v>
      </c>
      <c r="C20" s="159"/>
      <c r="D20" s="390"/>
    </row>
    <row r="21" spans="1:4" ht="18">
      <c r="A21" s="129"/>
      <c r="B21" s="159" t="s">
        <v>372</v>
      </c>
      <c r="C21" s="159"/>
      <c r="D21" s="386">
        <v>-36</v>
      </c>
    </row>
    <row r="22" spans="1:4" ht="18">
      <c r="A22" s="129"/>
      <c r="B22" s="159" t="s">
        <v>429</v>
      </c>
      <c r="C22" s="159"/>
      <c r="D22" s="386">
        <v>165</v>
      </c>
    </row>
    <row r="23" spans="1:4" ht="18">
      <c r="A23" s="129"/>
      <c r="B23" s="159"/>
      <c r="C23" s="159"/>
      <c r="D23" s="393"/>
    </row>
    <row r="24" spans="1:4" ht="18">
      <c r="A24" s="129"/>
      <c r="B24" s="397" t="s">
        <v>373</v>
      </c>
      <c r="C24" s="159"/>
      <c r="D24" s="390"/>
    </row>
    <row r="25" spans="1:4" ht="18">
      <c r="A25" s="129"/>
      <c r="B25" s="85" t="s">
        <v>425</v>
      </c>
      <c r="C25" s="398"/>
      <c r="D25" s="393">
        <v>-239</v>
      </c>
    </row>
    <row r="26" spans="1:4" ht="36">
      <c r="A26" s="129"/>
      <c r="B26" s="465" t="s">
        <v>410</v>
      </c>
      <c r="C26" s="159" t="s">
        <v>411</v>
      </c>
      <c r="D26" s="400">
        <v>-20000</v>
      </c>
    </row>
    <row r="27" spans="1:4" ht="36">
      <c r="A27" s="129"/>
      <c r="B27" s="415" t="s">
        <v>412</v>
      </c>
      <c r="C27" s="159" t="s">
        <v>413</v>
      </c>
      <c r="D27" s="416">
        <v>-16000</v>
      </c>
    </row>
    <row r="28" spans="1:4" ht="18">
      <c r="A28" s="129"/>
      <c r="B28" s="415" t="s">
        <v>416</v>
      </c>
      <c r="C28" s="159"/>
      <c r="D28" s="390">
        <v>-9000</v>
      </c>
    </row>
    <row r="29" spans="1:4" ht="18.75">
      <c r="A29" s="129"/>
      <c r="B29" s="399"/>
      <c r="C29" s="401"/>
      <c r="D29" s="390"/>
    </row>
    <row r="30" spans="1:4" ht="18">
      <c r="A30" s="129"/>
      <c r="B30" s="395" t="s">
        <v>80</v>
      </c>
      <c r="C30" s="159"/>
      <c r="D30" s="390"/>
    </row>
    <row r="31" spans="1:4" ht="18">
      <c r="A31" s="129"/>
      <c r="B31" s="159"/>
      <c r="C31" s="159"/>
      <c r="D31" s="390"/>
    </row>
    <row r="32" spans="1:4" ht="18">
      <c r="A32" s="129"/>
      <c r="B32" s="392" t="s">
        <v>374</v>
      </c>
      <c r="C32" s="159"/>
      <c r="D32" s="393">
        <f>('A2 melléklet'!D9+'A2 melléklet'!D18+'A2 melléklet'!D23+'A2 melléklet'!D41+'A2 melléklet'!D49+'A2 melléklet'!D28+'A2 melléklet'!D36)</f>
        <v>3615</v>
      </c>
    </row>
    <row r="33" spans="1:4" ht="18">
      <c r="A33" s="129"/>
      <c r="B33" s="392"/>
      <c r="C33" s="159"/>
      <c r="D33" s="393"/>
    </row>
    <row r="34" spans="1:7" ht="35.25" customHeight="1">
      <c r="A34" s="129"/>
      <c r="B34" s="402" t="s">
        <v>375</v>
      </c>
      <c r="C34" s="403"/>
      <c r="D34" s="404">
        <f>SUM(D3:D33)</f>
        <v>18886</v>
      </c>
      <c r="E34" s="391"/>
      <c r="F34" s="391">
        <f>D34-D3</f>
        <v>17789</v>
      </c>
      <c r="G34" s="391"/>
    </row>
    <row r="35" spans="1:6" ht="18.75">
      <c r="A35" s="129"/>
      <c r="B35" s="392"/>
      <c r="C35" s="385"/>
      <c r="F35" s="405"/>
    </row>
    <row r="36" spans="1:4" ht="18.75">
      <c r="A36" s="129"/>
      <c r="B36" s="129"/>
      <c r="C36" s="385"/>
      <c r="D36" s="387"/>
    </row>
    <row r="37" spans="1:4" ht="20.25">
      <c r="A37" s="129"/>
      <c r="B37" s="402" t="s">
        <v>78</v>
      </c>
      <c r="C37" s="403"/>
      <c r="D37" s="406">
        <v>67416</v>
      </c>
    </row>
    <row r="38" spans="1:4" ht="18.75">
      <c r="A38" s="129"/>
      <c r="B38" s="159"/>
      <c r="C38" s="385"/>
      <c r="D38" s="387"/>
    </row>
    <row r="39" spans="1:4" ht="18">
      <c r="A39" s="129"/>
      <c r="B39" s="159" t="s">
        <v>408</v>
      </c>
      <c r="C39" s="159"/>
      <c r="D39" s="386">
        <f>-'4_.melléklet'!E13</f>
        <v>-155314</v>
      </c>
    </row>
    <row r="40" spans="1:4" ht="18">
      <c r="A40" s="129"/>
      <c r="B40" s="159" t="s">
        <v>423</v>
      </c>
      <c r="C40" s="159"/>
      <c r="D40" s="386">
        <v>15000</v>
      </c>
    </row>
    <row r="41" spans="1:4" ht="18">
      <c r="A41" s="129"/>
      <c r="B41" s="159" t="s">
        <v>142</v>
      </c>
      <c r="C41" s="159"/>
      <c r="D41" s="386">
        <v>2000</v>
      </c>
    </row>
    <row r="42" spans="1:4" ht="18">
      <c r="A42" s="129"/>
      <c r="B42" s="159" t="s">
        <v>424</v>
      </c>
      <c r="C42" s="159"/>
      <c r="D42" s="386">
        <v>5000</v>
      </c>
    </row>
    <row r="43" spans="1:4" ht="36">
      <c r="A43" s="129"/>
      <c r="B43" s="159" t="s">
        <v>430</v>
      </c>
      <c r="C43" s="159"/>
      <c r="D43" s="386">
        <v>30000</v>
      </c>
    </row>
    <row r="44" spans="1:4" ht="18">
      <c r="A44" s="129"/>
      <c r="B44" s="159" t="s">
        <v>161</v>
      </c>
      <c r="C44" s="182"/>
      <c r="D44" s="386">
        <v>-40000</v>
      </c>
    </row>
    <row r="45" spans="1:4" ht="36">
      <c r="A45" s="129"/>
      <c r="B45" s="159" t="s">
        <v>409</v>
      </c>
      <c r="C45" s="159"/>
      <c r="D45" s="386">
        <f>147548</f>
        <v>147548</v>
      </c>
    </row>
    <row r="46" spans="1:4" ht="18">
      <c r="A46" s="129"/>
      <c r="B46" s="159" t="s">
        <v>405</v>
      </c>
      <c r="C46" s="159"/>
      <c r="D46" s="386">
        <v>-1803</v>
      </c>
    </row>
    <row r="47" spans="1:4" ht="18">
      <c r="A47" s="129"/>
      <c r="B47" s="129" t="s">
        <v>146</v>
      </c>
      <c r="C47" s="129" t="s">
        <v>418</v>
      </c>
      <c r="D47" s="386">
        <f>-'4_.melléklet'!E17</f>
        <v>21000</v>
      </c>
    </row>
    <row r="48" spans="1:4" ht="36">
      <c r="A48" s="129"/>
      <c r="B48" s="129" t="s">
        <v>347</v>
      </c>
      <c r="C48" s="159" t="s">
        <v>419</v>
      </c>
      <c r="D48" s="386">
        <v>-5500</v>
      </c>
    </row>
    <row r="49" spans="1:4" ht="18">
      <c r="A49" s="129"/>
      <c r="B49" s="129" t="s">
        <v>138</v>
      </c>
      <c r="C49" s="159"/>
      <c r="D49" s="386">
        <v>2500</v>
      </c>
    </row>
    <row r="50" spans="1:4" ht="36.75">
      <c r="A50" s="129"/>
      <c r="B50" s="159" t="s">
        <v>155</v>
      </c>
      <c r="C50" s="385"/>
      <c r="D50" s="469">
        <v>-981</v>
      </c>
    </row>
    <row r="51" spans="1:4" ht="18">
      <c r="A51" s="129"/>
      <c r="B51" s="159"/>
      <c r="C51" s="159"/>
      <c r="D51" s="387"/>
    </row>
    <row r="52" spans="1:5" ht="20.25">
      <c r="A52" s="129"/>
      <c r="B52" s="402" t="s">
        <v>376</v>
      </c>
      <c r="C52" s="403"/>
      <c r="D52" s="407">
        <f>SUM(D37:D50)</f>
        <v>86866</v>
      </c>
      <c r="E52" s="391">
        <f>D52-D37</f>
        <v>19450</v>
      </c>
    </row>
    <row r="53" spans="1:9" ht="23.25">
      <c r="A53" s="129"/>
      <c r="B53" s="408" t="s">
        <v>377</v>
      </c>
      <c r="C53" s="402"/>
      <c r="D53" s="407">
        <f>D34+D52</f>
        <v>105752</v>
      </c>
      <c r="E53" s="391"/>
      <c r="F53" s="391"/>
      <c r="G53" s="391"/>
      <c r="H53" s="391"/>
      <c r="I53" s="39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="65" zoomScaleNormal="65" zoomScaleSheetLayoutView="50" workbookViewId="0" topLeftCell="A1">
      <selection activeCell="F16" sqref="F16"/>
    </sheetView>
  </sheetViews>
  <sheetFormatPr defaultColWidth="9.00390625" defaultRowHeight="12.75"/>
  <cols>
    <col min="1" max="1" width="16.7109375" style="85" customWidth="1"/>
    <col min="2" max="2" width="32.28125" style="85" customWidth="1"/>
    <col min="3" max="3" width="18.421875" style="85" customWidth="1"/>
    <col min="4" max="4" width="20.00390625" style="85" customWidth="1"/>
    <col min="5" max="5" width="18.421875" style="85" customWidth="1"/>
    <col min="6" max="6" width="22.421875" style="85" customWidth="1"/>
    <col min="7" max="7" width="27.8515625" style="85" customWidth="1"/>
    <col min="8" max="16384" width="9.00390625" style="85" customWidth="1"/>
  </cols>
  <sheetData>
    <row r="1" spans="1:7" s="226" customFormat="1" ht="18">
      <c r="A1" s="487" t="s">
        <v>0</v>
      </c>
      <c r="B1" s="487"/>
      <c r="C1" s="487"/>
      <c r="D1" s="487"/>
      <c r="E1" s="487"/>
      <c r="F1" s="487"/>
      <c r="G1" s="225"/>
    </row>
    <row r="2" spans="1:8" s="226" customFormat="1" ht="18">
      <c r="A2" s="487" t="s">
        <v>192</v>
      </c>
      <c r="B2" s="487"/>
      <c r="C2" s="487"/>
      <c r="D2" s="487"/>
      <c r="E2" s="487"/>
      <c r="F2" s="487"/>
      <c r="G2" s="227"/>
      <c r="H2" s="225"/>
    </row>
    <row r="3" s="226" customFormat="1" ht="18"/>
    <row r="4" s="226" customFormat="1" ht="18"/>
    <row r="5" s="226" customFormat="1" ht="18"/>
    <row r="6" s="226" customFormat="1" ht="18"/>
    <row r="7" spans="1:6" s="226" customFormat="1" ht="18">
      <c r="A7" s="228" t="s">
        <v>193</v>
      </c>
      <c r="B7" s="228"/>
      <c r="C7" s="228"/>
      <c r="D7" s="228"/>
      <c r="E7" s="228"/>
      <c r="F7" s="228"/>
    </row>
    <row r="8" spans="1:7" s="226" customFormat="1" ht="63.75" customHeight="1">
      <c r="A8" s="229" t="s">
        <v>3</v>
      </c>
      <c r="B8" s="229" t="s">
        <v>194</v>
      </c>
      <c r="C8" s="379" t="s">
        <v>361</v>
      </c>
      <c r="D8" s="379" t="s">
        <v>397</v>
      </c>
      <c r="E8" s="379" t="s">
        <v>360</v>
      </c>
      <c r="F8" s="379" t="s">
        <v>363</v>
      </c>
      <c r="G8" s="379" t="s">
        <v>195</v>
      </c>
    </row>
    <row r="9" spans="1:7" s="226" customFormat="1" ht="24" customHeight="1">
      <c r="A9" s="230" t="s">
        <v>123</v>
      </c>
      <c r="B9" s="231" t="s">
        <v>196</v>
      </c>
      <c r="C9" s="232">
        <f>SUM(C11:C12)</f>
        <v>36046</v>
      </c>
      <c r="D9" s="232">
        <f>SUM(D11:D12)</f>
        <v>1097</v>
      </c>
      <c r="E9" s="232">
        <f>SUM(E11:E12)</f>
        <v>17789</v>
      </c>
      <c r="F9" s="459">
        <f>E9+D9</f>
        <v>18886</v>
      </c>
      <c r="G9" s="233" t="s">
        <v>197</v>
      </c>
    </row>
    <row r="10" spans="1:7" ht="18">
      <c r="A10" s="234"/>
      <c r="B10" s="235"/>
      <c r="C10" s="236"/>
      <c r="D10" s="236"/>
      <c r="E10" s="232"/>
      <c r="F10" s="459">
        <f aca="true" t="shared" si="0" ref="F10:F18">E10+D10</f>
        <v>0</v>
      </c>
      <c r="G10" s="233"/>
    </row>
    <row r="11" spans="1:7" s="226" customFormat="1" ht="18">
      <c r="A11" s="230"/>
      <c r="B11" s="233" t="s">
        <v>198</v>
      </c>
      <c r="C11" s="237">
        <f>'8. melléklet Önkormányzat'!C59</f>
        <v>36046</v>
      </c>
      <c r="D11" s="237">
        <v>1097</v>
      </c>
      <c r="E11" s="232">
        <f>'8. melléklet Önkormányzat'!E59</f>
        <v>17789</v>
      </c>
      <c r="F11" s="459">
        <f t="shared" si="0"/>
        <v>18886</v>
      </c>
      <c r="G11" s="233" t="s">
        <v>197</v>
      </c>
    </row>
    <row r="12" spans="1:7" s="226" customFormat="1" ht="26.25" customHeight="1">
      <c r="A12" s="230"/>
      <c r="B12"/>
      <c r="C12" s="230"/>
      <c r="D12" s="230"/>
      <c r="E12" s="232"/>
      <c r="F12" s="459">
        <f t="shared" si="0"/>
        <v>0</v>
      </c>
      <c r="G12" s="233"/>
    </row>
    <row r="13" spans="1:7" s="226" customFormat="1" ht="18">
      <c r="A13" s="230" t="s">
        <v>125</v>
      </c>
      <c r="B13" s="231" t="s">
        <v>78</v>
      </c>
      <c r="C13" s="238">
        <f>SUM(C14:C17)</f>
        <v>54285</v>
      </c>
      <c r="D13" s="238">
        <f>SUM(D14:D17)</f>
        <v>67416</v>
      </c>
      <c r="E13" s="463">
        <f>SUM(E15:E17)</f>
        <v>19450</v>
      </c>
      <c r="F13" s="459">
        <f t="shared" si="0"/>
        <v>86866</v>
      </c>
      <c r="G13" s="233" t="s">
        <v>197</v>
      </c>
    </row>
    <row r="14" spans="1:7" s="226" customFormat="1" ht="27.75" customHeight="1">
      <c r="A14" s="230"/>
      <c r="B14" s="239"/>
      <c r="C14" s="240"/>
      <c r="D14" s="240"/>
      <c r="E14" s="232"/>
      <c r="F14" s="459">
        <f t="shared" si="0"/>
        <v>0</v>
      </c>
      <c r="G14" s="233"/>
    </row>
    <row r="15" spans="1:7" s="226" customFormat="1" ht="27.75" customHeight="1">
      <c r="A15" s="230"/>
      <c r="B15" s="239" t="s">
        <v>78</v>
      </c>
      <c r="C15" s="240">
        <v>27285</v>
      </c>
      <c r="D15" s="240">
        <v>10000</v>
      </c>
      <c r="E15" s="232">
        <f>'8. melléklet Önkormányzat'!E71+8000</f>
        <v>27450</v>
      </c>
      <c r="F15" s="459">
        <f t="shared" si="0"/>
        <v>37450</v>
      </c>
      <c r="G15" s="233" t="s">
        <v>197</v>
      </c>
    </row>
    <row r="16" spans="1:7" s="226" customFormat="1" ht="95.25" customHeight="1">
      <c r="A16" s="230"/>
      <c r="B16" s="241" t="s">
        <v>199</v>
      </c>
      <c r="C16" s="230">
        <v>8000</v>
      </c>
      <c r="D16" s="230">
        <v>8000</v>
      </c>
      <c r="E16" s="232">
        <v>-8000</v>
      </c>
      <c r="F16" s="459">
        <f t="shared" si="0"/>
        <v>0</v>
      </c>
      <c r="G16" s="233" t="s">
        <v>197</v>
      </c>
    </row>
    <row r="17" spans="1:7" s="226" customFormat="1" ht="96.75" customHeight="1">
      <c r="A17" s="230"/>
      <c r="B17" s="241" t="s">
        <v>348</v>
      </c>
      <c r="C17" s="230">
        <v>19000</v>
      </c>
      <c r="D17" s="230">
        <v>49416</v>
      </c>
      <c r="E17" s="232"/>
      <c r="F17" s="459">
        <f t="shared" si="0"/>
        <v>49416</v>
      </c>
      <c r="G17" s="233" t="s">
        <v>197</v>
      </c>
    </row>
    <row r="18" spans="1:7" s="226" customFormat="1" ht="18">
      <c r="A18" s="233"/>
      <c r="B18" s="231" t="s">
        <v>200</v>
      </c>
      <c r="C18" s="242">
        <f>SUM(C9,C13)</f>
        <v>90331</v>
      </c>
      <c r="D18" s="242">
        <f>SUM(D9,D13)</f>
        <v>68513</v>
      </c>
      <c r="E18" s="242">
        <f>SUM(E9,E13)</f>
        <v>37239</v>
      </c>
      <c r="F18" s="459">
        <f t="shared" si="0"/>
        <v>105752</v>
      </c>
      <c r="G18" s="392"/>
    </row>
  </sheetData>
  <sheetProtection selectLockedCells="1" selectUnlockedCells="1"/>
  <mergeCells count="2">
    <mergeCell ref="A1:F1"/>
    <mergeCell ref="A2:F2"/>
  </mergeCells>
  <printOptions horizontalCentered="1" verticalCentered="1"/>
  <pageMargins left="0.7875" right="0.7875" top="0.9840277777777777" bottom="0.9840277777777777" header="0.5" footer="0.5118055555555555"/>
  <pageSetup fitToHeight="1" fitToWidth="1" horizontalDpi="300" verticalDpi="300" orientation="landscape" paperSize="9" scale="80" r:id="rId1"/>
  <headerFooter alignWithMargins="0">
    <oddHeader>&amp;R 6.melléklet a /2018. ()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="65" zoomScaleNormal="65" zoomScaleSheetLayoutView="50" workbookViewId="0" topLeftCell="A1">
      <selection activeCell="A1" sqref="A1:I1"/>
    </sheetView>
  </sheetViews>
  <sheetFormatPr defaultColWidth="9.00390625" defaultRowHeight="19.5" customHeight="1"/>
  <cols>
    <col min="1" max="1" width="32.140625" style="85" customWidth="1"/>
    <col min="2" max="2" width="10.00390625" style="85" customWidth="1"/>
    <col min="3" max="3" width="7.57421875" style="85" customWidth="1"/>
    <col min="4" max="4" width="9.00390625" style="85" customWidth="1"/>
    <col min="5" max="5" width="14.140625" style="85" customWidth="1"/>
    <col min="6" max="16384" width="9.00390625" style="85" customWidth="1"/>
  </cols>
  <sheetData>
    <row r="1" spans="1:12" ht="36" customHeight="1">
      <c r="A1" s="488" t="s">
        <v>201</v>
      </c>
      <c r="B1" s="488"/>
      <c r="C1" s="488"/>
      <c r="D1" s="488"/>
      <c r="E1" s="488"/>
      <c r="F1" s="488"/>
      <c r="G1" s="488"/>
      <c r="H1" s="488"/>
      <c r="I1" s="488"/>
      <c r="J1" s="235"/>
      <c r="K1" s="235"/>
      <c r="L1" s="235"/>
    </row>
    <row r="2" spans="1:9" ht="12" customHeight="1">
      <c r="A2" s="235"/>
      <c r="B2" s="235"/>
      <c r="C2" s="235"/>
      <c r="D2" s="235"/>
      <c r="E2" s="235"/>
      <c r="F2" s="235"/>
      <c r="G2" s="235"/>
      <c r="H2" s="235"/>
      <c r="I2" s="235"/>
    </row>
    <row r="3" spans="1:9" ht="57" customHeight="1">
      <c r="A3" s="489" t="s">
        <v>202</v>
      </c>
      <c r="B3" s="489"/>
      <c r="C3" s="489"/>
      <c r="D3" s="489"/>
      <c r="E3" s="489"/>
      <c r="F3" s="489"/>
      <c r="G3" s="489"/>
      <c r="H3" s="489"/>
      <c r="I3" s="489"/>
    </row>
    <row r="4" spans="1:9" ht="19.5" customHeight="1">
      <c r="A4" s="235" t="s">
        <v>203</v>
      </c>
      <c r="B4" s="235"/>
      <c r="C4" s="235"/>
      <c r="D4" s="235"/>
      <c r="E4" s="235"/>
      <c r="F4" s="235"/>
      <c r="G4" s="235"/>
      <c r="H4" s="235"/>
      <c r="I4" s="235"/>
    </row>
    <row r="5" spans="1:9" ht="19.5" customHeight="1">
      <c r="A5" s="235" t="s">
        <v>204</v>
      </c>
      <c r="B5" s="235"/>
      <c r="C5" s="235"/>
      <c r="D5" s="235"/>
      <c r="E5" s="235"/>
      <c r="F5" s="235"/>
      <c r="G5" s="235"/>
      <c r="H5" s="235"/>
      <c r="I5" s="235"/>
    </row>
    <row r="6" spans="1:9" ht="19.5" customHeight="1">
      <c r="A6" s="235" t="s">
        <v>205</v>
      </c>
      <c r="B6" s="235"/>
      <c r="C6" s="235"/>
      <c r="D6" s="235"/>
      <c r="E6" s="235"/>
      <c r="F6" s="235"/>
      <c r="G6" s="235"/>
      <c r="H6" s="235"/>
      <c r="I6" s="235"/>
    </row>
    <row r="7" spans="1:9" ht="19.5" customHeight="1">
      <c r="A7" s="235" t="s">
        <v>206</v>
      </c>
      <c r="B7" s="235"/>
      <c r="C7" s="235"/>
      <c r="D7" s="235"/>
      <c r="E7" s="235"/>
      <c r="F7" s="235"/>
      <c r="G7" s="235"/>
      <c r="H7" s="235"/>
      <c r="I7" s="235"/>
    </row>
    <row r="8" spans="1:9" ht="19.5" customHeight="1">
      <c r="A8" s="235"/>
      <c r="B8" s="235"/>
      <c r="C8" s="235"/>
      <c r="D8" s="235"/>
      <c r="E8" s="235"/>
      <c r="F8" s="235"/>
      <c r="G8" s="235"/>
      <c r="H8" s="235"/>
      <c r="I8" s="235"/>
    </row>
    <row r="9" spans="1:9" ht="19.5" customHeight="1">
      <c r="A9" s="235"/>
      <c r="B9" s="235"/>
      <c r="C9" s="235"/>
      <c r="D9" s="235"/>
      <c r="E9" s="235"/>
      <c r="F9" s="235"/>
      <c r="G9" s="235"/>
      <c r="H9" s="235"/>
      <c r="I9" s="235"/>
    </row>
    <row r="10" spans="1:9" ht="19.5" customHeight="1">
      <c r="A10" s="490" t="s">
        <v>207</v>
      </c>
      <c r="B10" s="490"/>
      <c r="C10" s="490"/>
      <c r="D10" s="235"/>
      <c r="E10" s="235"/>
      <c r="F10" s="235"/>
      <c r="G10" s="235"/>
      <c r="H10" s="235"/>
      <c r="I10" s="235"/>
    </row>
    <row r="11" spans="1:9" ht="19.5" customHeight="1">
      <c r="A11" s="235" t="s">
        <v>208</v>
      </c>
      <c r="B11" s="235"/>
      <c r="C11" s="235"/>
      <c r="D11" s="235"/>
      <c r="E11" s="235"/>
      <c r="F11" s="235"/>
      <c r="G11" s="235"/>
      <c r="H11" s="235"/>
      <c r="I11" s="235"/>
    </row>
    <row r="12" spans="1:9" ht="19.5" customHeight="1">
      <c r="A12" s="235"/>
      <c r="B12" s="235"/>
      <c r="C12" s="235"/>
      <c r="D12" s="235"/>
      <c r="E12" s="235"/>
      <c r="F12" s="235"/>
      <c r="G12" s="235"/>
      <c r="H12" s="235"/>
      <c r="I12" s="235"/>
    </row>
    <row r="13" spans="1:9" ht="19.5" customHeight="1">
      <c r="A13" s="243" t="s">
        <v>209</v>
      </c>
      <c r="B13" s="235"/>
      <c r="C13" s="235"/>
      <c r="D13" s="235"/>
      <c r="E13" s="235"/>
      <c r="F13" s="235"/>
      <c r="G13" s="235"/>
      <c r="H13" s="235"/>
      <c r="I13" s="235"/>
    </row>
    <row r="14" spans="1:9" ht="19.5" customHeight="1">
      <c r="A14" s="235"/>
      <c r="B14" s="243"/>
      <c r="C14" s="243"/>
      <c r="D14" s="243" t="s">
        <v>115</v>
      </c>
      <c r="E14" s="243" t="s">
        <v>210</v>
      </c>
      <c r="F14" s="235"/>
      <c r="G14" s="235"/>
      <c r="H14" s="235"/>
      <c r="I14" s="235"/>
    </row>
    <row r="15" spans="1:9" ht="19.5" customHeight="1">
      <c r="A15" s="235" t="s">
        <v>211</v>
      </c>
      <c r="B15" s="235"/>
      <c r="C15" s="244"/>
      <c r="D15" s="244"/>
      <c r="E15" s="245">
        <f>SUM(C15:D15)</f>
        <v>0</v>
      </c>
      <c r="F15" s="235"/>
      <c r="G15" s="235"/>
      <c r="H15" s="235"/>
      <c r="I15" s="235"/>
    </row>
    <row r="16" spans="1:9" ht="19.5" customHeight="1">
      <c r="A16" s="235"/>
      <c r="B16" s="235"/>
      <c r="C16" s="244">
        <v>0</v>
      </c>
      <c r="D16" s="244">
        <v>0</v>
      </c>
      <c r="E16" s="244">
        <f>SUM(C16:D16)</f>
        <v>0</v>
      </c>
      <c r="F16" s="235"/>
      <c r="G16" s="235"/>
      <c r="H16" s="235"/>
      <c r="I16" s="235"/>
    </row>
    <row r="17" ht="19.5" customHeight="1">
      <c r="A17" s="174" t="s">
        <v>212</v>
      </c>
    </row>
  </sheetData>
  <sheetProtection selectLockedCells="1" selectUnlockedCells="1"/>
  <mergeCells count="3">
    <mergeCell ref="A1:I1"/>
    <mergeCell ref="A3:I3"/>
    <mergeCell ref="A10:C10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105" r:id="rId1"/>
  <headerFooter alignWithMargins="0">
    <oddHeader>&amp;R7.melléklet a 3/2018.(II.21.)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97"/>
  <sheetViews>
    <sheetView view="pageBreakPreview" zoomScale="50" zoomScaleNormal="85" zoomScaleSheetLayoutView="50" zoomScalePageLayoutView="0" workbookViewId="0" topLeftCell="A43">
      <selection activeCell="E54" sqref="E54"/>
    </sheetView>
  </sheetViews>
  <sheetFormatPr defaultColWidth="9.140625" defaultRowHeight="12.75"/>
  <cols>
    <col min="1" max="1" width="11.421875" style="246" customWidth="1"/>
    <col min="2" max="2" width="71.8515625" style="246" customWidth="1"/>
    <col min="3" max="3" width="21.421875" style="246" customWidth="1"/>
    <col min="4" max="4" width="20.140625" style="246" customWidth="1"/>
    <col min="5" max="5" width="20.7109375" style="246" customWidth="1"/>
    <col min="6" max="6" width="20.140625" style="246" customWidth="1"/>
    <col min="7" max="7" width="14.7109375" style="246" customWidth="1"/>
    <col min="8" max="8" width="24.57421875" style="246" customWidth="1"/>
    <col min="9" max="9" width="12.00390625" style="246" customWidth="1"/>
    <col min="10" max="16384" width="9.140625" style="246" customWidth="1"/>
  </cols>
  <sheetData>
    <row r="1" spans="1:7" s="247" customFormat="1" ht="21" customHeight="1">
      <c r="A1" s="85"/>
      <c r="B1" s="85"/>
      <c r="C1" s="85"/>
      <c r="D1" s="85"/>
      <c r="E1" s="85"/>
      <c r="F1" s="85"/>
      <c r="G1" s="85"/>
    </row>
    <row r="2" spans="1:7" s="250" customFormat="1" ht="25.5" customHeight="1">
      <c r="A2" s="248"/>
      <c r="B2" s="248"/>
      <c r="C2" s="249" t="s">
        <v>352</v>
      </c>
      <c r="D2" s="247"/>
      <c r="E2" s="247"/>
      <c r="F2" s="247"/>
      <c r="G2" s="247"/>
    </row>
    <row r="3" spans="1:3" s="250" customFormat="1" ht="18.75">
      <c r="A3" s="251"/>
      <c r="B3" s="252" t="s">
        <v>213</v>
      </c>
      <c r="C3" s="253" t="s">
        <v>214</v>
      </c>
    </row>
    <row r="4" spans="1:3" s="250" customFormat="1" ht="15.75" customHeight="1">
      <c r="A4" s="254"/>
      <c r="B4" s="252" t="s">
        <v>215</v>
      </c>
      <c r="C4" s="255" t="s">
        <v>216</v>
      </c>
    </row>
    <row r="5" spans="1:7" ht="18.75">
      <c r="A5" s="256"/>
      <c r="B5" s="256"/>
      <c r="C5" s="257" t="s">
        <v>110</v>
      </c>
      <c r="D5" s="250"/>
      <c r="E5" s="250"/>
      <c r="F5" s="250"/>
      <c r="G5" s="250"/>
    </row>
    <row r="6" spans="1:7" s="259" customFormat="1" ht="28.5" customHeight="1">
      <c r="A6" s="251"/>
      <c r="B6" s="258" t="s">
        <v>217</v>
      </c>
      <c r="C6" s="258" t="s">
        <v>218</v>
      </c>
      <c r="G6" s="246"/>
    </row>
    <row r="7" spans="1:8" s="259" customFormat="1" ht="15.75" customHeight="1">
      <c r="A7" s="251"/>
      <c r="B7" s="251"/>
      <c r="C7" s="491">
        <v>2018</v>
      </c>
      <c r="D7" s="492"/>
      <c r="E7" s="492"/>
      <c r="F7" s="492"/>
      <c r="G7" s="492"/>
      <c r="H7" s="493"/>
    </row>
    <row r="8" spans="1:8" s="259" customFormat="1" ht="45">
      <c r="A8" s="260"/>
      <c r="B8" s="260" t="s">
        <v>219</v>
      </c>
      <c r="C8" s="379" t="s">
        <v>361</v>
      </c>
      <c r="D8" s="379" t="s">
        <v>397</v>
      </c>
      <c r="E8" s="379" t="s">
        <v>360</v>
      </c>
      <c r="F8" s="418" t="s">
        <v>363</v>
      </c>
      <c r="G8" s="421" t="s">
        <v>395</v>
      </c>
      <c r="H8" s="421" t="s">
        <v>398</v>
      </c>
    </row>
    <row r="9" spans="1:8" s="263" customFormat="1" ht="27.75" customHeight="1">
      <c r="A9" s="251" t="s">
        <v>7</v>
      </c>
      <c r="B9" s="261" t="s">
        <v>8</v>
      </c>
      <c r="C9" s="262">
        <f>SUM(C10:C15)</f>
        <v>654552</v>
      </c>
      <c r="D9" s="262">
        <f>SUM(D10:D15)</f>
        <v>660730</v>
      </c>
      <c r="E9" s="262">
        <f>SUM(E10:E15)</f>
        <v>2906</v>
      </c>
      <c r="F9" s="262">
        <f>SUM(F10:F15)</f>
        <v>663636</v>
      </c>
      <c r="G9" s="262">
        <f>SUM(G10:G15)</f>
        <v>347557</v>
      </c>
      <c r="H9" s="444">
        <f>G9/F9</f>
        <v>0.5237163143651038</v>
      </c>
    </row>
    <row r="10" spans="1:8" s="267" customFormat="1" ht="36">
      <c r="A10" s="264"/>
      <c r="B10" s="265" t="s">
        <v>9</v>
      </c>
      <c r="C10" s="266">
        <v>258888</v>
      </c>
      <c r="D10" s="266">
        <v>258888</v>
      </c>
      <c r="E10" s="266">
        <v>475</v>
      </c>
      <c r="F10" s="423">
        <f aca="true" t="shared" si="0" ref="F10:F45">D10+E10</f>
        <v>259363</v>
      </c>
      <c r="G10" s="423">
        <v>135097</v>
      </c>
      <c r="H10" s="438">
        <f aca="true" t="shared" si="1" ref="H10:H47">G10/F10</f>
        <v>0.520880002159136</v>
      </c>
    </row>
    <row r="11" spans="1:8" s="267" customFormat="1" ht="36">
      <c r="A11" s="64"/>
      <c r="B11" s="265" t="s">
        <v>10</v>
      </c>
      <c r="C11" s="268">
        <v>189021</v>
      </c>
      <c r="D11" s="266">
        <v>189021</v>
      </c>
      <c r="E11" s="266"/>
      <c r="F11" s="266">
        <v>189021</v>
      </c>
      <c r="G11" s="423">
        <v>97119</v>
      </c>
      <c r="H11" s="438">
        <f t="shared" si="1"/>
        <v>0.5138000539622581</v>
      </c>
    </row>
    <row r="12" spans="1:8" s="267" customFormat="1" ht="36">
      <c r="A12" s="64"/>
      <c r="B12" s="265" t="s">
        <v>11</v>
      </c>
      <c r="C12" s="268">
        <v>192784</v>
      </c>
      <c r="D12" s="266">
        <v>194536</v>
      </c>
      <c r="E12" s="266">
        <v>930</v>
      </c>
      <c r="F12" s="423">
        <f t="shared" si="0"/>
        <v>195466</v>
      </c>
      <c r="G12" s="423">
        <v>103067</v>
      </c>
      <c r="H12" s="438">
        <f t="shared" si="1"/>
        <v>0.5272886333173032</v>
      </c>
    </row>
    <row r="13" spans="1:8" s="267" customFormat="1" ht="35.25" customHeight="1">
      <c r="A13" s="64"/>
      <c r="B13" s="265" t="s">
        <v>12</v>
      </c>
      <c r="C13" s="268">
        <v>13859</v>
      </c>
      <c r="D13" s="266">
        <v>14894</v>
      </c>
      <c r="E13" s="266">
        <v>1271</v>
      </c>
      <c r="F13" s="423">
        <f t="shared" si="0"/>
        <v>16165</v>
      </c>
      <c r="G13" s="423">
        <v>8652</v>
      </c>
      <c r="H13" s="438">
        <f t="shared" si="1"/>
        <v>0.5352304361274358</v>
      </c>
    </row>
    <row r="14" spans="1:8" s="267" customFormat="1" ht="50.25" customHeight="1">
      <c r="A14" s="64"/>
      <c r="B14" s="265" t="s">
        <v>13</v>
      </c>
      <c r="C14" s="268"/>
      <c r="D14" s="266">
        <v>3391</v>
      </c>
      <c r="E14" s="266">
        <f>1345-1115</f>
        <v>230</v>
      </c>
      <c r="F14" s="423">
        <f t="shared" si="0"/>
        <v>3621</v>
      </c>
      <c r="G14" s="423">
        <v>3622</v>
      </c>
      <c r="H14" s="438">
        <f t="shared" si="1"/>
        <v>1.0002761668047502</v>
      </c>
    </row>
    <row r="15" spans="1:8" s="267" customFormat="1" ht="18.75">
      <c r="A15" s="64"/>
      <c r="B15" s="265" t="s">
        <v>14</v>
      </c>
      <c r="C15" s="268"/>
      <c r="D15" s="268"/>
      <c r="E15" s="269"/>
      <c r="F15" s="422">
        <f t="shared" si="0"/>
        <v>0</v>
      </c>
      <c r="G15" s="423"/>
      <c r="H15" s="438"/>
    </row>
    <row r="16" spans="1:8" s="263" customFormat="1" ht="36">
      <c r="A16" s="64" t="s">
        <v>15</v>
      </c>
      <c r="B16" s="261" t="s">
        <v>16</v>
      </c>
      <c r="C16" s="270">
        <f>C17+C18+C19+C20</f>
        <v>61940</v>
      </c>
      <c r="D16" s="270">
        <f>D17+D18+D19+D20</f>
        <v>67940</v>
      </c>
      <c r="E16" s="270">
        <f>E17+E18+E19+E20</f>
        <v>1190</v>
      </c>
      <c r="F16" s="270">
        <f>F17+F18+F19+F20</f>
        <v>69130</v>
      </c>
      <c r="G16" s="270">
        <f>G17+G18+G19+G20</f>
        <v>34572</v>
      </c>
      <c r="H16" s="444">
        <f t="shared" si="1"/>
        <v>0.5001012584984811</v>
      </c>
    </row>
    <row r="17" spans="1:8" s="263" customFormat="1" ht="36">
      <c r="A17" s="264"/>
      <c r="B17" s="265" t="s">
        <v>17</v>
      </c>
      <c r="C17" s="266">
        <v>2160</v>
      </c>
      <c r="D17" s="266">
        <v>2160</v>
      </c>
      <c r="E17" s="266"/>
      <c r="F17" s="423">
        <f t="shared" si="0"/>
        <v>2160</v>
      </c>
      <c r="G17" s="423">
        <v>640</v>
      </c>
      <c r="H17" s="438">
        <f t="shared" si="1"/>
        <v>0.2962962962962963</v>
      </c>
    </row>
    <row r="18" spans="1:8" s="263" customFormat="1" ht="36">
      <c r="A18" s="64"/>
      <c r="B18" s="265" t="s">
        <v>18</v>
      </c>
      <c r="C18" s="268"/>
      <c r="D18" s="266"/>
      <c r="E18" s="266">
        <v>1190</v>
      </c>
      <c r="F18" s="423">
        <f t="shared" si="0"/>
        <v>1190</v>
      </c>
      <c r="G18" s="423">
        <v>1190</v>
      </c>
      <c r="H18" s="438"/>
    </row>
    <row r="19" spans="1:8" s="263" customFormat="1" ht="36">
      <c r="A19" s="64"/>
      <c r="B19" s="265" t="s">
        <v>19</v>
      </c>
      <c r="C19" s="268">
        <v>47682</v>
      </c>
      <c r="D19" s="266">
        <v>53682</v>
      </c>
      <c r="E19" s="266"/>
      <c r="F19" s="423">
        <f t="shared" si="0"/>
        <v>53682</v>
      </c>
      <c r="G19" s="423">
        <v>29375</v>
      </c>
      <c r="H19" s="438">
        <f t="shared" si="1"/>
        <v>0.547203904474498</v>
      </c>
    </row>
    <row r="20" spans="1:8" s="263" customFormat="1" ht="36">
      <c r="A20" s="64"/>
      <c r="B20" s="265" t="s">
        <v>20</v>
      </c>
      <c r="C20" s="268">
        <v>12098</v>
      </c>
      <c r="D20" s="266">
        <v>12098</v>
      </c>
      <c r="E20" s="266"/>
      <c r="F20" s="423">
        <f t="shared" si="0"/>
        <v>12098</v>
      </c>
      <c r="G20" s="423">
        <v>3367</v>
      </c>
      <c r="H20" s="438">
        <f t="shared" si="1"/>
        <v>0.2783104645395933</v>
      </c>
    </row>
    <row r="21" spans="1:8" s="263" customFormat="1" ht="36">
      <c r="A21" s="64" t="s">
        <v>21</v>
      </c>
      <c r="B21" s="271" t="s">
        <v>22</v>
      </c>
      <c r="C21" s="270">
        <f>C22</f>
        <v>0</v>
      </c>
      <c r="D21" s="270">
        <f>D22</f>
        <v>0</v>
      </c>
      <c r="E21" s="270">
        <f>E22</f>
        <v>0</v>
      </c>
      <c r="F21" s="422">
        <f t="shared" si="0"/>
        <v>0</v>
      </c>
      <c r="G21" s="423"/>
      <c r="H21" s="438"/>
    </row>
    <row r="22" spans="1:8" s="263" customFormat="1" ht="18.75">
      <c r="A22" s="64"/>
      <c r="B22" s="272" t="s">
        <v>220</v>
      </c>
      <c r="C22" s="273"/>
      <c r="D22" s="274"/>
      <c r="E22" s="268"/>
      <c r="F22" s="422">
        <f t="shared" si="0"/>
        <v>0</v>
      </c>
      <c r="G22" s="423"/>
      <c r="H22" s="438"/>
    </row>
    <row r="23" spans="1:8" s="267" customFormat="1" ht="38.25" customHeight="1">
      <c r="A23" s="275" t="s">
        <v>24</v>
      </c>
      <c r="B23" s="271" t="s">
        <v>25</v>
      </c>
      <c r="C23" s="270">
        <f>SUM(C24:C27)</f>
        <v>254210</v>
      </c>
      <c r="D23" s="270">
        <f>SUM(D24:D27)</f>
        <v>254210</v>
      </c>
      <c r="E23" s="270">
        <f>SUM(E24:E27)</f>
        <v>30000</v>
      </c>
      <c r="F23" s="270">
        <f>SUM(F24:F27)</f>
        <v>284210</v>
      </c>
      <c r="G23" s="270">
        <f>SUM(G24:G27)</f>
        <v>143785</v>
      </c>
      <c r="H23" s="444">
        <f t="shared" si="1"/>
        <v>0.5059111220576334</v>
      </c>
    </row>
    <row r="24" spans="1:8" s="267" customFormat="1" ht="36">
      <c r="A24" s="64"/>
      <c r="B24" s="276" t="s">
        <v>26</v>
      </c>
      <c r="C24" s="268">
        <v>221700</v>
      </c>
      <c r="D24" s="268">
        <v>221700</v>
      </c>
      <c r="E24" s="268">
        <v>30000</v>
      </c>
      <c r="F24" s="423">
        <f t="shared" si="0"/>
        <v>251700</v>
      </c>
      <c r="G24" s="423">
        <v>122380</v>
      </c>
      <c r="H24" s="438">
        <f t="shared" si="1"/>
        <v>0.48621374652363925</v>
      </c>
    </row>
    <row r="25" spans="1:8" s="267" customFormat="1" ht="18.75">
      <c r="A25" s="65"/>
      <c r="B25" s="276" t="s">
        <v>27</v>
      </c>
      <c r="C25" s="268">
        <v>26000</v>
      </c>
      <c r="D25" s="268">
        <v>26000</v>
      </c>
      <c r="E25" s="269"/>
      <c r="F25" s="423">
        <f t="shared" si="0"/>
        <v>26000</v>
      </c>
      <c r="G25" s="423">
        <v>16982</v>
      </c>
      <c r="H25" s="438">
        <f t="shared" si="1"/>
        <v>0.6531538461538462</v>
      </c>
    </row>
    <row r="26" spans="1:8" s="263" customFormat="1" ht="18.75">
      <c r="A26" s="64"/>
      <c r="B26" s="276" t="s">
        <v>28</v>
      </c>
      <c r="C26" s="268">
        <v>3000</v>
      </c>
      <c r="D26" s="268">
        <v>3000</v>
      </c>
      <c r="E26" s="277"/>
      <c r="F26" s="423">
        <f t="shared" si="0"/>
        <v>3000</v>
      </c>
      <c r="G26" s="423">
        <v>2595</v>
      </c>
      <c r="H26" s="438">
        <f t="shared" si="1"/>
        <v>0.865</v>
      </c>
    </row>
    <row r="27" spans="1:8" s="267" customFormat="1" ht="86.25" customHeight="1">
      <c r="A27" s="264"/>
      <c r="B27" s="276" t="s">
        <v>29</v>
      </c>
      <c r="C27" s="266">
        <v>3510</v>
      </c>
      <c r="D27" s="268">
        <v>3510</v>
      </c>
      <c r="E27" s="269"/>
      <c r="F27" s="423">
        <f t="shared" si="0"/>
        <v>3510</v>
      </c>
      <c r="G27" s="423">
        <f>4423-2595</f>
        <v>1828</v>
      </c>
      <c r="H27" s="438">
        <f t="shared" si="1"/>
        <v>0.5207977207977208</v>
      </c>
    </row>
    <row r="28" spans="1:8" s="267" customFormat="1" ht="27.75" customHeight="1">
      <c r="A28" s="275" t="s">
        <v>30</v>
      </c>
      <c r="B28" s="278" t="s">
        <v>31</v>
      </c>
      <c r="C28" s="270">
        <f>C29+C30+C31+C32+C33</f>
        <v>136545</v>
      </c>
      <c r="D28" s="270">
        <f>D29+D30+D31+D32+D33</f>
        <v>136545</v>
      </c>
      <c r="E28" s="270">
        <f>E29+E30+E31+E32+E33</f>
        <v>0</v>
      </c>
      <c r="F28" s="270">
        <f>F29+F30+F31+F32+F33</f>
        <v>136545</v>
      </c>
      <c r="G28" s="270">
        <f>G29+G30+G31+G32+G33</f>
        <v>27290</v>
      </c>
      <c r="H28" s="444">
        <f t="shared" si="1"/>
        <v>0.19986085173386064</v>
      </c>
    </row>
    <row r="29" spans="1:8" s="267" customFormat="1" ht="54">
      <c r="A29" s="64"/>
      <c r="B29" s="265" t="s">
        <v>32</v>
      </c>
      <c r="C29" s="268">
        <v>120177</v>
      </c>
      <c r="D29" s="268">
        <v>120177</v>
      </c>
      <c r="E29" s="268"/>
      <c r="F29" s="423">
        <f t="shared" si="0"/>
        <v>120177</v>
      </c>
      <c r="G29" s="423">
        <v>27290</v>
      </c>
      <c r="H29" s="438">
        <f t="shared" si="1"/>
        <v>0.22708172112800287</v>
      </c>
    </row>
    <row r="30" spans="1:8" s="267" customFormat="1" ht="20.25" customHeight="1">
      <c r="A30" s="64"/>
      <c r="B30" s="265" t="s">
        <v>33</v>
      </c>
      <c r="C30" s="268">
        <v>15412</v>
      </c>
      <c r="D30" s="268">
        <v>15412</v>
      </c>
      <c r="E30" s="268"/>
      <c r="F30" s="423">
        <f t="shared" si="0"/>
        <v>15412</v>
      </c>
      <c r="G30" s="423">
        <v>0</v>
      </c>
      <c r="H30" s="438">
        <f t="shared" si="1"/>
        <v>0</v>
      </c>
    </row>
    <row r="31" spans="1:8" s="267" customFormat="1" ht="18" customHeight="1">
      <c r="A31" s="64"/>
      <c r="B31" s="265" t="s">
        <v>34</v>
      </c>
      <c r="C31" s="268"/>
      <c r="D31" s="268"/>
      <c r="E31" s="268"/>
      <c r="F31" s="423">
        <f t="shared" si="0"/>
        <v>0</v>
      </c>
      <c r="G31" s="423"/>
      <c r="H31" s="438"/>
    </row>
    <row r="32" spans="1:8" s="267" customFormat="1" ht="15" customHeight="1">
      <c r="A32" s="64"/>
      <c r="B32" s="265" t="s">
        <v>35</v>
      </c>
      <c r="C32" s="268">
        <v>700</v>
      </c>
      <c r="D32" s="268">
        <v>700</v>
      </c>
      <c r="E32" s="268"/>
      <c r="F32" s="423">
        <f t="shared" si="0"/>
        <v>700</v>
      </c>
      <c r="G32" s="423"/>
      <c r="H32" s="438">
        <f t="shared" si="1"/>
        <v>0</v>
      </c>
    </row>
    <row r="33" spans="1:8" s="267" customFormat="1" ht="18.75">
      <c r="A33" s="64"/>
      <c r="B33" s="265" t="s">
        <v>36</v>
      </c>
      <c r="C33" s="268">
        <v>256</v>
      </c>
      <c r="D33" s="268">
        <v>256</v>
      </c>
      <c r="E33" s="268"/>
      <c r="F33" s="423">
        <f t="shared" si="0"/>
        <v>256</v>
      </c>
      <c r="G33" s="423"/>
      <c r="H33" s="438">
        <f t="shared" si="1"/>
        <v>0</v>
      </c>
    </row>
    <row r="34" spans="1:8" s="267" customFormat="1" ht="18.75">
      <c r="A34" s="275" t="s">
        <v>37</v>
      </c>
      <c r="B34" s="271" t="s">
        <v>38</v>
      </c>
      <c r="C34" s="270">
        <f>C35+C36</f>
        <v>0</v>
      </c>
      <c r="D34" s="270">
        <f>D35+D36</f>
        <v>0</v>
      </c>
      <c r="E34" s="270">
        <f>E35+E36</f>
        <v>24434</v>
      </c>
      <c r="F34" s="422">
        <f>D34+E34</f>
        <v>24434</v>
      </c>
      <c r="G34" s="422">
        <v>820</v>
      </c>
      <c r="H34" s="438">
        <f t="shared" si="1"/>
        <v>0.03355979373004829</v>
      </c>
    </row>
    <row r="35" spans="1:8" s="267" customFormat="1" ht="18.75">
      <c r="A35" s="65"/>
      <c r="B35" s="265" t="s">
        <v>39</v>
      </c>
      <c r="C35" s="268"/>
      <c r="D35" s="268">
        <v>0</v>
      </c>
      <c r="E35" s="268">
        <v>24434</v>
      </c>
      <c r="F35" s="423">
        <f>D35+E35</f>
        <v>24434</v>
      </c>
      <c r="G35" s="423"/>
      <c r="H35" s="438">
        <f t="shared" si="1"/>
        <v>0</v>
      </c>
    </row>
    <row r="36" spans="1:8" s="267" customFormat="1" ht="18.75">
      <c r="A36" s="66"/>
      <c r="B36" s="265" t="s">
        <v>401</v>
      </c>
      <c r="C36" s="268"/>
      <c r="D36" s="268"/>
      <c r="E36" s="268"/>
      <c r="F36" s="423"/>
      <c r="G36" s="423">
        <v>820</v>
      </c>
      <c r="H36" s="438"/>
    </row>
    <row r="37" spans="1:8" s="267" customFormat="1" ht="18" customHeight="1">
      <c r="A37" s="279" t="s">
        <v>40</v>
      </c>
      <c r="B37" s="271" t="s">
        <v>41</v>
      </c>
      <c r="C37" s="268">
        <f>C38</f>
        <v>0</v>
      </c>
      <c r="D37" s="268"/>
      <c r="E37" s="268"/>
      <c r="F37" s="422">
        <f t="shared" si="0"/>
        <v>0</v>
      </c>
      <c r="G37" s="423"/>
      <c r="H37" s="438"/>
    </row>
    <row r="38" spans="1:8" s="267" customFormat="1" ht="21.75" customHeight="1">
      <c r="A38" s="68"/>
      <c r="B38" s="265" t="s">
        <v>221</v>
      </c>
      <c r="C38" s="268"/>
      <c r="D38" s="268"/>
      <c r="E38" s="268"/>
      <c r="F38" s="422">
        <f t="shared" si="0"/>
        <v>0</v>
      </c>
      <c r="G38" s="423"/>
      <c r="H38" s="438"/>
    </row>
    <row r="39" spans="1:8" s="267" customFormat="1" ht="26.25" customHeight="1">
      <c r="A39" s="279" t="s">
        <v>43</v>
      </c>
      <c r="B39" s="271" t="s">
        <v>44</v>
      </c>
      <c r="C39" s="270">
        <f>C40+C41</f>
        <v>227889</v>
      </c>
      <c r="D39" s="270">
        <f>D40+D41</f>
        <v>257889</v>
      </c>
      <c r="E39" s="270">
        <f>E40+E41</f>
        <v>147548</v>
      </c>
      <c r="F39" s="270">
        <f>F40+F41</f>
        <v>405437</v>
      </c>
      <c r="G39" s="270">
        <f>G40+G41</f>
        <v>257424</v>
      </c>
      <c r="H39" s="444">
        <f t="shared" si="1"/>
        <v>0.6349297178106587</v>
      </c>
    </row>
    <row r="40" spans="1:8" s="267" customFormat="1" ht="54">
      <c r="A40" s="68"/>
      <c r="B40" s="276" t="s">
        <v>222</v>
      </c>
      <c r="C40" s="268">
        <v>24000</v>
      </c>
      <c r="D40" s="268">
        <v>24000</v>
      </c>
      <c r="E40" s="268"/>
      <c r="F40" s="423">
        <f t="shared" si="0"/>
        <v>24000</v>
      </c>
      <c r="G40" s="423">
        <v>4689</v>
      </c>
      <c r="H40" s="438">
        <f t="shared" si="1"/>
        <v>0.195375</v>
      </c>
    </row>
    <row r="41" spans="1:8" s="267" customFormat="1" ht="36">
      <c r="A41" s="68"/>
      <c r="B41" s="276" t="s">
        <v>223</v>
      </c>
      <c r="C41" s="268">
        <v>203889</v>
      </c>
      <c r="D41" s="268">
        <v>233889</v>
      </c>
      <c r="E41" s="268">
        <v>147548</v>
      </c>
      <c r="F41" s="423">
        <f t="shared" si="0"/>
        <v>381437</v>
      </c>
      <c r="G41" s="423">
        <v>252735</v>
      </c>
      <c r="H41" s="438">
        <f t="shared" si="1"/>
        <v>0.6625864821713677</v>
      </c>
    </row>
    <row r="42" spans="1:8" s="267" customFormat="1" ht="41.25" customHeight="1">
      <c r="A42" s="68"/>
      <c r="B42" s="271" t="s">
        <v>47</v>
      </c>
      <c r="C42" s="270">
        <f>C9+C16+C21+C23+C28+C34+C37+C39</f>
        <v>1335136</v>
      </c>
      <c r="D42" s="270">
        <f>D9+D16+D21+D23+D28+D34+D37+D39</f>
        <v>1377314</v>
      </c>
      <c r="E42" s="270">
        <f>E9+E16+E21+E23+E28+E34+E37+E39</f>
        <v>206078</v>
      </c>
      <c r="F42" s="270">
        <f>F9+F16+F21+F23+F28+F34+F37+F39</f>
        <v>1583392</v>
      </c>
      <c r="G42" s="270">
        <f>G9+G16+G21+G23+G28+G34+G37+G39</f>
        <v>811448</v>
      </c>
      <c r="H42" s="444">
        <f t="shared" si="1"/>
        <v>0.5124744851559184</v>
      </c>
    </row>
    <row r="43" spans="1:8" s="267" customFormat="1" ht="18.75">
      <c r="A43" s="279" t="s">
        <v>48</v>
      </c>
      <c r="B43" s="271" t="s">
        <v>224</v>
      </c>
      <c r="C43" s="266">
        <f>23712+73660</f>
        <v>97372</v>
      </c>
      <c r="D43" s="280">
        <v>97372</v>
      </c>
      <c r="E43" s="268"/>
      <c r="F43" s="423">
        <f t="shared" si="0"/>
        <v>97372</v>
      </c>
      <c r="G43" s="423"/>
      <c r="H43" s="438">
        <f t="shared" si="1"/>
        <v>0</v>
      </c>
    </row>
    <row r="44" spans="1:8" s="267" customFormat="1" ht="36">
      <c r="A44" s="279" t="s">
        <v>50</v>
      </c>
      <c r="B44" s="271" t="s">
        <v>51</v>
      </c>
      <c r="C44" s="268">
        <f>'1_A melléklet'!C32</f>
        <v>66756</v>
      </c>
      <c r="D44" s="268">
        <v>66756</v>
      </c>
      <c r="E44" s="268"/>
      <c r="F44" s="423">
        <f t="shared" si="0"/>
        <v>66756</v>
      </c>
      <c r="G44" s="423">
        <v>66756</v>
      </c>
      <c r="H44" s="438">
        <f t="shared" si="1"/>
        <v>1</v>
      </c>
    </row>
    <row r="45" spans="1:8" s="267" customFormat="1" ht="36">
      <c r="A45" s="279" t="s">
        <v>52</v>
      </c>
      <c r="B45" s="271" t="s">
        <v>53</v>
      </c>
      <c r="C45" s="268">
        <f>1_B_MELLÉKLET!C16</f>
        <v>351965</v>
      </c>
      <c r="D45" s="268">
        <v>370455</v>
      </c>
      <c r="E45" s="268"/>
      <c r="F45" s="423">
        <f t="shared" si="0"/>
        <v>370455</v>
      </c>
      <c r="G45" s="423">
        <v>370455</v>
      </c>
      <c r="H45" s="438">
        <f t="shared" si="1"/>
        <v>1</v>
      </c>
    </row>
    <row r="46" spans="1:8" s="267" customFormat="1" ht="18.75">
      <c r="A46" s="68"/>
      <c r="B46" s="271" t="s">
        <v>54</v>
      </c>
      <c r="C46" s="270">
        <f>C43+C44+C45</f>
        <v>516093</v>
      </c>
      <c r="D46" s="270">
        <f>D43+D44+D45</f>
        <v>534583</v>
      </c>
      <c r="E46" s="270">
        <f>E43+E44+E45</f>
        <v>0</v>
      </c>
      <c r="F46" s="270">
        <f>F43+F44+F45</f>
        <v>534583</v>
      </c>
      <c r="G46" s="270">
        <f>G43+G44+G45</f>
        <v>437211</v>
      </c>
      <c r="H46" s="444">
        <f t="shared" si="1"/>
        <v>0.8178542901663539</v>
      </c>
    </row>
    <row r="47" spans="1:8" s="267" customFormat="1" ht="27.75" customHeight="1">
      <c r="A47" s="68"/>
      <c r="B47" s="261" t="s">
        <v>57</v>
      </c>
      <c r="C47" s="270">
        <f>C42+C46</f>
        <v>1851229</v>
      </c>
      <c r="D47" s="270">
        <f>D42+D46</f>
        <v>1911897</v>
      </c>
      <c r="E47" s="270">
        <f>E42+E46</f>
        <v>206078</v>
      </c>
      <c r="F47" s="270">
        <f>F42+F46</f>
        <v>2117975</v>
      </c>
      <c r="G47" s="270">
        <f>G42+G46</f>
        <v>1248659</v>
      </c>
      <c r="H47" s="444">
        <f t="shared" si="1"/>
        <v>0.5895532289096896</v>
      </c>
    </row>
    <row r="48" spans="1:8" ht="18.75">
      <c r="A48" s="281"/>
      <c r="B48" s="282"/>
      <c r="C48" s="283"/>
      <c r="D48"/>
      <c r="E48"/>
      <c r="F48" s="423">
        <f>'9.  melléklet Hivatal'!F115</f>
        <v>0</v>
      </c>
      <c r="G48" s="424"/>
      <c r="H48" s="425"/>
    </row>
    <row r="49" spans="1:8" s="259" customFormat="1" ht="19.5" customHeight="1">
      <c r="A49" s="81"/>
      <c r="B49" s="81"/>
      <c r="C49" s="494" t="s">
        <v>362</v>
      </c>
      <c r="D49" s="495"/>
      <c r="E49" s="495"/>
      <c r="F49" s="495"/>
      <c r="G49" s="495"/>
      <c r="H49" s="495"/>
    </row>
    <row r="50" spans="1:8" s="263" customFormat="1" ht="56.25" customHeight="1">
      <c r="A50" s="284"/>
      <c r="B50" s="284" t="s">
        <v>225</v>
      </c>
      <c r="C50" s="379" t="s">
        <v>361</v>
      </c>
      <c r="D50" s="379" t="s">
        <v>397</v>
      </c>
      <c r="E50" s="379" t="s">
        <v>360</v>
      </c>
      <c r="F50" s="379" t="s">
        <v>363</v>
      </c>
      <c r="G50" s="379" t="s">
        <v>395</v>
      </c>
      <c r="H50" s="379" t="s">
        <v>398</v>
      </c>
    </row>
    <row r="51" spans="1:8" ht="18.75">
      <c r="A51" s="66" t="s">
        <v>7</v>
      </c>
      <c r="B51" s="285" t="s">
        <v>59</v>
      </c>
      <c r="C51" s="262">
        <f>C52+C53+C54+C57+C58</f>
        <v>526873</v>
      </c>
      <c r="D51" s="262">
        <f>D52+D53+D54+D57+D58</f>
        <v>519414</v>
      </c>
      <c r="E51" s="262">
        <f>E52+E53+E54+E57+E58</f>
        <v>62145</v>
      </c>
      <c r="F51" s="262">
        <f>F52+F53+F54+F57+F58</f>
        <v>581559</v>
      </c>
      <c r="G51" s="262">
        <f>G52+G53+G54+G57+G58</f>
        <v>244160</v>
      </c>
      <c r="H51" s="444">
        <f aca="true" t="shared" si="2" ref="H51:H79">G51/F51</f>
        <v>0.4198370242744072</v>
      </c>
    </row>
    <row r="52" spans="1:8" ht="18.75">
      <c r="A52" s="74"/>
      <c r="B52" s="286" t="s">
        <v>60</v>
      </c>
      <c r="C52" s="268">
        <v>88371</v>
      </c>
      <c r="D52" s="268">
        <v>92935</v>
      </c>
      <c r="E52" s="268">
        <f>184-938</f>
        <v>-754</v>
      </c>
      <c r="F52" s="266">
        <f aca="true" t="shared" si="3" ref="F52:F81">D52+E52</f>
        <v>92181</v>
      </c>
      <c r="G52" s="268">
        <v>45890</v>
      </c>
      <c r="H52" s="438">
        <f t="shared" si="2"/>
        <v>0.49782493138499256</v>
      </c>
    </row>
    <row r="53" spans="1:8" ht="45.75" customHeight="1">
      <c r="A53" s="68"/>
      <c r="B53" s="287" t="s">
        <v>61</v>
      </c>
      <c r="C53" s="268">
        <v>17541</v>
      </c>
      <c r="D53" s="268">
        <v>18460</v>
      </c>
      <c r="E53" s="268">
        <f>36-165</f>
        <v>-129</v>
      </c>
      <c r="F53" s="266">
        <f t="shared" si="3"/>
        <v>18331</v>
      </c>
      <c r="G53" s="268">
        <v>9824</v>
      </c>
      <c r="H53" s="438">
        <f t="shared" si="2"/>
        <v>0.5359227538050297</v>
      </c>
    </row>
    <row r="54" spans="1:8" ht="21.75" customHeight="1">
      <c r="A54" s="68"/>
      <c r="B54" s="287" t="s">
        <v>62</v>
      </c>
      <c r="C54" s="268">
        <v>332997</v>
      </c>
      <c r="D54" s="268">
        <v>342687</v>
      </c>
      <c r="E54" s="268">
        <f>20000+16000+9000+239</f>
        <v>45239</v>
      </c>
      <c r="F54" s="266">
        <f t="shared" si="3"/>
        <v>387926</v>
      </c>
      <c r="G54" s="268">
        <v>156877</v>
      </c>
      <c r="H54" s="438">
        <f t="shared" si="2"/>
        <v>0.4043992926485979</v>
      </c>
    </row>
    <row r="55" spans="1:8" ht="36">
      <c r="A55" s="68"/>
      <c r="B55" s="287" t="s">
        <v>63</v>
      </c>
      <c r="C55" s="268"/>
      <c r="D55" s="268"/>
      <c r="E55" s="268"/>
      <c r="F55" s="262">
        <f t="shared" si="3"/>
        <v>0</v>
      </c>
      <c r="G55" s="268"/>
      <c r="H55" s="438"/>
    </row>
    <row r="56" spans="1:8" ht="18.75">
      <c r="A56" s="68"/>
      <c r="B56" s="287" t="s">
        <v>64</v>
      </c>
      <c r="C56" s="268"/>
      <c r="D56" s="268"/>
      <c r="E56" s="268"/>
      <c r="F56" s="262">
        <f t="shared" si="3"/>
        <v>0</v>
      </c>
      <c r="G56" s="268"/>
      <c r="H56" s="438"/>
    </row>
    <row r="57" spans="1:8" ht="18.75">
      <c r="A57" s="68"/>
      <c r="B57" s="287" t="s">
        <v>65</v>
      </c>
      <c r="C57" s="268">
        <v>19280</v>
      </c>
      <c r="D57" s="268">
        <v>19280</v>
      </c>
      <c r="E57" s="268"/>
      <c r="F57" s="266">
        <f t="shared" si="3"/>
        <v>19280</v>
      </c>
      <c r="G57" s="268">
        <v>1728</v>
      </c>
      <c r="H57" s="438">
        <f t="shared" si="2"/>
        <v>0.08962655601659751</v>
      </c>
    </row>
    <row r="58" spans="1:8" ht="18.75">
      <c r="A58" s="68"/>
      <c r="B58" s="287" t="s">
        <v>66</v>
      </c>
      <c r="C58" s="268">
        <f>C59+C61</f>
        <v>68684</v>
      </c>
      <c r="D58" s="268">
        <v>46052</v>
      </c>
      <c r="E58" s="268">
        <f>E59+E60+E61</f>
        <v>17789</v>
      </c>
      <c r="F58" s="266">
        <f t="shared" si="3"/>
        <v>63841</v>
      </c>
      <c r="G58" s="268">
        <f>17786+G59+G60+G61</f>
        <v>29841</v>
      </c>
      <c r="H58" s="438">
        <f t="shared" si="2"/>
        <v>0.4674268886765558</v>
      </c>
    </row>
    <row r="59" spans="1:8" ht="18.75">
      <c r="A59" s="68"/>
      <c r="B59" s="287" t="s">
        <v>67</v>
      </c>
      <c r="C59" s="268">
        <v>36046</v>
      </c>
      <c r="D59" s="268">
        <v>1097</v>
      </c>
      <c r="E59" s="268">
        <f>'A melléklet'!F34</f>
        <v>17789</v>
      </c>
      <c r="F59" s="266">
        <f t="shared" si="3"/>
        <v>18886</v>
      </c>
      <c r="G59" s="268"/>
      <c r="H59" s="438">
        <f t="shared" si="2"/>
        <v>0</v>
      </c>
    </row>
    <row r="60" spans="1:8" ht="36">
      <c r="A60" s="68"/>
      <c r="B60" s="287" t="s">
        <v>68</v>
      </c>
      <c r="C60"/>
      <c r="D60" s="268"/>
      <c r="E60" s="268"/>
      <c r="F60" s="266">
        <f t="shared" si="3"/>
        <v>0</v>
      </c>
      <c r="G60" s="268"/>
      <c r="H60" s="438"/>
    </row>
    <row r="61" spans="1:8" ht="36">
      <c r="A61" s="68"/>
      <c r="B61" s="287" t="s">
        <v>69</v>
      </c>
      <c r="C61" s="268">
        <f>'16. melléklet'!B26</f>
        <v>32638</v>
      </c>
      <c r="D61" s="268">
        <v>32638</v>
      </c>
      <c r="E61" s="268"/>
      <c r="F61" s="266">
        <f t="shared" si="3"/>
        <v>32638</v>
      </c>
      <c r="G61" s="268">
        <v>12055</v>
      </c>
      <c r="H61" s="438">
        <f t="shared" si="2"/>
        <v>0.36935473987376677</v>
      </c>
    </row>
    <row r="62" spans="1:8" ht="12" customHeight="1">
      <c r="A62" s="68"/>
      <c r="B62" s="288"/>
      <c r="C62" s="268"/>
      <c r="D62" s="277"/>
      <c r="E62" s="277"/>
      <c r="F62" s="262">
        <f t="shared" si="3"/>
        <v>0</v>
      </c>
      <c r="G62" s="268"/>
      <c r="H62" s="438"/>
    </row>
    <row r="63" spans="1:8" s="263" customFormat="1" ht="18.75">
      <c r="A63" s="66" t="s">
        <v>15</v>
      </c>
      <c r="B63" s="285" t="s">
        <v>70</v>
      </c>
      <c r="C63" s="262">
        <f>C64+C67+C68+C71</f>
        <v>709664</v>
      </c>
      <c r="D63" s="262">
        <f>D64+D67+D68+D71</f>
        <v>773642</v>
      </c>
      <c r="E63" s="262">
        <f>E64+E67+E68+E71</f>
        <v>147548</v>
      </c>
      <c r="F63" s="262">
        <f>F64+F67+F68+F71</f>
        <v>921190</v>
      </c>
      <c r="G63" s="262">
        <f>G64+G67+G68+G71</f>
        <v>30137</v>
      </c>
      <c r="H63" s="444">
        <f t="shared" si="2"/>
        <v>0.03271529217642397</v>
      </c>
    </row>
    <row r="64" spans="1:8" s="263" customFormat="1" ht="28.5" customHeight="1">
      <c r="A64" s="74"/>
      <c r="B64" s="123" t="s">
        <v>71</v>
      </c>
      <c r="C64" s="268">
        <f>'4_.melléklet'!C57</f>
        <v>605464</v>
      </c>
      <c r="D64" s="268">
        <v>623844</v>
      </c>
      <c r="E64" s="268">
        <f>'4_.melléklet'!E57</f>
        <v>-10019</v>
      </c>
      <c r="F64" s="266">
        <f t="shared" si="3"/>
        <v>613825</v>
      </c>
      <c r="G64" s="268">
        <v>26120</v>
      </c>
      <c r="H64" s="438">
        <f t="shared" si="2"/>
        <v>0.04255284486620779</v>
      </c>
    </row>
    <row r="65" spans="1:8" s="263" customFormat="1" ht="36">
      <c r="A65" s="74"/>
      <c r="B65" s="287" t="s">
        <v>226</v>
      </c>
      <c r="C65" s="268"/>
      <c r="D65" s="268"/>
      <c r="E65" s="268"/>
      <c r="F65" s="266">
        <f t="shared" si="3"/>
        <v>0</v>
      </c>
      <c r="G65" s="268"/>
      <c r="H65" s="438"/>
    </row>
    <row r="66" spans="1:8" ht="36">
      <c r="A66" s="74"/>
      <c r="B66" s="287" t="s">
        <v>227</v>
      </c>
      <c r="C66" s="268">
        <f>'4_.melléklet'!I22</f>
        <v>0</v>
      </c>
      <c r="D66" s="268"/>
      <c r="E66" s="269"/>
      <c r="F66" s="266">
        <f t="shared" si="3"/>
        <v>0</v>
      </c>
      <c r="G66" s="268"/>
      <c r="H66" s="438"/>
    </row>
    <row r="67" spans="1:8" ht="18.75">
      <c r="A67" s="68"/>
      <c r="B67" s="287" t="s">
        <v>74</v>
      </c>
      <c r="C67" s="268">
        <f>'4_.melléklet'!C16</f>
        <v>49915</v>
      </c>
      <c r="D67" s="268">
        <v>82106</v>
      </c>
      <c r="E67" s="268">
        <f>'4_.melléklet'!E16</f>
        <v>138117</v>
      </c>
      <c r="F67" s="266">
        <f t="shared" si="3"/>
        <v>220223</v>
      </c>
      <c r="G67" s="268">
        <v>4017</v>
      </c>
      <c r="H67" s="438">
        <f t="shared" si="2"/>
        <v>0.018240601572042884</v>
      </c>
    </row>
    <row r="68" spans="1:8" s="263" customFormat="1" ht="18.75">
      <c r="A68" s="68"/>
      <c r="B68" s="287" t="s">
        <v>96</v>
      </c>
      <c r="C68" s="268"/>
      <c r="D68" s="268">
        <v>276</v>
      </c>
      <c r="E68" s="274"/>
      <c r="F68" s="266">
        <f t="shared" si="3"/>
        <v>276</v>
      </c>
      <c r="G68" s="268"/>
      <c r="H68" s="438">
        <f t="shared" si="2"/>
        <v>0</v>
      </c>
    </row>
    <row r="69" spans="1:10" ht="36">
      <c r="A69" s="68"/>
      <c r="B69" s="287" t="s">
        <v>76</v>
      </c>
      <c r="C69" s="268"/>
      <c r="D69" s="274"/>
      <c r="E69" s="274"/>
      <c r="F69" s="266">
        <f t="shared" si="3"/>
        <v>0</v>
      </c>
      <c r="G69" s="268"/>
      <c r="H69" s="438"/>
      <c r="J69" s="289"/>
    </row>
    <row r="70" spans="1:10" ht="36">
      <c r="A70" s="68"/>
      <c r="B70" s="287" t="s">
        <v>77</v>
      </c>
      <c r="C70" s="268"/>
      <c r="D70" s="268">
        <v>276</v>
      </c>
      <c r="E70" s="274"/>
      <c r="F70" s="266">
        <f t="shared" si="3"/>
        <v>276</v>
      </c>
      <c r="G70" s="268"/>
      <c r="H70" s="438">
        <f t="shared" si="2"/>
        <v>0</v>
      </c>
      <c r="J70" s="289"/>
    </row>
    <row r="71" spans="1:8" ht="18.75">
      <c r="A71" s="68"/>
      <c r="B71" s="287" t="s">
        <v>78</v>
      </c>
      <c r="C71" s="268">
        <f>'6.melléket'!C13</f>
        <v>54285</v>
      </c>
      <c r="D71" s="268">
        <v>67416</v>
      </c>
      <c r="E71" s="268">
        <f>'A melléklet'!E52</f>
        <v>19450</v>
      </c>
      <c r="F71" s="266">
        <f t="shared" si="3"/>
        <v>86866</v>
      </c>
      <c r="G71" s="268"/>
      <c r="H71" s="438">
        <f t="shared" si="2"/>
        <v>0</v>
      </c>
    </row>
    <row r="72" spans="1:8" s="263" customFormat="1" ht="22.5" customHeight="1">
      <c r="A72" s="246"/>
      <c r="B72" s="290"/>
      <c r="C72" s="291"/>
      <c r="D72" s="268"/>
      <c r="E72" s="291"/>
      <c r="F72" s="262">
        <f t="shared" si="3"/>
        <v>0</v>
      </c>
      <c r="G72" s="268"/>
      <c r="H72" s="438"/>
    </row>
    <row r="73" spans="1:8" s="263" customFormat="1" ht="18.75">
      <c r="A73" s="66"/>
      <c r="B73" s="292" t="s">
        <v>79</v>
      </c>
      <c r="C73" s="262">
        <f>C51+C63</f>
        <v>1236537</v>
      </c>
      <c r="D73" s="262">
        <f>D51+D63</f>
        <v>1293056</v>
      </c>
      <c r="E73" s="262">
        <f>E51+E63</f>
        <v>209693</v>
      </c>
      <c r="F73" s="262">
        <f>F51+F63</f>
        <v>1502749</v>
      </c>
      <c r="G73" s="262">
        <f>G51+G63</f>
        <v>274297</v>
      </c>
      <c r="H73" s="444">
        <f t="shared" si="2"/>
        <v>0.1825301497455663</v>
      </c>
    </row>
    <row r="74" spans="1:8" s="263" customFormat="1" ht="12" customHeight="1">
      <c r="A74" s="66"/>
      <c r="B74" s="292"/>
      <c r="C74" s="293"/>
      <c r="D74" s="274"/>
      <c r="E74" s="274"/>
      <c r="F74" s="262">
        <f t="shared" si="3"/>
        <v>0</v>
      </c>
      <c r="G74" s="268"/>
      <c r="H74" s="438"/>
    </row>
    <row r="75" spans="1:8" s="263" customFormat="1" ht="18.75">
      <c r="A75" s="66" t="s">
        <v>21</v>
      </c>
      <c r="B75" s="285" t="s">
        <v>80</v>
      </c>
      <c r="C75" s="262">
        <f>C76+C77</f>
        <v>614692</v>
      </c>
      <c r="D75" s="262">
        <f>D76+D77</f>
        <v>618841</v>
      </c>
      <c r="E75" s="262">
        <f>E76+E77</f>
        <v>-3615</v>
      </c>
      <c r="F75" s="262">
        <f>F76+F77</f>
        <v>615226</v>
      </c>
      <c r="G75" s="262">
        <f>G76+G77</f>
        <v>300073</v>
      </c>
      <c r="H75" s="444">
        <f t="shared" si="2"/>
        <v>0.4877443411039195</v>
      </c>
    </row>
    <row r="76" spans="1:8" s="263" customFormat="1" ht="18.75">
      <c r="A76" s="74"/>
      <c r="B76" s="286" t="s">
        <v>81</v>
      </c>
      <c r="C76" s="266">
        <f>23712+850</f>
        <v>24562</v>
      </c>
      <c r="D76" s="266">
        <v>24562</v>
      </c>
      <c r="E76" s="266"/>
      <c r="F76" s="266">
        <f t="shared" si="3"/>
        <v>24562</v>
      </c>
      <c r="G76" s="268">
        <f>23712+351</f>
        <v>24063</v>
      </c>
      <c r="H76" s="438">
        <f t="shared" si="2"/>
        <v>0.9796840648155688</v>
      </c>
    </row>
    <row r="77" spans="1:8" ht="36">
      <c r="A77" s="68"/>
      <c r="B77" s="286" t="s">
        <v>56</v>
      </c>
      <c r="C77" s="268">
        <f>'9.  melléklet Hivatal'!C42+'10. melléklet Isaszegi Héts'!C42+'11.  melléklet Isaszegi Bóbi'!C42+'12. mell. Isaszegi Humánszol'!C42+'13.  mellékletMűvelődési ház'!C42+'14. melléklet Könyvtár'!C42+'15.melléklet IVÜSZ'!C42</f>
        <v>590130</v>
      </c>
      <c r="D77" s="268">
        <v>594279</v>
      </c>
      <c r="E77" s="268">
        <f>'9.  melléklet Hivatal'!E42+'10. melléklet Isaszegi Héts'!E42+'11.  melléklet Isaszegi Bóbi'!E42+'12. mell. Isaszegi Humánszol'!E42+'13.  mellékletMűvelődési ház'!E42+'14. melléklet Könyvtár'!E42+'15.melléklet IVÜSZ'!E42</f>
        <v>-3615</v>
      </c>
      <c r="F77" s="266">
        <f t="shared" si="3"/>
        <v>590664</v>
      </c>
      <c r="G77" s="268">
        <v>276010</v>
      </c>
      <c r="H77" s="438">
        <f t="shared" si="2"/>
        <v>0.46728766269825145</v>
      </c>
    </row>
    <row r="78" spans="1:8" ht="19.5" customHeight="1">
      <c r="A78" s="79"/>
      <c r="B78" s="294" t="s">
        <v>82</v>
      </c>
      <c r="C78" s="262">
        <f>C51+C63+C75</f>
        <v>1851229</v>
      </c>
      <c r="D78" s="262">
        <f>D51+D63+D75</f>
        <v>1911897</v>
      </c>
      <c r="E78" s="262">
        <f>E51+E63+E75</f>
        <v>206078</v>
      </c>
      <c r="F78" s="262">
        <f>F51+F63+F75</f>
        <v>2117975</v>
      </c>
      <c r="G78" s="262">
        <f>G51+G63+G75</f>
        <v>574370</v>
      </c>
      <c r="H78" s="444">
        <f t="shared" si="2"/>
        <v>0.2711882812592217</v>
      </c>
    </row>
    <row r="79" spans="1:8" ht="17.25" customHeight="1">
      <c r="A79" s="81"/>
      <c r="B79" s="295" t="s">
        <v>228</v>
      </c>
      <c r="C79" s="268">
        <f>C78-C77</f>
        <v>1261099</v>
      </c>
      <c r="D79" s="268">
        <f>D78-D77</f>
        <v>1317618</v>
      </c>
      <c r="E79" s="268">
        <f>E78-E77</f>
        <v>209693</v>
      </c>
      <c r="F79" s="268">
        <f>F78-F77</f>
        <v>1527311</v>
      </c>
      <c r="G79" s="268">
        <f>G78-G77</f>
        <v>298360</v>
      </c>
      <c r="H79" s="438">
        <f t="shared" si="2"/>
        <v>0.1953498665301304</v>
      </c>
    </row>
    <row r="80" spans="1:8" ht="18.75">
      <c r="A80" s="83"/>
      <c r="B80" s="296" t="s">
        <v>84</v>
      </c>
      <c r="C80" s="297">
        <v>14</v>
      </c>
      <c r="D80" s="297">
        <v>14</v>
      </c>
      <c r="E80" s="297"/>
      <c r="F80" s="262">
        <f t="shared" si="3"/>
        <v>14</v>
      </c>
      <c r="G80" s="268"/>
      <c r="H80" s="438"/>
    </row>
    <row r="81" spans="1:8" ht="18.75">
      <c r="A81" s="83"/>
      <c r="B81" s="296" t="s">
        <v>85</v>
      </c>
      <c r="C81" s="297">
        <v>22</v>
      </c>
      <c r="D81" s="297">
        <v>22</v>
      </c>
      <c r="E81" s="297"/>
      <c r="F81" s="262">
        <f t="shared" si="3"/>
        <v>22</v>
      </c>
      <c r="G81" s="268"/>
      <c r="H81" s="438"/>
    </row>
    <row r="82" spans="2:7" ht="18.75">
      <c r="B82" s="290"/>
      <c r="C82" s="246">
        <f>C47-C78</f>
        <v>0</v>
      </c>
      <c r="D82" s="246">
        <f>D47-D78</f>
        <v>0</v>
      </c>
      <c r="E82" s="246">
        <f>E47-E78</f>
        <v>0</v>
      </c>
      <c r="F82" s="246">
        <f>F47-F78</f>
        <v>0</v>
      </c>
      <c r="G82" s="259"/>
    </row>
    <row r="83" spans="2:6" ht="18.75">
      <c r="B83" s="290" t="s">
        <v>229</v>
      </c>
      <c r="C83" s="246" t="s">
        <v>2</v>
      </c>
      <c r="D83" s="267"/>
      <c r="E83" s="267"/>
      <c r="F83" s="267"/>
    </row>
    <row r="84" spans="1:6" ht="18.75">
      <c r="A84" s="246" t="s">
        <v>230</v>
      </c>
      <c r="B84" s="290"/>
      <c r="D84" s="267"/>
      <c r="E84" s="267"/>
      <c r="F84" s="267"/>
    </row>
    <row r="85" spans="1:6" ht="18.75">
      <c r="A85" s="246">
        <v>2</v>
      </c>
      <c r="B85" s="290" t="s">
        <v>231</v>
      </c>
      <c r="C85" s="298">
        <f>2*96860/1000</f>
        <v>193.72</v>
      </c>
      <c r="D85" s="267"/>
      <c r="E85" s="267"/>
      <c r="F85" s="267"/>
    </row>
    <row r="86" spans="2:6" ht="18.75">
      <c r="B86" s="290" t="s">
        <v>232</v>
      </c>
      <c r="C86" s="298">
        <f>C85*0.3422</f>
        <v>66.290984</v>
      </c>
      <c r="D86" s="267"/>
      <c r="E86" s="267"/>
      <c r="F86" s="267"/>
    </row>
    <row r="87" spans="1:6" ht="18.75">
      <c r="A87" s="299" t="s">
        <v>233</v>
      </c>
      <c r="B87" s="290" t="s">
        <v>234</v>
      </c>
      <c r="C87" s="246">
        <f>2*149</f>
        <v>298</v>
      </c>
      <c r="D87" s="267"/>
      <c r="E87" s="267"/>
      <c r="F87" s="267"/>
    </row>
    <row r="88" spans="1:6" ht="18.75">
      <c r="A88" s="299"/>
      <c r="B88" s="290" t="s">
        <v>235</v>
      </c>
      <c r="C88" s="298">
        <f>C87*0.3422</f>
        <v>101.9756</v>
      </c>
      <c r="D88" s="267"/>
      <c r="E88" s="267"/>
      <c r="F88" s="267"/>
    </row>
    <row r="89" spans="1:6" ht="18.75">
      <c r="A89" s="300">
        <v>5</v>
      </c>
      <c r="B89" s="290" t="s">
        <v>236</v>
      </c>
      <c r="C89" s="298">
        <f>2*96860/1000</f>
        <v>193.72</v>
      </c>
      <c r="D89" s="267"/>
      <c r="E89" s="267"/>
      <c r="F89" s="267"/>
    </row>
    <row r="90" spans="2:6" ht="18.75">
      <c r="B90" s="290" t="s">
        <v>232</v>
      </c>
      <c r="C90" s="298">
        <f>C89*0.3422</f>
        <v>66.290984</v>
      </c>
      <c r="D90" s="267"/>
      <c r="E90" s="267"/>
      <c r="F90" s="267"/>
    </row>
    <row r="91" spans="1:6" ht="18.75">
      <c r="A91" s="300" t="s">
        <v>237</v>
      </c>
      <c r="B91" s="290" t="s">
        <v>238</v>
      </c>
      <c r="C91" s="246">
        <f>4*72000/1000</f>
        <v>288</v>
      </c>
      <c r="D91" s="267"/>
      <c r="E91" s="267"/>
      <c r="F91" s="267"/>
    </row>
    <row r="92" spans="2:6" ht="18.75">
      <c r="B92" s="290" t="s">
        <v>239</v>
      </c>
      <c r="C92" s="298">
        <f>C91*0.3422</f>
        <v>98.5536</v>
      </c>
      <c r="D92" s="267"/>
      <c r="E92" s="267"/>
      <c r="F92" s="267"/>
    </row>
    <row r="93" spans="1:6" ht="18.75">
      <c r="A93" s="301">
        <v>13</v>
      </c>
      <c r="B93" s="302" t="s">
        <v>240</v>
      </c>
      <c r="C93" s="303">
        <f>SUM(C85:C92)</f>
        <v>1306.551168</v>
      </c>
      <c r="D93" s="267"/>
      <c r="E93" s="267"/>
      <c r="F93" s="267"/>
    </row>
    <row r="94" ht="18">
      <c r="B94" s="290"/>
    </row>
    <row r="95" spans="2:3" ht="36">
      <c r="B95" s="290" t="s">
        <v>241</v>
      </c>
      <c r="C95" s="298">
        <f>C87+C89+C91+C85</f>
        <v>973.44</v>
      </c>
    </row>
    <row r="96" spans="2:3" ht="36">
      <c r="B96" s="290" t="s">
        <v>242</v>
      </c>
      <c r="C96" s="298">
        <f>C88+C90+C92+C86</f>
        <v>333.11116799999996</v>
      </c>
    </row>
    <row r="97" spans="2:3" ht="18">
      <c r="B97" s="302" t="s">
        <v>240</v>
      </c>
      <c r="C97" s="303">
        <f>SUM(C95:C96)</f>
        <v>1306.551168</v>
      </c>
    </row>
  </sheetData>
  <sheetProtection selectLockedCells="1" selectUnlockedCells="1"/>
  <mergeCells count="2">
    <mergeCell ref="C7:H7"/>
    <mergeCell ref="C49:H49"/>
  </mergeCells>
  <printOptions/>
  <pageMargins left="0.75" right="0.75" top="1" bottom="1" header="0.5118055555555555" footer="0.5118055555555555"/>
  <pageSetup horizontalDpi="300" verticalDpi="300" orientation="portrait" paperSize="9" scale="39" r:id="rId1"/>
  <rowBreaks count="1" manualBreakCount="1">
    <brk id="4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89"/>
  <sheetViews>
    <sheetView view="pageBreakPreview" zoomScale="50" zoomScaleNormal="65" zoomScaleSheetLayoutView="50" zoomScalePageLayoutView="0" workbookViewId="0" topLeftCell="A34">
      <selection activeCell="E53" sqref="E53"/>
    </sheetView>
  </sheetViews>
  <sheetFormatPr defaultColWidth="9.140625" defaultRowHeight="12.75"/>
  <cols>
    <col min="1" max="1" width="10.7109375" style="246" customWidth="1"/>
    <col min="2" max="2" width="61.7109375" style="246" customWidth="1"/>
    <col min="3" max="3" width="21.421875" style="246" customWidth="1"/>
    <col min="4" max="4" width="21.00390625" style="246" customWidth="1"/>
    <col min="5" max="5" width="12.57421875" style="246" customWidth="1"/>
    <col min="6" max="6" width="13.8515625" style="246" customWidth="1"/>
    <col min="7" max="7" width="18.8515625" style="246" customWidth="1"/>
    <col min="8" max="8" width="17.28125" style="246" customWidth="1"/>
    <col min="9" max="16384" width="9.140625" style="246" customWidth="1"/>
  </cols>
  <sheetData>
    <row r="1" spans="1:3" s="305" customFormat="1" ht="21" customHeight="1">
      <c r="A1" s="248"/>
      <c r="B1" s="304"/>
      <c r="C1" s="249" t="s">
        <v>353</v>
      </c>
    </row>
    <row r="2" spans="1:7" s="308" customFormat="1" ht="25.5" customHeight="1">
      <c r="A2" s="251"/>
      <c r="B2" s="252" t="s">
        <v>243</v>
      </c>
      <c r="C2" s="306" t="s">
        <v>244</v>
      </c>
      <c r="D2" s="307"/>
      <c r="E2" s="307"/>
      <c r="F2" s="307"/>
      <c r="G2" s="307"/>
    </row>
    <row r="3" spans="1:7" s="308" customFormat="1" ht="18.75">
      <c r="A3" s="254"/>
      <c r="B3" s="252" t="s">
        <v>245</v>
      </c>
      <c r="C3" s="309"/>
      <c r="D3" s="307"/>
      <c r="E3" s="307"/>
      <c r="F3" s="307"/>
      <c r="G3" s="307"/>
    </row>
    <row r="4" spans="1:7" s="308" customFormat="1" ht="15.75" customHeight="1">
      <c r="A4" s="256"/>
      <c r="B4" s="256"/>
      <c r="C4" s="257" t="s">
        <v>110</v>
      </c>
      <c r="D4" s="307"/>
      <c r="E4" s="307"/>
      <c r="F4" s="307"/>
      <c r="G4" s="307"/>
    </row>
    <row r="5" spans="1:7" ht="36">
      <c r="A5" s="251"/>
      <c r="B5" s="258" t="s">
        <v>217</v>
      </c>
      <c r="C5" s="258" t="s">
        <v>218</v>
      </c>
      <c r="D5" s="307"/>
      <c r="E5" s="307"/>
      <c r="F5" s="307"/>
      <c r="G5" s="310"/>
    </row>
    <row r="6" spans="1:8" s="310" customFormat="1" ht="19.5" customHeight="1">
      <c r="A6" s="251"/>
      <c r="B6" s="251"/>
      <c r="C6" s="496">
        <v>2018</v>
      </c>
      <c r="D6" s="497"/>
      <c r="E6" s="497"/>
      <c r="F6" s="497"/>
      <c r="G6" s="497"/>
      <c r="H6" s="498"/>
    </row>
    <row r="7" spans="1:8" s="310" customFormat="1" ht="70.5" customHeight="1">
      <c r="A7" s="260"/>
      <c r="B7" s="260" t="s">
        <v>219</v>
      </c>
      <c r="C7" s="433" t="s">
        <v>361</v>
      </c>
      <c r="D7" s="433" t="s">
        <v>397</v>
      </c>
      <c r="E7" s="433" t="s">
        <v>360</v>
      </c>
      <c r="F7" s="434" t="s">
        <v>363</v>
      </c>
      <c r="G7" s="435" t="s">
        <v>395</v>
      </c>
      <c r="H7" s="435" t="s">
        <v>398</v>
      </c>
    </row>
    <row r="8" spans="1:8" s="307" customFormat="1" ht="18.75">
      <c r="A8" s="251" t="s">
        <v>7</v>
      </c>
      <c r="B8" s="261" t="s">
        <v>8</v>
      </c>
      <c r="C8" s="262">
        <f>C9+C10+C11+C12+C13+C14</f>
        <v>0</v>
      </c>
      <c r="D8" s="262">
        <f>D9+D10+D11+D12+D13+D14</f>
        <v>0</v>
      </c>
      <c r="E8" s="262">
        <f>E9+E10+E11+E12+E13+E14</f>
        <v>0</v>
      </c>
      <c r="F8" s="422">
        <f>F9+F10+F11+F12+F13+F14</f>
        <v>0</v>
      </c>
      <c r="G8" s="431"/>
      <c r="H8" s="431"/>
    </row>
    <row r="9" spans="1:8" s="307" customFormat="1" ht="36">
      <c r="A9" s="264"/>
      <c r="B9" s="265" t="s">
        <v>9</v>
      </c>
      <c r="C9" s="262"/>
      <c r="D9" s="291"/>
      <c r="E9" s="291"/>
      <c r="F9" s="426"/>
      <c r="G9" s="425"/>
      <c r="H9" s="431"/>
    </row>
    <row r="10" spans="1:8" s="307" customFormat="1" ht="36">
      <c r="A10" s="64"/>
      <c r="B10" s="265" t="s">
        <v>10</v>
      </c>
      <c r="C10" s="268"/>
      <c r="D10" s="311"/>
      <c r="E10" s="311"/>
      <c r="F10" s="427"/>
      <c r="G10" s="432"/>
      <c r="H10" s="431"/>
    </row>
    <row r="11" spans="1:8" s="307" customFormat="1" ht="36">
      <c r="A11" s="64"/>
      <c r="B11" s="265" t="s">
        <v>11</v>
      </c>
      <c r="C11" s="268"/>
      <c r="D11" s="312"/>
      <c r="E11" s="312"/>
      <c r="F11" s="428"/>
      <c r="G11" s="431"/>
      <c r="H11" s="431"/>
    </row>
    <row r="12" spans="1:8" s="307" customFormat="1" ht="36">
      <c r="A12" s="64"/>
      <c r="B12" s="265" t="s">
        <v>12</v>
      </c>
      <c r="C12" s="268"/>
      <c r="D12" s="291"/>
      <c r="E12" s="291"/>
      <c r="F12" s="426"/>
      <c r="G12" s="425"/>
      <c r="H12" s="431"/>
    </row>
    <row r="13" spans="1:8" s="307" customFormat="1" ht="18.75">
      <c r="A13" s="64"/>
      <c r="B13" s="265" t="s">
        <v>86</v>
      </c>
      <c r="C13" s="268"/>
      <c r="D13" s="291"/>
      <c r="E13" s="291"/>
      <c r="F13" s="426"/>
      <c r="G13" s="425"/>
      <c r="H13" s="431"/>
    </row>
    <row r="14" spans="1:8" s="307" customFormat="1" ht="18.75">
      <c r="A14" s="64"/>
      <c r="B14" s="265" t="s">
        <v>14</v>
      </c>
      <c r="C14" s="268"/>
      <c r="D14" s="312"/>
      <c r="E14" s="312"/>
      <c r="F14" s="428"/>
      <c r="G14" s="431"/>
      <c r="H14" s="431"/>
    </row>
    <row r="15" spans="1:8" ht="36">
      <c r="A15" s="64" t="s">
        <v>15</v>
      </c>
      <c r="B15" s="261" t="s">
        <v>16</v>
      </c>
      <c r="C15" s="268">
        <f>C16+C17+C18+C19</f>
        <v>0</v>
      </c>
      <c r="D15" s="270">
        <f>D16+D17+D18+D19</f>
        <v>2300</v>
      </c>
      <c r="E15" s="270">
        <f>E16+E17+E18+E19</f>
        <v>0</v>
      </c>
      <c r="F15" s="270">
        <f>F16+F17+F18+F19</f>
        <v>2300</v>
      </c>
      <c r="G15" s="270">
        <f>G16+G17+G18+G19</f>
        <v>2353</v>
      </c>
      <c r="H15" s="437">
        <f>G15/F15</f>
        <v>1.0230434782608695</v>
      </c>
    </row>
    <row r="16" spans="1:8" ht="36">
      <c r="A16" s="264"/>
      <c r="B16" s="265" t="s">
        <v>17</v>
      </c>
      <c r="C16" s="262"/>
      <c r="D16" s="312"/>
      <c r="E16" s="312"/>
      <c r="F16" s="428"/>
      <c r="G16" s="431"/>
      <c r="H16" s="437"/>
    </row>
    <row r="17" spans="1:8" s="307" customFormat="1" ht="36">
      <c r="A17" s="64"/>
      <c r="B17" s="265" t="s">
        <v>105</v>
      </c>
      <c r="C17" s="268"/>
      <c r="D17" s="268">
        <v>2300</v>
      </c>
      <c r="E17" s="268"/>
      <c r="F17" s="430">
        <v>2300</v>
      </c>
      <c r="G17" s="430">
        <v>2353</v>
      </c>
      <c r="H17" s="437">
        <f>G17/F17</f>
        <v>1.0230434782608695</v>
      </c>
    </row>
    <row r="18" spans="1:8" ht="36">
      <c r="A18" s="64"/>
      <c r="B18" s="265" t="s">
        <v>19</v>
      </c>
      <c r="C18" s="268"/>
      <c r="D18" s="291"/>
      <c r="E18" s="291"/>
      <c r="F18" s="426"/>
      <c r="G18" s="425"/>
      <c r="H18" s="437"/>
    </row>
    <row r="19" spans="1:8" ht="30.75" customHeight="1">
      <c r="A19" s="64"/>
      <c r="B19" s="265" t="s">
        <v>20</v>
      </c>
      <c r="C19" s="268"/>
      <c r="D19" s="291"/>
      <c r="E19" s="291"/>
      <c r="F19" s="426"/>
      <c r="G19" s="425"/>
      <c r="H19" s="437"/>
    </row>
    <row r="20" spans="1:8" ht="36">
      <c r="A20" s="64" t="s">
        <v>21</v>
      </c>
      <c r="B20" s="271" t="s">
        <v>22</v>
      </c>
      <c r="C20" s="268">
        <f>C21</f>
        <v>0</v>
      </c>
      <c r="D20" s="268">
        <f>D21</f>
        <v>0</v>
      </c>
      <c r="E20" s="268">
        <f>E21</f>
        <v>0</v>
      </c>
      <c r="F20" s="430">
        <f>F21</f>
        <v>0</v>
      </c>
      <c r="G20" s="425"/>
      <c r="H20" s="437"/>
    </row>
    <row r="21" spans="1:8" ht="36">
      <c r="A21" s="64"/>
      <c r="B21" s="272" t="s">
        <v>246</v>
      </c>
      <c r="C21" s="268"/>
      <c r="D21" s="291"/>
      <c r="E21" s="291"/>
      <c r="F21" s="426"/>
      <c r="G21" s="425"/>
      <c r="H21" s="437"/>
    </row>
    <row r="22" spans="1:8" ht="18.75">
      <c r="A22" s="275" t="s">
        <v>24</v>
      </c>
      <c r="B22" s="271" t="s">
        <v>25</v>
      </c>
      <c r="C22" s="270">
        <f>C23+C24+C25+C26</f>
        <v>0</v>
      </c>
      <c r="D22" s="268">
        <f>D23+D24+D25+D26</f>
        <v>0</v>
      </c>
      <c r="E22" s="268">
        <f>E23+E24+E25+E26</f>
        <v>0</v>
      </c>
      <c r="F22" s="429"/>
      <c r="G22" s="442">
        <v>11</v>
      </c>
      <c r="H22" s="437"/>
    </row>
    <row r="23" spans="1:8" s="307" customFormat="1" ht="36">
      <c r="A23" s="64"/>
      <c r="B23" s="276" t="s">
        <v>26</v>
      </c>
      <c r="C23" s="268"/>
      <c r="D23" s="312"/>
      <c r="E23" s="312"/>
      <c r="F23" s="428"/>
      <c r="G23" s="431"/>
      <c r="H23" s="437"/>
    </row>
    <row r="24" spans="1:8" s="307" customFormat="1" ht="18.75">
      <c r="A24" s="65"/>
      <c r="B24" s="276" t="s">
        <v>27</v>
      </c>
      <c r="C24" s="268"/>
      <c r="D24" s="291"/>
      <c r="E24" s="291"/>
      <c r="F24" s="426"/>
      <c r="G24" s="425"/>
      <c r="H24" s="437"/>
    </row>
    <row r="25" spans="1:8" s="307" customFormat="1" ht="19.5" customHeight="1">
      <c r="A25" s="64"/>
      <c r="B25" s="276" t="s">
        <v>28</v>
      </c>
      <c r="C25" s="270"/>
      <c r="D25" s="291"/>
      <c r="E25" s="291"/>
      <c r="F25" s="426"/>
      <c r="G25" s="425"/>
      <c r="H25" s="437"/>
    </row>
    <row r="26" spans="1:8" s="307" customFormat="1" ht="90">
      <c r="A26" s="264"/>
      <c r="B26" s="276" t="s">
        <v>29</v>
      </c>
      <c r="C26" s="266"/>
      <c r="D26" s="312"/>
      <c r="E26" s="312"/>
      <c r="F26" s="428"/>
      <c r="G26" s="425">
        <v>11</v>
      </c>
      <c r="H26" s="437"/>
    </row>
    <row r="27" spans="1:8" ht="18.75">
      <c r="A27" s="275" t="s">
        <v>30</v>
      </c>
      <c r="B27" s="278" t="s">
        <v>31</v>
      </c>
      <c r="C27" s="270">
        <f>C28+C29+C30+C31+C32</f>
        <v>580</v>
      </c>
      <c r="D27" s="270">
        <f>D28+D29+D30+D31+D32</f>
        <v>580</v>
      </c>
      <c r="E27" s="270">
        <f>E28+E29+E30+E31+E32</f>
        <v>0</v>
      </c>
      <c r="F27" s="429">
        <f>F28+F29+F30+F31+F32</f>
        <v>580</v>
      </c>
      <c r="G27" s="429">
        <f>G28+G29+G30+G31+G32</f>
        <v>749</v>
      </c>
      <c r="H27" s="437">
        <f>G27/F27</f>
        <v>1.2913793103448277</v>
      </c>
    </row>
    <row r="28" spans="1:8" ht="54">
      <c r="A28" s="64"/>
      <c r="B28" s="265" t="s">
        <v>32</v>
      </c>
      <c r="C28" s="268">
        <v>580</v>
      </c>
      <c r="D28" s="268">
        <v>580</v>
      </c>
      <c r="E28" s="312"/>
      <c r="F28" s="430">
        <v>580</v>
      </c>
      <c r="G28" s="431">
        <v>749</v>
      </c>
      <c r="H28" s="437">
        <f>G28/F28</f>
        <v>1.2913793103448277</v>
      </c>
    </row>
    <row r="29" spans="1:8" ht="15" customHeight="1">
      <c r="A29" s="64"/>
      <c r="B29" s="265" t="s">
        <v>33</v>
      </c>
      <c r="C29" s="268"/>
      <c r="D29" s="312"/>
      <c r="E29" s="312"/>
      <c r="F29" s="428"/>
      <c r="G29" s="431"/>
      <c r="H29" s="437"/>
    </row>
    <row r="30" spans="1:8" ht="18.75">
      <c r="A30" s="64"/>
      <c r="B30" s="265" t="s">
        <v>34</v>
      </c>
      <c r="C30" s="268"/>
      <c r="D30" s="291"/>
      <c r="E30" s="291"/>
      <c r="F30" s="426"/>
      <c r="G30" s="425"/>
      <c r="H30" s="437"/>
    </row>
    <row r="31" spans="1:8" s="310" customFormat="1" ht="18.75">
      <c r="A31" s="64"/>
      <c r="B31" s="265" t="s">
        <v>35</v>
      </c>
      <c r="C31" s="268"/>
      <c r="D31" s="291"/>
      <c r="E31" s="291"/>
      <c r="F31" s="426"/>
      <c r="G31" s="425"/>
      <c r="H31" s="437"/>
    </row>
    <row r="32" spans="1:8" s="307" customFormat="1" ht="18.75">
      <c r="A32" s="64"/>
      <c r="B32" s="265" t="s">
        <v>36</v>
      </c>
      <c r="C32" s="268"/>
      <c r="D32" s="291"/>
      <c r="E32" s="291"/>
      <c r="F32" s="426"/>
      <c r="G32" s="425"/>
      <c r="H32" s="437"/>
    </row>
    <row r="33" spans="1:8" ht="18.75">
      <c r="A33" s="275" t="s">
        <v>37</v>
      </c>
      <c r="B33" s="271" t="s">
        <v>38</v>
      </c>
      <c r="C33" s="268">
        <f>C34+C35</f>
        <v>0</v>
      </c>
      <c r="D33" s="291"/>
      <c r="E33" s="291"/>
      <c r="F33" s="426"/>
      <c r="G33" s="425"/>
      <c r="H33" s="437"/>
    </row>
    <row r="34" spans="1:8" ht="18.75">
      <c r="A34" s="65"/>
      <c r="B34" s="265" t="s">
        <v>39</v>
      </c>
      <c r="C34" s="268"/>
      <c r="D34" s="311"/>
      <c r="E34" s="311"/>
      <c r="F34" s="427"/>
      <c r="G34" s="432"/>
      <c r="H34" s="437"/>
    </row>
    <row r="35" spans="1:8" ht="18.75">
      <c r="A35" s="66"/>
      <c r="B35" s="265" t="s">
        <v>107</v>
      </c>
      <c r="C35" s="262"/>
      <c r="D35" s="312"/>
      <c r="E35" s="312"/>
      <c r="F35" s="428"/>
      <c r="G35" s="431"/>
      <c r="H35" s="437"/>
    </row>
    <row r="36" spans="1:8" ht="18.75">
      <c r="A36" s="279" t="s">
        <v>40</v>
      </c>
      <c r="B36" s="271" t="s">
        <v>41</v>
      </c>
      <c r="C36" s="266">
        <f>C37</f>
        <v>0</v>
      </c>
      <c r="D36" s="291"/>
      <c r="E36" s="291"/>
      <c r="F36" s="426"/>
      <c r="G36" s="425"/>
      <c r="H36" s="437"/>
    </row>
    <row r="37" spans="1:8" ht="18.75">
      <c r="A37" s="68"/>
      <c r="B37" s="265" t="s">
        <v>221</v>
      </c>
      <c r="C37" s="268"/>
      <c r="D37" s="291"/>
      <c r="E37" s="291"/>
      <c r="F37" s="426"/>
      <c r="G37" s="425"/>
      <c r="H37" s="437"/>
    </row>
    <row r="38" spans="1:8" ht="18.75">
      <c r="A38" s="279" t="s">
        <v>43</v>
      </c>
      <c r="B38" s="271" t="s">
        <v>44</v>
      </c>
      <c r="C38" s="268">
        <f>C39+C40</f>
        <v>0</v>
      </c>
      <c r="D38" s="312"/>
      <c r="E38" s="312"/>
      <c r="F38" s="428"/>
      <c r="G38" s="431"/>
      <c r="H38" s="437"/>
    </row>
    <row r="39" spans="1:8" s="307" customFormat="1" ht="54">
      <c r="A39" s="68"/>
      <c r="B39" s="276" t="s">
        <v>247</v>
      </c>
      <c r="C39" s="268"/>
      <c r="D39" s="312"/>
      <c r="E39" s="312"/>
      <c r="F39" s="428"/>
      <c r="G39" s="431"/>
      <c r="H39" s="437"/>
    </row>
    <row r="40" spans="1:8" ht="36">
      <c r="A40" s="68"/>
      <c r="B40" s="276" t="s">
        <v>248</v>
      </c>
      <c r="C40" s="268"/>
      <c r="D40" s="312"/>
      <c r="E40" s="312"/>
      <c r="F40" s="428"/>
      <c r="G40" s="431"/>
      <c r="H40" s="437"/>
    </row>
    <row r="41" spans="1:8" ht="39.75" customHeight="1">
      <c r="A41" s="68"/>
      <c r="B41" s="271" t="s">
        <v>47</v>
      </c>
      <c r="C41" s="270">
        <f>C8+C15+C20+C22+C27+C33+C36+C38</f>
        <v>580</v>
      </c>
      <c r="D41" s="270">
        <f>D8+D15+D20+D22+D27+D33+D36+D38</f>
        <v>2880</v>
      </c>
      <c r="E41" s="270">
        <f>E8+E15+E20+E22+E27+E33+E36+E38</f>
        <v>0</v>
      </c>
      <c r="F41" s="429">
        <f>F8+F15+F20+F22+F27+F33+F36+F38</f>
        <v>2880</v>
      </c>
      <c r="G41" s="429">
        <f>G8+G15+G20+G22+G27+G33+G36+G38</f>
        <v>3113</v>
      </c>
      <c r="H41" s="437">
        <f>G41/F41</f>
        <v>1.0809027777777778</v>
      </c>
    </row>
    <row r="42" spans="1:8" ht="18.75">
      <c r="A42" s="279" t="s">
        <v>48</v>
      </c>
      <c r="B42" s="271" t="s">
        <v>249</v>
      </c>
      <c r="C42" s="262">
        <f>C77-C41-C43</f>
        <v>151162</v>
      </c>
      <c r="D42" s="262">
        <f>D77-D41-D43</f>
        <v>159825</v>
      </c>
      <c r="E42" s="262">
        <f>E77-E41-E43</f>
        <v>1317</v>
      </c>
      <c r="F42" s="422">
        <f>D42+E42</f>
        <v>161142</v>
      </c>
      <c r="G42" s="422">
        <v>72268</v>
      </c>
      <c r="H42" s="437">
        <f>G42/F42</f>
        <v>0.44847401670576265</v>
      </c>
    </row>
    <row r="43" spans="1:8" ht="36">
      <c r="A43" s="279" t="s">
        <v>50</v>
      </c>
      <c r="B43" s="271" t="s">
        <v>51</v>
      </c>
      <c r="C43" s="268"/>
      <c r="D43" s="291">
        <v>2261</v>
      </c>
      <c r="E43" s="291"/>
      <c r="F43" s="426">
        <v>2261</v>
      </c>
      <c r="G43" s="425">
        <v>2261</v>
      </c>
      <c r="H43" s="437">
        <f>G43/F43</f>
        <v>1</v>
      </c>
    </row>
    <row r="44" spans="1:8" ht="36">
      <c r="A44" s="279" t="s">
        <v>52</v>
      </c>
      <c r="B44" s="271" t="s">
        <v>53</v>
      </c>
      <c r="C44" s="268"/>
      <c r="D44" s="291"/>
      <c r="E44" s="291"/>
      <c r="F44" s="426"/>
      <c r="G44" s="425"/>
      <c r="H44" s="437"/>
    </row>
    <row r="45" spans="1:8" ht="18.75">
      <c r="A45" s="68"/>
      <c r="B45" s="271" t="s">
        <v>54</v>
      </c>
      <c r="C45" s="270">
        <f>C42+C43+C44</f>
        <v>151162</v>
      </c>
      <c r="D45" s="270">
        <f>D42+D43+D44</f>
        <v>162086</v>
      </c>
      <c r="E45" s="270">
        <f>E42+E43+E44</f>
        <v>1317</v>
      </c>
      <c r="F45" s="429">
        <f>F42+F43+F44</f>
        <v>163403</v>
      </c>
      <c r="G45" s="429">
        <f>G42+G43+G44</f>
        <v>74529</v>
      </c>
      <c r="H45" s="441">
        <f>G45/F45</f>
        <v>0.4561054570601519</v>
      </c>
    </row>
    <row r="46" spans="1:8" ht="18.75">
      <c r="A46" s="68"/>
      <c r="B46" s="261" t="s">
        <v>57</v>
      </c>
      <c r="C46" s="270">
        <f>C41+C45</f>
        <v>151742</v>
      </c>
      <c r="D46" s="270">
        <f>D41+D45</f>
        <v>164966</v>
      </c>
      <c r="E46" s="270">
        <f>E41+E45</f>
        <v>1317</v>
      </c>
      <c r="F46" s="429">
        <f>F41+F45</f>
        <v>166283</v>
      </c>
      <c r="G46" s="429">
        <f>G41+G45</f>
        <v>77642</v>
      </c>
      <c r="H46" s="441">
        <f>G46/F46</f>
        <v>0.46692686564471414</v>
      </c>
    </row>
    <row r="47" spans="1:8" ht="14.25" customHeight="1">
      <c r="A47" s="281"/>
      <c r="B47" s="282"/>
      <c r="C47" s="283"/>
      <c r="D47" s="307"/>
      <c r="E47" s="307"/>
      <c r="F47" s="307"/>
      <c r="H47" s="437"/>
    </row>
    <row r="48" spans="1:8" ht="18">
      <c r="A48" s="81"/>
      <c r="B48" s="81"/>
      <c r="C48" s="496">
        <v>2018</v>
      </c>
      <c r="D48" s="497"/>
      <c r="E48" s="497"/>
      <c r="F48" s="497"/>
      <c r="G48" s="497"/>
      <c r="H48" s="499"/>
    </row>
    <row r="49" spans="1:8" ht="93.75" customHeight="1">
      <c r="A49" s="284"/>
      <c r="B49" s="284" t="s">
        <v>225</v>
      </c>
      <c r="C49" s="379" t="s">
        <v>361</v>
      </c>
      <c r="D49" s="379" t="s">
        <v>397</v>
      </c>
      <c r="E49" s="379" t="s">
        <v>360</v>
      </c>
      <c r="F49" s="379" t="s">
        <v>363</v>
      </c>
      <c r="G49" s="379" t="s">
        <v>395</v>
      </c>
      <c r="H49" s="379" t="s">
        <v>398</v>
      </c>
    </row>
    <row r="50" spans="1:8" ht="18.75">
      <c r="A50" s="66" t="s">
        <v>7</v>
      </c>
      <c r="B50" s="285" t="s">
        <v>59</v>
      </c>
      <c r="C50" s="262">
        <f>C51+C52+C53+C56+C57</f>
        <v>151742</v>
      </c>
      <c r="D50" s="262">
        <f>D51+D52+D53+D56+D57</f>
        <v>164966</v>
      </c>
      <c r="E50" s="262">
        <f>E51+E52+E53+E56+E57</f>
        <v>1317</v>
      </c>
      <c r="F50" s="262">
        <f>F51+F52+F53+F56+F57</f>
        <v>166283</v>
      </c>
      <c r="G50" s="262">
        <f>G51+G52+G53+G56+G57</f>
        <v>72236</v>
      </c>
      <c r="H50" s="441">
        <f>G50/F50</f>
        <v>0.434416025691141</v>
      </c>
    </row>
    <row r="51" spans="1:8" ht="18.75">
      <c r="A51" s="74"/>
      <c r="B51" s="286" t="s">
        <v>60</v>
      </c>
      <c r="C51" s="268">
        <v>104863</v>
      </c>
      <c r="D51" s="266">
        <v>115638</v>
      </c>
      <c r="E51" s="268">
        <f>179+938</f>
        <v>1117</v>
      </c>
      <c r="F51" s="266">
        <f aca="true" t="shared" si="0" ref="F51:F80">D51+E51</f>
        <v>116755</v>
      </c>
      <c r="G51" s="266">
        <v>49881</v>
      </c>
      <c r="H51" s="437">
        <f>G51/F51</f>
        <v>0.42722795597618946</v>
      </c>
    </row>
    <row r="52" spans="1:8" ht="36">
      <c r="A52" s="68"/>
      <c r="B52" s="287" t="s">
        <v>61</v>
      </c>
      <c r="C52" s="268">
        <v>22916</v>
      </c>
      <c r="D52" s="266">
        <v>25055</v>
      </c>
      <c r="E52" s="268">
        <f>35+165</f>
        <v>200</v>
      </c>
      <c r="F52" s="266">
        <f t="shared" si="0"/>
        <v>25255</v>
      </c>
      <c r="G52" s="266">
        <v>12771</v>
      </c>
      <c r="H52" s="437">
        <f>G52/F52</f>
        <v>0.5056820431597704</v>
      </c>
    </row>
    <row r="53" spans="1:8" ht="18.75">
      <c r="A53" s="68"/>
      <c r="B53" s="287" t="s">
        <v>62</v>
      </c>
      <c r="C53" s="268">
        <v>23963</v>
      </c>
      <c r="D53" s="266">
        <v>24218</v>
      </c>
      <c r="E53" s="291"/>
      <c r="F53" s="266">
        <f t="shared" si="0"/>
        <v>24218</v>
      </c>
      <c r="G53" s="266">
        <v>9529</v>
      </c>
      <c r="H53" s="437">
        <f>G53/F53</f>
        <v>0.39346766867619126</v>
      </c>
    </row>
    <row r="54" spans="1:8" ht="54">
      <c r="A54" s="68"/>
      <c r="B54" s="287" t="s">
        <v>250</v>
      </c>
      <c r="C54" s="268"/>
      <c r="D54" s="291"/>
      <c r="E54" s="291"/>
      <c r="F54" s="262">
        <f t="shared" si="0"/>
        <v>0</v>
      </c>
      <c r="G54" s="291"/>
      <c r="H54" s="437"/>
    </row>
    <row r="55" spans="1:8" ht="18.75">
      <c r="A55" s="68"/>
      <c r="B55" s="287" t="s">
        <v>64</v>
      </c>
      <c r="C55" s="268"/>
      <c r="D55" s="291"/>
      <c r="E55" s="291"/>
      <c r="F55" s="262">
        <f t="shared" si="0"/>
        <v>0</v>
      </c>
      <c r="G55" s="291"/>
      <c r="H55" s="437"/>
    </row>
    <row r="56" spans="1:8" ht="18.75">
      <c r="A56" s="68"/>
      <c r="B56" s="287" t="s">
        <v>65</v>
      </c>
      <c r="C56" s="268"/>
      <c r="D56" s="268"/>
      <c r="E56" s="291"/>
      <c r="F56" s="262">
        <f t="shared" si="0"/>
        <v>0</v>
      </c>
      <c r="G56" s="291"/>
      <c r="H56" s="437"/>
    </row>
    <row r="57" spans="1:8" ht="18.75">
      <c r="A57" s="68"/>
      <c r="B57" s="287" t="s">
        <v>66</v>
      </c>
      <c r="C57" s="268">
        <f>SUM(C58:C61)</f>
        <v>0</v>
      </c>
      <c r="D57" s="440">
        <v>55</v>
      </c>
      <c r="E57" s="440"/>
      <c r="F57" s="440">
        <v>55</v>
      </c>
      <c r="G57" s="440">
        <v>55</v>
      </c>
      <c r="H57" s="441">
        <f>G57/F57</f>
        <v>1</v>
      </c>
    </row>
    <row r="58" spans="1:8" ht="18.75">
      <c r="A58" s="68"/>
      <c r="B58" s="287" t="s">
        <v>67</v>
      </c>
      <c r="C58" s="268"/>
      <c r="D58" s="291"/>
      <c r="E58" s="291"/>
      <c r="F58" s="262">
        <f t="shared" si="0"/>
        <v>0</v>
      </c>
      <c r="G58" s="291"/>
      <c r="H58" s="437"/>
    </row>
    <row r="59" spans="1:8" ht="36">
      <c r="A59" s="68"/>
      <c r="B59" s="287" t="s">
        <v>68</v>
      </c>
      <c r="C59" s="268"/>
      <c r="D59" s="291"/>
      <c r="E59" s="291"/>
      <c r="F59" s="262">
        <f t="shared" si="0"/>
        <v>0</v>
      </c>
      <c r="G59" s="291"/>
      <c r="H59" s="437"/>
    </row>
    <row r="60" spans="1:8" ht="36">
      <c r="A60" s="68"/>
      <c r="B60" s="287" t="s">
        <v>69</v>
      </c>
      <c r="C60" s="268"/>
      <c r="D60" s="291">
        <v>55</v>
      </c>
      <c r="E60" s="291"/>
      <c r="F60" s="266">
        <f t="shared" si="0"/>
        <v>55</v>
      </c>
      <c r="G60" s="291">
        <v>55</v>
      </c>
      <c r="H60" s="437">
        <f>G60/F60</f>
        <v>1</v>
      </c>
    </row>
    <row r="61" spans="1:8" ht="18.75">
      <c r="A61" s="68"/>
      <c r="B61" s="288"/>
      <c r="C61" s="268"/>
      <c r="D61" s="291"/>
      <c r="E61" s="291"/>
      <c r="F61" s="262">
        <f t="shared" si="0"/>
        <v>0</v>
      </c>
      <c r="G61" s="291"/>
      <c r="H61" s="437"/>
    </row>
    <row r="62" spans="1:8" ht="18.75">
      <c r="A62" s="66" t="s">
        <v>15</v>
      </c>
      <c r="B62" s="285" t="s">
        <v>70</v>
      </c>
      <c r="C62" s="262">
        <f>C63+C66+C67+C70</f>
        <v>0</v>
      </c>
      <c r="D62" s="291"/>
      <c r="E62" s="291"/>
      <c r="F62" s="262">
        <f t="shared" si="0"/>
        <v>0</v>
      </c>
      <c r="G62" s="291"/>
      <c r="H62" s="437"/>
    </row>
    <row r="63" spans="1:8" ht="18.75">
      <c r="A63" s="74"/>
      <c r="B63" s="123" t="s">
        <v>71</v>
      </c>
      <c r="C63" s="268"/>
      <c r="D63" s="291"/>
      <c r="E63" s="291"/>
      <c r="F63" s="262">
        <f t="shared" si="0"/>
        <v>0</v>
      </c>
      <c r="G63" s="291"/>
      <c r="H63" s="437"/>
    </row>
    <row r="64" spans="1:8" ht="54">
      <c r="A64" s="74"/>
      <c r="B64" s="287" t="s">
        <v>226</v>
      </c>
      <c r="C64" s="268"/>
      <c r="D64" s="291"/>
      <c r="E64" s="291"/>
      <c r="F64" s="262">
        <f t="shared" si="0"/>
        <v>0</v>
      </c>
      <c r="G64" s="291"/>
      <c r="H64" s="437"/>
    </row>
    <row r="65" spans="1:8" ht="54">
      <c r="A65" s="74"/>
      <c r="B65" s="287" t="s">
        <v>227</v>
      </c>
      <c r="C65" s="268"/>
      <c r="D65" s="291"/>
      <c r="E65" s="291"/>
      <c r="F65" s="262">
        <f t="shared" si="0"/>
        <v>0</v>
      </c>
      <c r="G65" s="291"/>
      <c r="H65" s="437"/>
    </row>
    <row r="66" spans="1:8" ht="18.75">
      <c r="A66" s="68"/>
      <c r="B66" s="287" t="s">
        <v>74</v>
      </c>
      <c r="C66" s="268"/>
      <c r="D66" s="291"/>
      <c r="E66" s="291"/>
      <c r="F66" s="262">
        <f t="shared" si="0"/>
        <v>0</v>
      </c>
      <c r="G66" s="291"/>
      <c r="H66" s="437"/>
    </row>
    <row r="67" spans="1:8" ht="18.75">
      <c r="A67" s="68"/>
      <c r="B67" s="287" t="s">
        <v>96</v>
      </c>
      <c r="C67" s="268"/>
      <c r="D67" s="291"/>
      <c r="E67" s="291"/>
      <c r="F67" s="262">
        <f t="shared" si="0"/>
        <v>0</v>
      </c>
      <c r="G67" s="291"/>
      <c r="H67" s="437"/>
    </row>
    <row r="68" spans="1:8" ht="36">
      <c r="A68" s="68"/>
      <c r="B68" s="287" t="s">
        <v>76</v>
      </c>
      <c r="C68" s="268"/>
      <c r="D68" s="291"/>
      <c r="E68" s="291"/>
      <c r="F68" s="262">
        <f t="shared" si="0"/>
        <v>0</v>
      </c>
      <c r="G68" s="291"/>
      <c r="H68" s="437"/>
    </row>
    <row r="69" spans="1:8" ht="36">
      <c r="A69" s="68"/>
      <c r="B69" s="287" t="s">
        <v>77</v>
      </c>
      <c r="C69" s="268"/>
      <c r="D69" s="291"/>
      <c r="E69" s="291"/>
      <c r="F69" s="262">
        <f t="shared" si="0"/>
        <v>0</v>
      </c>
      <c r="G69" s="291"/>
      <c r="H69" s="437"/>
    </row>
    <row r="70" spans="1:8" ht="18.75">
      <c r="A70" s="68"/>
      <c r="B70" s="287" t="s">
        <v>78</v>
      </c>
      <c r="C70" s="268"/>
      <c r="D70" s="291"/>
      <c r="E70" s="291"/>
      <c r="F70" s="262">
        <f t="shared" si="0"/>
        <v>0</v>
      </c>
      <c r="G70" s="291"/>
      <c r="H70" s="437"/>
    </row>
    <row r="71" spans="1:8" ht="18.75">
      <c r="A71" s="85"/>
      <c r="B71" s="131"/>
      <c r="C71" s="129"/>
      <c r="D71" s="291"/>
      <c r="E71" s="291"/>
      <c r="F71" s="262">
        <f t="shared" si="0"/>
        <v>0</v>
      </c>
      <c r="G71" s="291"/>
      <c r="H71" s="437"/>
    </row>
    <row r="72" spans="1:8" ht="18.75">
      <c r="A72" s="66"/>
      <c r="B72" s="292" t="s">
        <v>79</v>
      </c>
      <c r="C72" s="262">
        <f>C50+C62</f>
        <v>151742</v>
      </c>
      <c r="D72" s="262">
        <f>D50+D62</f>
        <v>164966</v>
      </c>
      <c r="E72" s="262">
        <f>E50+E62</f>
        <v>1317</v>
      </c>
      <c r="F72" s="262">
        <f>F50+F62</f>
        <v>166283</v>
      </c>
      <c r="G72" s="262">
        <f>G50+G62</f>
        <v>72236</v>
      </c>
      <c r="H72" s="441">
        <f>G72/F72</f>
        <v>0.434416025691141</v>
      </c>
    </row>
    <row r="73" spans="1:8" ht="18.75">
      <c r="A73" s="66"/>
      <c r="B73" s="292"/>
      <c r="C73" s="293"/>
      <c r="D73" s="291"/>
      <c r="E73" s="291"/>
      <c r="F73" s="262">
        <f t="shared" si="0"/>
        <v>0</v>
      </c>
      <c r="G73" s="291"/>
      <c r="H73" s="437"/>
    </row>
    <row r="74" spans="1:8" ht="18.75">
      <c r="A74" s="66" t="s">
        <v>21</v>
      </c>
      <c r="B74" s="285" t="s">
        <v>80</v>
      </c>
      <c r="C74" s="262">
        <f>C75+C76</f>
        <v>0</v>
      </c>
      <c r="D74" s="291"/>
      <c r="E74" s="291"/>
      <c r="F74" s="262">
        <f t="shared" si="0"/>
        <v>0</v>
      </c>
      <c r="G74" s="291"/>
      <c r="H74" s="437"/>
    </row>
    <row r="75" spans="1:8" ht="18.75">
      <c r="A75" s="74"/>
      <c r="B75" s="286" t="s">
        <v>251</v>
      </c>
      <c r="C75" s="262"/>
      <c r="D75" s="291"/>
      <c r="E75" s="291"/>
      <c r="F75" s="262">
        <f t="shared" si="0"/>
        <v>0</v>
      </c>
      <c r="G75" s="291"/>
      <c r="H75" s="437"/>
    </row>
    <row r="76" spans="1:8" ht="36">
      <c r="A76" s="68"/>
      <c r="B76" s="286" t="s">
        <v>56</v>
      </c>
      <c r="C76" s="270"/>
      <c r="D76" s="291"/>
      <c r="E76" s="291"/>
      <c r="F76" s="262">
        <f t="shared" si="0"/>
        <v>0</v>
      </c>
      <c r="G76" s="291"/>
      <c r="H76" s="437"/>
    </row>
    <row r="77" spans="1:8" ht="18.75">
      <c r="A77" s="79"/>
      <c r="B77" s="294" t="s">
        <v>82</v>
      </c>
      <c r="C77" s="262">
        <f>C50+C62+C74</f>
        <v>151742</v>
      </c>
      <c r="D77" s="262">
        <f>D50+D62+D74</f>
        <v>164966</v>
      </c>
      <c r="E77" s="262">
        <f>E50+E62+E74</f>
        <v>1317</v>
      </c>
      <c r="F77" s="262">
        <f>F50+F62+F74</f>
        <v>166283</v>
      </c>
      <c r="G77" s="262">
        <f>G50+G62+G74</f>
        <v>72236</v>
      </c>
      <c r="H77" s="441">
        <f>G77/F77</f>
        <v>0.434416025691141</v>
      </c>
    </row>
    <row r="78" spans="1:8" ht="18.75">
      <c r="A78" s="81"/>
      <c r="B78" s="295"/>
      <c r="C78" s="265"/>
      <c r="D78" s="291"/>
      <c r="E78" s="291"/>
      <c r="F78" s="262">
        <f t="shared" si="0"/>
        <v>0</v>
      </c>
      <c r="G78" s="291"/>
      <c r="H78" s="437"/>
    </row>
    <row r="79" spans="1:8" ht="18.75">
      <c r="A79" s="83"/>
      <c r="B79" s="296" t="s">
        <v>84</v>
      </c>
      <c r="C79" s="297">
        <v>31</v>
      </c>
      <c r="D79" s="297">
        <v>31</v>
      </c>
      <c r="E79" s="291"/>
      <c r="F79" s="297">
        <f t="shared" si="0"/>
        <v>31</v>
      </c>
      <c r="G79" s="291"/>
      <c r="H79" s="437"/>
    </row>
    <row r="80" spans="1:8" ht="18.75">
      <c r="A80" s="83"/>
      <c r="B80" s="296" t="s">
        <v>85</v>
      </c>
      <c r="C80" s="297">
        <v>0</v>
      </c>
      <c r="D80" s="297">
        <v>0</v>
      </c>
      <c r="E80" s="291"/>
      <c r="F80" s="297">
        <f t="shared" si="0"/>
        <v>0</v>
      </c>
      <c r="G80" s="291"/>
      <c r="H80" s="437"/>
    </row>
    <row r="81" spans="3:6" ht="18">
      <c r="C81" s="305">
        <f>C77-C46</f>
        <v>0</v>
      </c>
      <c r="D81" s="305">
        <f>D77-D46</f>
        <v>0</v>
      </c>
      <c r="E81" s="305">
        <f>E77-E46</f>
        <v>0</v>
      </c>
      <c r="F81" s="305">
        <f>F77-F46</f>
        <v>0</v>
      </c>
    </row>
    <row r="84" spans="2:3" ht="18">
      <c r="B84" s="290" t="s">
        <v>229</v>
      </c>
      <c r="C84" s="246" t="s">
        <v>2</v>
      </c>
    </row>
    <row r="85" spans="1:2" ht="18">
      <c r="A85" s="246" t="s">
        <v>230</v>
      </c>
      <c r="B85" s="290"/>
    </row>
    <row r="86" spans="1:3" ht="18">
      <c r="A86" s="298">
        <v>31</v>
      </c>
      <c r="B86" s="290" t="s">
        <v>252</v>
      </c>
      <c r="C86" s="298">
        <f>31*149000/1000</f>
        <v>4619</v>
      </c>
    </row>
    <row r="87" spans="1:3" ht="18">
      <c r="A87" s="299"/>
      <c r="B87" s="290" t="s">
        <v>253</v>
      </c>
      <c r="C87" s="298">
        <f>C86*0.3422</f>
        <v>1580.6218000000001</v>
      </c>
    </row>
    <row r="89" spans="2:3" ht="18">
      <c r="B89" s="246" t="s">
        <v>210</v>
      </c>
      <c r="C89" s="303">
        <f>SUM(C86:C88)</f>
        <v>6199.6218</v>
      </c>
    </row>
  </sheetData>
  <sheetProtection selectLockedCells="1" selectUnlockedCells="1"/>
  <mergeCells count="2">
    <mergeCell ref="C6:H6"/>
    <mergeCell ref="C48:H48"/>
  </mergeCells>
  <printOptions/>
  <pageMargins left="0.75" right="0.75" top="1" bottom="1" header="0.5118055555555555" footer="0.5118055555555555"/>
  <pageSetup horizontalDpi="300" verticalDpi="300" orientation="portrait" paperSize="9" scale="49" r:id="rId1"/>
  <rowBreaks count="1" manualBreakCount="1">
    <brk id="4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90"/>
  <sheetViews>
    <sheetView view="pageBreakPreview" zoomScale="50" zoomScaleNormal="65" zoomScaleSheetLayoutView="50" zoomScalePageLayoutView="0" workbookViewId="0" topLeftCell="A34">
      <selection activeCell="E53" sqref="E53"/>
    </sheetView>
  </sheetViews>
  <sheetFormatPr defaultColWidth="9.140625" defaultRowHeight="12.75"/>
  <cols>
    <col min="1" max="1" width="10.00390625" style="246" customWidth="1"/>
    <col min="2" max="2" width="61.7109375" style="246" customWidth="1"/>
    <col min="3" max="3" width="21.421875" style="246" customWidth="1"/>
    <col min="4" max="4" width="15.00390625" style="246" customWidth="1"/>
    <col min="5" max="5" width="13.28125" style="246" customWidth="1"/>
    <col min="6" max="6" width="14.140625" style="246" customWidth="1"/>
    <col min="7" max="7" width="13.7109375" style="246" customWidth="1"/>
    <col min="8" max="8" width="23.8515625" style="246" customWidth="1"/>
    <col min="9" max="16384" width="9.140625" style="246" customWidth="1"/>
  </cols>
  <sheetData>
    <row r="1" spans="1:3" s="305" customFormat="1" ht="21" customHeight="1">
      <c r="A1" s="248"/>
      <c r="B1" s="304"/>
      <c r="C1" s="249" t="s">
        <v>354</v>
      </c>
    </row>
    <row r="2" spans="1:3" s="308" customFormat="1" ht="25.5" customHeight="1">
      <c r="A2" s="251"/>
      <c r="B2" s="252" t="s">
        <v>254</v>
      </c>
      <c r="C2" s="306" t="s">
        <v>255</v>
      </c>
    </row>
    <row r="3" spans="1:3" s="308" customFormat="1" ht="18">
      <c r="A3" s="254"/>
      <c r="B3" s="252" t="s">
        <v>256</v>
      </c>
      <c r="C3" s="309"/>
    </row>
    <row r="4" spans="1:3" s="308" customFormat="1" ht="15.75" customHeight="1">
      <c r="A4" s="256"/>
      <c r="B4" s="256"/>
      <c r="C4" s="257" t="s">
        <v>110</v>
      </c>
    </row>
    <row r="5" spans="1:7" ht="36">
      <c r="A5" s="251"/>
      <c r="B5" s="258" t="s">
        <v>217</v>
      </c>
      <c r="C5" s="258" t="s">
        <v>218</v>
      </c>
      <c r="G5" s="310"/>
    </row>
    <row r="6" spans="1:8" s="310" customFormat="1" ht="19.5" customHeight="1">
      <c r="A6" s="251"/>
      <c r="B6" s="251"/>
      <c r="C6" s="494" t="s">
        <v>362</v>
      </c>
      <c r="D6" s="495"/>
      <c r="E6" s="495"/>
      <c r="F6" s="495"/>
      <c r="G6" s="495"/>
      <c r="H6" s="495"/>
    </row>
    <row r="7" spans="1:8" s="310" customFormat="1" ht="96" customHeight="1">
      <c r="A7" s="260"/>
      <c r="B7" s="260" t="s">
        <v>219</v>
      </c>
      <c r="C7" s="379" t="s">
        <v>361</v>
      </c>
      <c r="D7" s="379" t="s">
        <v>397</v>
      </c>
      <c r="E7" s="379" t="s">
        <v>360</v>
      </c>
      <c r="F7" s="379" t="s">
        <v>363</v>
      </c>
      <c r="G7" s="379" t="s">
        <v>395</v>
      </c>
      <c r="H7" s="379" t="s">
        <v>398</v>
      </c>
    </row>
    <row r="8" spans="1:8" s="307" customFormat="1" ht="18.75">
      <c r="A8" s="251" t="s">
        <v>7</v>
      </c>
      <c r="B8" s="261" t="s">
        <v>8</v>
      </c>
      <c r="C8" s="262">
        <f>C9+C10+C11+C12+C13+C14</f>
        <v>0</v>
      </c>
      <c r="D8" s="262">
        <f>D9+D10+D11+D12+D13+D14</f>
        <v>0</v>
      </c>
      <c r="E8" s="262">
        <f>E9+E10+E11+E12+E13+E14</f>
        <v>0</v>
      </c>
      <c r="F8" s="262">
        <f>C8+D8+E8</f>
        <v>0</v>
      </c>
      <c r="G8" s="312"/>
      <c r="H8" s="312"/>
    </row>
    <row r="9" spans="1:8" s="307" customFormat="1" ht="36">
      <c r="A9" s="264"/>
      <c r="B9" s="265" t="s">
        <v>9</v>
      </c>
      <c r="C9" s="262"/>
      <c r="D9" s="312"/>
      <c r="E9" s="312"/>
      <c r="F9" s="262">
        <f aca="true" t="shared" si="0" ref="F9:F41">C9+D9+E9</f>
        <v>0</v>
      </c>
      <c r="G9" s="312"/>
      <c r="H9" s="312"/>
    </row>
    <row r="10" spans="1:8" s="307" customFormat="1" ht="36">
      <c r="A10" s="64"/>
      <c r="B10" s="265" t="s">
        <v>10</v>
      </c>
      <c r="C10" s="268"/>
      <c r="D10" s="312"/>
      <c r="E10" s="312"/>
      <c r="F10" s="262">
        <f t="shared" si="0"/>
        <v>0</v>
      </c>
      <c r="G10" s="312"/>
      <c r="H10" s="312"/>
    </row>
    <row r="11" spans="1:8" s="307" customFormat="1" ht="36">
      <c r="A11" s="64"/>
      <c r="B11" s="265" t="s">
        <v>11</v>
      </c>
      <c r="C11" s="268"/>
      <c r="D11" s="312"/>
      <c r="E11" s="312"/>
      <c r="F11" s="262">
        <f t="shared" si="0"/>
        <v>0</v>
      </c>
      <c r="G11" s="312"/>
      <c r="H11" s="312"/>
    </row>
    <row r="12" spans="1:8" s="307" customFormat="1" ht="36">
      <c r="A12" s="64"/>
      <c r="B12" s="265" t="s">
        <v>12</v>
      </c>
      <c r="C12" s="268"/>
      <c r="D12" s="312"/>
      <c r="E12" s="312"/>
      <c r="F12" s="262">
        <f t="shared" si="0"/>
        <v>0</v>
      </c>
      <c r="G12" s="312"/>
      <c r="H12" s="312"/>
    </row>
    <row r="13" spans="1:8" s="307" customFormat="1" ht="18.75">
      <c r="A13" s="64"/>
      <c r="B13" s="265" t="s">
        <v>86</v>
      </c>
      <c r="C13" s="268"/>
      <c r="D13" s="312"/>
      <c r="E13" s="312"/>
      <c r="F13" s="262">
        <f t="shared" si="0"/>
        <v>0</v>
      </c>
      <c r="G13" s="312"/>
      <c r="H13" s="312"/>
    </row>
    <row r="14" spans="1:8" s="307" customFormat="1" ht="18.75">
      <c r="A14" s="64"/>
      <c r="B14" s="265" t="s">
        <v>14</v>
      </c>
      <c r="C14" s="268"/>
      <c r="D14" s="312"/>
      <c r="E14" s="312"/>
      <c r="F14" s="262">
        <f t="shared" si="0"/>
        <v>0</v>
      </c>
      <c r="G14" s="312"/>
      <c r="H14" s="312"/>
    </row>
    <row r="15" spans="1:8" ht="36">
      <c r="A15" s="64" t="s">
        <v>15</v>
      </c>
      <c r="B15" s="261" t="s">
        <v>16</v>
      </c>
      <c r="C15" s="268">
        <f>C16+C17+C18+C19</f>
        <v>0</v>
      </c>
      <c r="D15" s="268">
        <f>D16+D17+D18+D19</f>
        <v>0</v>
      </c>
      <c r="E15" s="268">
        <f>E16+E17+E18+E19</f>
        <v>0</v>
      </c>
      <c r="F15" s="262">
        <f t="shared" si="0"/>
        <v>0</v>
      </c>
      <c r="G15" s="291"/>
      <c r="H15" s="291"/>
    </row>
    <row r="16" spans="1:8" ht="36">
      <c r="A16" s="264"/>
      <c r="B16" s="265" t="s">
        <v>17</v>
      </c>
      <c r="C16" s="262"/>
      <c r="D16" s="291"/>
      <c r="E16" s="291"/>
      <c r="F16" s="262">
        <f t="shared" si="0"/>
        <v>0</v>
      </c>
      <c r="G16" s="291"/>
      <c r="H16" s="291"/>
    </row>
    <row r="17" spans="1:8" s="307" customFormat="1" ht="36">
      <c r="A17" s="64"/>
      <c r="B17" s="265" t="s">
        <v>105</v>
      </c>
      <c r="C17" s="268"/>
      <c r="D17" s="312"/>
      <c r="E17" s="312"/>
      <c r="F17" s="262">
        <f t="shared" si="0"/>
        <v>0</v>
      </c>
      <c r="G17" s="312"/>
      <c r="H17" s="312"/>
    </row>
    <row r="18" spans="1:8" ht="36">
      <c r="A18" s="64"/>
      <c r="B18" s="265" t="s">
        <v>19</v>
      </c>
      <c r="C18" s="268"/>
      <c r="D18" s="291"/>
      <c r="E18" s="291"/>
      <c r="F18" s="262">
        <f t="shared" si="0"/>
        <v>0</v>
      </c>
      <c r="G18" s="291"/>
      <c r="H18" s="291"/>
    </row>
    <row r="19" spans="1:8" ht="36">
      <c r="A19" s="64"/>
      <c r="B19" s="265" t="s">
        <v>20</v>
      </c>
      <c r="C19" s="268"/>
      <c r="D19" s="291"/>
      <c r="E19" s="291"/>
      <c r="F19" s="262">
        <f t="shared" si="0"/>
        <v>0</v>
      </c>
      <c r="G19" s="291"/>
      <c r="H19" s="291"/>
    </row>
    <row r="20" spans="1:8" ht="36">
      <c r="A20" s="64" t="s">
        <v>21</v>
      </c>
      <c r="B20" s="271" t="s">
        <v>22</v>
      </c>
      <c r="C20" s="268">
        <f>C21</f>
        <v>0</v>
      </c>
      <c r="D20" s="268">
        <f>D21</f>
        <v>0</v>
      </c>
      <c r="E20" s="268">
        <f>E21</f>
        <v>0</v>
      </c>
      <c r="F20" s="262">
        <f t="shared" si="0"/>
        <v>0</v>
      </c>
      <c r="G20" s="291"/>
      <c r="H20" s="291"/>
    </row>
    <row r="21" spans="1:8" ht="36">
      <c r="A21" s="64"/>
      <c r="B21" s="272" t="s">
        <v>246</v>
      </c>
      <c r="C21" s="268"/>
      <c r="D21" s="291"/>
      <c r="E21" s="291"/>
      <c r="F21" s="262">
        <f t="shared" si="0"/>
        <v>0</v>
      </c>
      <c r="G21" s="291"/>
      <c r="H21" s="291"/>
    </row>
    <row r="22" spans="1:8" ht="18">
      <c r="A22" s="275" t="s">
        <v>24</v>
      </c>
      <c r="B22" s="271" t="s">
        <v>25</v>
      </c>
      <c r="C22" s="268">
        <f>C23+C24+C25+C26</f>
        <v>0</v>
      </c>
      <c r="D22" s="268">
        <f>D23+D24+D25+D26</f>
        <v>0</v>
      </c>
      <c r="E22" s="268">
        <f>E23+E24+E25+E26</f>
        <v>0</v>
      </c>
      <c r="F22" s="262">
        <f t="shared" si="0"/>
        <v>0</v>
      </c>
      <c r="G22" s="291"/>
      <c r="H22" s="291"/>
    </row>
    <row r="23" spans="1:8" s="307" customFormat="1" ht="36">
      <c r="A23" s="64"/>
      <c r="B23" s="276" t="s">
        <v>26</v>
      </c>
      <c r="C23" s="268"/>
      <c r="D23" s="312"/>
      <c r="E23" s="312"/>
      <c r="F23" s="262">
        <f t="shared" si="0"/>
        <v>0</v>
      </c>
      <c r="G23" s="312"/>
      <c r="H23" s="312"/>
    </row>
    <row r="24" spans="1:8" s="307" customFormat="1" ht="18.75">
      <c r="A24" s="65"/>
      <c r="B24" s="276" t="s">
        <v>27</v>
      </c>
      <c r="C24" s="268"/>
      <c r="D24" s="312"/>
      <c r="E24" s="312"/>
      <c r="F24" s="262">
        <f t="shared" si="0"/>
        <v>0</v>
      </c>
      <c r="G24" s="312"/>
      <c r="H24" s="312"/>
    </row>
    <row r="25" spans="1:8" s="307" customFormat="1" ht="18.75">
      <c r="A25" s="64"/>
      <c r="B25" s="276" t="s">
        <v>28</v>
      </c>
      <c r="C25" s="270"/>
      <c r="D25" s="312"/>
      <c r="E25" s="312"/>
      <c r="F25" s="262">
        <f t="shared" si="0"/>
        <v>0</v>
      </c>
      <c r="G25" s="312"/>
      <c r="H25" s="312"/>
    </row>
    <row r="26" spans="1:8" s="307" customFormat="1" ht="90">
      <c r="A26" s="264"/>
      <c r="B26" s="276" t="s">
        <v>29</v>
      </c>
      <c r="C26" s="262"/>
      <c r="D26" s="291"/>
      <c r="E26" s="291"/>
      <c r="F26" s="262">
        <f t="shared" si="0"/>
        <v>0</v>
      </c>
      <c r="G26" s="312"/>
      <c r="H26" s="312"/>
    </row>
    <row r="27" spans="1:8" ht="18">
      <c r="A27" s="275" t="s">
        <v>30</v>
      </c>
      <c r="B27" s="278" t="s">
        <v>31</v>
      </c>
      <c r="C27" s="268">
        <f>C28+C29+C30+C31+C32</f>
        <v>0</v>
      </c>
      <c r="D27" s="268">
        <f>D28+D29+D30+D31+D32</f>
        <v>0</v>
      </c>
      <c r="E27" s="268">
        <f>E28+E29+E30+E31+E32</f>
        <v>0</v>
      </c>
      <c r="F27" s="262">
        <f t="shared" si="0"/>
        <v>0</v>
      </c>
      <c r="G27" s="291"/>
      <c r="H27" s="291"/>
    </row>
    <row r="28" spans="1:8" ht="54">
      <c r="A28" s="64"/>
      <c r="B28" s="265" t="s">
        <v>32</v>
      </c>
      <c r="C28"/>
      <c r="D28" s="160"/>
      <c r="E28" s="311"/>
      <c r="F28" s="262">
        <f t="shared" si="0"/>
        <v>0</v>
      </c>
      <c r="G28" s="291"/>
      <c r="H28" s="291"/>
    </row>
    <row r="29" spans="1:8" ht="15" customHeight="1">
      <c r="A29" s="64"/>
      <c r="B29" s="265" t="s">
        <v>33</v>
      </c>
      <c r="C29" s="268"/>
      <c r="D29" s="312"/>
      <c r="E29" s="312"/>
      <c r="F29" s="262">
        <f t="shared" si="0"/>
        <v>0</v>
      </c>
      <c r="G29" s="291"/>
      <c r="H29" s="291"/>
    </row>
    <row r="30" spans="1:8" ht="18">
      <c r="A30" s="64"/>
      <c r="B30" s="265" t="s">
        <v>34</v>
      </c>
      <c r="C30" s="268"/>
      <c r="D30" s="291"/>
      <c r="E30" s="291"/>
      <c r="F30" s="262">
        <f t="shared" si="0"/>
        <v>0</v>
      </c>
      <c r="G30" s="291"/>
      <c r="H30" s="291"/>
    </row>
    <row r="31" spans="1:8" s="310" customFormat="1" ht="18">
      <c r="A31" s="64"/>
      <c r="B31" s="265" t="s">
        <v>35</v>
      </c>
      <c r="C31" s="268"/>
      <c r="D31" s="291"/>
      <c r="E31" s="291"/>
      <c r="F31" s="262">
        <f t="shared" si="0"/>
        <v>0</v>
      </c>
      <c r="G31" s="311"/>
      <c r="H31" s="311"/>
    </row>
    <row r="32" spans="1:8" s="307" customFormat="1" ht="18.75">
      <c r="A32" s="64"/>
      <c r="B32" s="265" t="s">
        <v>36</v>
      </c>
      <c r="C32" s="268"/>
      <c r="D32" s="291"/>
      <c r="E32" s="291"/>
      <c r="F32" s="262">
        <f t="shared" si="0"/>
        <v>0</v>
      </c>
      <c r="G32" s="312"/>
      <c r="H32" s="312"/>
    </row>
    <row r="33" spans="1:8" ht="18">
      <c r="A33" s="275" t="s">
        <v>37</v>
      </c>
      <c r="B33" s="271" t="s">
        <v>38</v>
      </c>
      <c r="C33" s="268">
        <f>C34+C35</f>
        <v>0</v>
      </c>
      <c r="D33" s="291"/>
      <c r="E33" s="291"/>
      <c r="F33" s="262">
        <f t="shared" si="0"/>
        <v>0</v>
      </c>
      <c r="G33" s="291"/>
      <c r="H33" s="291"/>
    </row>
    <row r="34" spans="1:8" ht="18">
      <c r="A34" s="65"/>
      <c r="B34" s="265" t="s">
        <v>39</v>
      </c>
      <c r="C34" s="268"/>
      <c r="D34" s="291"/>
      <c r="E34" s="291"/>
      <c r="F34" s="262">
        <f t="shared" si="0"/>
        <v>0</v>
      </c>
      <c r="G34" s="291"/>
      <c r="H34" s="291"/>
    </row>
    <row r="35" spans="1:8" ht="18">
      <c r="A35" s="66"/>
      <c r="B35" s="265" t="s">
        <v>107</v>
      </c>
      <c r="C35" s="262"/>
      <c r="D35" s="291"/>
      <c r="E35" s="291"/>
      <c r="F35" s="262">
        <f t="shared" si="0"/>
        <v>0</v>
      </c>
      <c r="G35" s="291"/>
      <c r="H35" s="291"/>
    </row>
    <row r="36" spans="1:8" ht="18">
      <c r="A36" s="279" t="s">
        <v>40</v>
      </c>
      <c r="B36" s="271" t="s">
        <v>41</v>
      </c>
      <c r="C36" s="266">
        <f>C37</f>
        <v>0</v>
      </c>
      <c r="D36" s="266">
        <f>D37</f>
        <v>0</v>
      </c>
      <c r="E36" s="266">
        <f>E37</f>
        <v>0</v>
      </c>
      <c r="F36" s="262">
        <f t="shared" si="0"/>
        <v>0</v>
      </c>
      <c r="G36" s="291"/>
      <c r="H36" s="291"/>
    </row>
    <row r="37" spans="1:8" ht="18">
      <c r="A37" s="68"/>
      <c r="B37" s="265" t="s">
        <v>221</v>
      </c>
      <c r="C37" s="268"/>
      <c r="D37" s="291"/>
      <c r="E37" s="291"/>
      <c r="F37" s="262">
        <f t="shared" si="0"/>
        <v>0</v>
      </c>
      <c r="G37" s="291"/>
      <c r="H37" s="291"/>
    </row>
    <row r="38" spans="1:8" ht="18">
      <c r="A38" s="279" t="s">
        <v>43</v>
      </c>
      <c r="B38" s="271" t="s">
        <v>44</v>
      </c>
      <c r="C38" s="268">
        <f>C39+C40</f>
        <v>0</v>
      </c>
      <c r="D38" s="268">
        <f>D39+D40</f>
        <v>0</v>
      </c>
      <c r="E38" s="268">
        <f>E39+E40</f>
        <v>0</v>
      </c>
      <c r="F38" s="262">
        <f t="shared" si="0"/>
        <v>0</v>
      </c>
      <c r="G38" s="291"/>
      <c r="H38" s="291"/>
    </row>
    <row r="39" spans="1:8" s="307" customFormat="1" ht="54">
      <c r="A39" s="68"/>
      <c r="B39" s="276" t="s">
        <v>247</v>
      </c>
      <c r="C39" s="268"/>
      <c r="D39" s="312"/>
      <c r="E39" s="312"/>
      <c r="F39" s="262">
        <f t="shared" si="0"/>
        <v>0</v>
      </c>
      <c r="G39" s="312"/>
      <c r="H39" s="312"/>
    </row>
    <row r="40" spans="1:8" ht="36">
      <c r="A40" s="68"/>
      <c r="B40" s="276" t="s">
        <v>248</v>
      </c>
      <c r="C40" s="268"/>
      <c r="D40" s="291"/>
      <c r="E40" s="291"/>
      <c r="F40" s="262">
        <f t="shared" si="0"/>
        <v>0</v>
      </c>
      <c r="G40" s="291"/>
      <c r="H40" s="291"/>
    </row>
    <row r="41" spans="1:8" ht="36">
      <c r="A41" s="68"/>
      <c r="B41" s="271" t="s">
        <v>47</v>
      </c>
      <c r="C41" s="268">
        <f>C8+C15+C20+C22+C27+C33+C36+C38</f>
        <v>0</v>
      </c>
      <c r="D41" s="268">
        <f>D8+D15+D20+D22+D27+D33+D36+D38</f>
        <v>0</v>
      </c>
      <c r="E41" s="268">
        <f>E8+E15+E20+E22+E27+E33+E36+E38</f>
        <v>0</v>
      </c>
      <c r="F41" s="262">
        <f t="shared" si="0"/>
        <v>0</v>
      </c>
      <c r="G41" s="291"/>
      <c r="H41" s="291"/>
    </row>
    <row r="42" spans="1:8" ht="18.75">
      <c r="A42" s="279" t="s">
        <v>48</v>
      </c>
      <c r="B42" s="271" t="s">
        <v>249</v>
      </c>
      <c r="C42" s="262">
        <f>C77-C41-C43</f>
        <v>126555</v>
      </c>
      <c r="D42" s="262">
        <v>125953</v>
      </c>
      <c r="E42" s="262">
        <f>E77-E41</f>
        <v>21</v>
      </c>
      <c r="F42" s="262">
        <f>D42+E42</f>
        <v>125974</v>
      </c>
      <c r="G42" s="262">
        <v>58940</v>
      </c>
      <c r="H42" s="441">
        <f>G42/F42</f>
        <v>0.46787432327305634</v>
      </c>
    </row>
    <row r="43" spans="1:8" ht="36">
      <c r="A43" s="279" t="s">
        <v>50</v>
      </c>
      <c r="B43" s="271" t="s">
        <v>51</v>
      </c>
      <c r="C43" s="268"/>
      <c r="D43" s="291">
        <v>661</v>
      </c>
      <c r="E43" s="291"/>
      <c r="F43" s="262">
        <f>D43+E43</f>
        <v>661</v>
      </c>
      <c r="G43" s="291">
        <v>661</v>
      </c>
      <c r="H43" s="437">
        <f>G43/F43</f>
        <v>1</v>
      </c>
    </row>
    <row r="44" spans="1:8" ht="36">
      <c r="A44" s="279" t="s">
        <v>52</v>
      </c>
      <c r="B44" s="271" t="s">
        <v>53</v>
      </c>
      <c r="C44" s="268"/>
      <c r="D44" s="291"/>
      <c r="E44" s="291"/>
      <c r="F44" s="262">
        <f>D44+E44</f>
        <v>0</v>
      </c>
      <c r="G44" s="291"/>
      <c r="H44" s="437"/>
    </row>
    <row r="45" spans="1:8" ht="18.75">
      <c r="A45" s="68"/>
      <c r="B45" s="271" t="s">
        <v>54</v>
      </c>
      <c r="C45" s="270">
        <f>C42+C43+C44</f>
        <v>126555</v>
      </c>
      <c r="D45" s="270">
        <f>D42+D43+D44</f>
        <v>126614</v>
      </c>
      <c r="E45" s="270">
        <f>E42+E43+E44</f>
        <v>21</v>
      </c>
      <c r="F45" s="270">
        <f>F42+F43+F44</f>
        <v>126635</v>
      </c>
      <c r="G45" s="270">
        <f>G42+G43+G44</f>
        <v>59601</v>
      </c>
      <c r="H45" s="441">
        <f>G45/F45</f>
        <v>0.47065187349468945</v>
      </c>
    </row>
    <row r="46" spans="1:8" ht="21.75" customHeight="1">
      <c r="A46" s="68"/>
      <c r="B46" s="261" t="s">
        <v>57</v>
      </c>
      <c r="C46" s="270">
        <f>C41+C45</f>
        <v>126555</v>
      </c>
      <c r="D46" s="270">
        <f>D41+D45</f>
        <v>126614</v>
      </c>
      <c r="E46" s="270">
        <f>E41+E45</f>
        <v>21</v>
      </c>
      <c r="F46" s="270">
        <f>F41+F45</f>
        <v>126635</v>
      </c>
      <c r="G46" s="270">
        <f>G41+G45</f>
        <v>59601</v>
      </c>
      <c r="H46" s="441">
        <f>G46/F46</f>
        <v>0.47065187349468945</v>
      </c>
    </row>
    <row r="47" spans="1:3" ht="14.25" customHeight="1">
      <c r="A47" s="281"/>
      <c r="B47" s="282"/>
      <c r="C47" s="283"/>
    </row>
    <row r="48" spans="1:8" ht="20.25">
      <c r="A48" s="81"/>
      <c r="B48" s="81"/>
      <c r="C48" s="494" t="s">
        <v>362</v>
      </c>
      <c r="D48" s="495"/>
      <c r="E48" s="495"/>
      <c r="F48" s="495"/>
      <c r="G48" s="495"/>
      <c r="H48" s="495"/>
    </row>
    <row r="49" spans="1:8" ht="78" customHeight="1">
      <c r="A49" s="284"/>
      <c r="B49" s="284" t="s">
        <v>225</v>
      </c>
      <c r="C49" s="379" t="s">
        <v>361</v>
      </c>
      <c r="D49" s="379" t="s">
        <v>397</v>
      </c>
      <c r="E49" s="379" t="s">
        <v>360</v>
      </c>
      <c r="F49" s="379" t="s">
        <v>363</v>
      </c>
      <c r="G49" s="379" t="s">
        <v>395</v>
      </c>
      <c r="H49" s="379" t="s">
        <v>398</v>
      </c>
    </row>
    <row r="50" spans="1:8" ht="18.75">
      <c r="A50" s="66" t="s">
        <v>7</v>
      </c>
      <c r="B50" s="285" t="s">
        <v>59</v>
      </c>
      <c r="C50" s="262">
        <f>C51+C52+C53+C56+C57</f>
        <v>126555</v>
      </c>
      <c r="D50" s="262">
        <f>D51+D52+D53+D56+D57</f>
        <v>126614</v>
      </c>
      <c r="E50" s="262">
        <f>E51+E52+E53+E56+E57</f>
        <v>21</v>
      </c>
      <c r="F50" s="262">
        <f>D50+E50</f>
        <v>126635</v>
      </c>
      <c r="G50" s="262">
        <f>G51+G52+G53+G56+G57</f>
        <v>56539</v>
      </c>
      <c r="H50" s="441">
        <f>G50/F50</f>
        <v>0.44647214435187743</v>
      </c>
    </row>
    <row r="51" spans="1:8" ht="18.75">
      <c r="A51" s="74"/>
      <c r="B51" s="286" t="s">
        <v>60</v>
      </c>
      <c r="C51" s="268">
        <v>96583</v>
      </c>
      <c r="D51" s="268">
        <v>96631</v>
      </c>
      <c r="E51" s="291">
        <v>17</v>
      </c>
      <c r="F51" s="266">
        <f>D51+E51</f>
        <v>96648</v>
      </c>
      <c r="G51" s="266">
        <v>42586</v>
      </c>
      <c r="H51" s="437">
        <f>G51/F51</f>
        <v>0.4406299147421571</v>
      </c>
    </row>
    <row r="52" spans="1:8" ht="36">
      <c r="A52" s="68"/>
      <c r="B52" s="287" t="s">
        <v>61</v>
      </c>
      <c r="C52" s="268">
        <v>21090</v>
      </c>
      <c r="D52" s="268">
        <v>21101</v>
      </c>
      <c r="E52" s="291">
        <v>4</v>
      </c>
      <c r="F52" s="266">
        <f>D52+E52</f>
        <v>21105</v>
      </c>
      <c r="G52" s="266">
        <v>10189</v>
      </c>
      <c r="H52" s="437">
        <f>G52/F52</f>
        <v>0.4827765932243544</v>
      </c>
    </row>
    <row r="53" spans="1:8" ht="18.75">
      <c r="A53" s="68"/>
      <c r="B53" s="287" t="s">
        <v>62</v>
      </c>
      <c r="C53" s="268">
        <v>8882</v>
      </c>
      <c r="D53" s="268">
        <v>8882</v>
      </c>
      <c r="E53" s="291"/>
      <c r="F53" s="266">
        <f>D53+E53</f>
        <v>8882</v>
      </c>
      <c r="G53" s="266">
        <v>3764</v>
      </c>
      <c r="H53" s="437">
        <f>G53/F53</f>
        <v>0.4237784282819185</v>
      </c>
    </row>
    <row r="54" spans="1:8" ht="54">
      <c r="A54" s="68"/>
      <c r="B54" s="287" t="s">
        <v>250</v>
      </c>
      <c r="C54" s="268"/>
      <c r="D54" s="291"/>
      <c r="E54" s="291"/>
      <c r="F54" s="262">
        <f aca="true" t="shared" si="1" ref="F54:F80">C54+D54+E54</f>
        <v>0</v>
      </c>
      <c r="G54" s="291"/>
      <c r="H54" s="437"/>
    </row>
    <row r="55" spans="1:8" ht="18.75">
      <c r="A55" s="68"/>
      <c r="B55" s="287" t="s">
        <v>64</v>
      </c>
      <c r="C55" s="268"/>
      <c r="D55" s="291"/>
      <c r="E55" s="291"/>
      <c r="F55" s="262">
        <f t="shared" si="1"/>
        <v>0</v>
      </c>
      <c r="G55" s="291"/>
      <c r="H55" s="437"/>
    </row>
    <row r="56" spans="1:8" ht="18.75">
      <c r="A56" s="68"/>
      <c r="B56" s="287" t="s">
        <v>65</v>
      </c>
      <c r="C56" s="268"/>
      <c r="D56" s="291"/>
      <c r="E56" s="291"/>
      <c r="F56" s="262">
        <f t="shared" si="1"/>
        <v>0</v>
      </c>
      <c r="G56" s="291"/>
      <c r="H56" s="437"/>
    </row>
    <row r="57" spans="1:8" ht="18.75">
      <c r="A57" s="68"/>
      <c r="B57" s="287" t="s">
        <v>66</v>
      </c>
      <c r="C57" s="268">
        <f>SUM(C58:C61)</f>
        <v>0</v>
      </c>
      <c r="D57" s="291"/>
      <c r="E57" s="291"/>
      <c r="F57" s="262">
        <f t="shared" si="1"/>
        <v>0</v>
      </c>
      <c r="G57" s="291"/>
      <c r="H57" s="437"/>
    </row>
    <row r="58" spans="1:8" ht="18.75">
      <c r="A58" s="68"/>
      <c r="B58" s="287" t="s">
        <v>67</v>
      </c>
      <c r="C58" s="268"/>
      <c r="D58" s="291"/>
      <c r="E58" s="291"/>
      <c r="F58" s="262">
        <f t="shared" si="1"/>
        <v>0</v>
      </c>
      <c r="G58" s="291"/>
      <c r="H58" s="437"/>
    </row>
    <row r="59" spans="1:8" ht="36">
      <c r="A59" s="68"/>
      <c r="B59" s="287" t="s">
        <v>68</v>
      </c>
      <c r="C59" s="268"/>
      <c r="D59" s="291"/>
      <c r="E59" s="291"/>
      <c r="F59" s="262">
        <f t="shared" si="1"/>
        <v>0</v>
      </c>
      <c r="G59" s="291"/>
      <c r="H59" s="437"/>
    </row>
    <row r="60" spans="1:8" ht="36">
      <c r="A60" s="68"/>
      <c r="B60" s="287" t="s">
        <v>69</v>
      </c>
      <c r="C60" s="268"/>
      <c r="D60" s="291"/>
      <c r="E60" s="291"/>
      <c r="F60" s="262">
        <f t="shared" si="1"/>
        <v>0</v>
      </c>
      <c r="G60" s="291"/>
      <c r="H60" s="437"/>
    </row>
    <row r="61" spans="1:8" ht="18.75">
      <c r="A61" s="68"/>
      <c r="B61" s="288"/>
      <c r="C61" s="268"/>
      <c r="D61" s="291"/>
      <c r="E61" s="291"/>
      <c r="F61" s="262">
        <f t="shared" si="1"/>
        <v>0</v>
      </c>
      <c r="G61" s="291"/>
      <c r="H61" s="437"/>
    </row>
    <row r="62" spans="1:8" ht="18.75">
      <c r="A62" s="66" t="s">
        <v>15</v>
      </c>
      <c r="B62" s="285" t="s">
        <v>70</v>
      </c>
      <c r="C62" s="262">
        <f>C63+C66+C67+C70</f>
        <v>0</v>
      </c>
      <c r="D62" s="262">
        <f>D63+D66+D67+D70</f>
        <v>0</v>
      </c>
      <c r="E62" s="262">
        <f>E63+E66+E67+E70</f>
        <v>0</v>
      </c>
      <c r="F62" s="262">
        <f t="shared" si="1"/>
        <v>0</v>
      </c>
      <c r="G62" s="291"/>
      <c r="H62" s="437"/>
    </row>
    <row r="63" spans="1:8" ht="18.75">
      <c r="A63" s="74"/>
      <c r="B63" s="123" t="s">
        <v>71</v>
      </c>
      <c r="C63" s="268"/>
      <c r="D63" s="291"/>
      <c r="E63" s="291"/>
      <c r="F63" s="262">
        <f t="shared" si="1"/>
        <v>0</v>
      </c>
      <c r="G63" s="291"/>
      <c r="H63" s="437"/>
    </row>
    <row r="64" spans="1:8" ht="54">
      <c r="A64" s="74"/>
      <c r="B64" s="287" t="s">
        <v>226</v>
      </c>
      <c r="C64" s="268"/>
      <c r="D64" s="291"/>
      <c r="E64" s="291"/>
      <c r="F64" s="262">
        <f t="shared" si="1"/>
        <v>0</v>
      </c>
      <c r="G64" s="291"/>
      <c r="H64" s="437"/>
    </row>
    <row r="65" spans="1:8" ht="54">
      <c r="A65" s="74"/>
      <c r="B65" s="287" t="s">
        <v>227</v>
      </c>
      <c r="C65" s="268"/>
      <c r="D65" s="291"/>
      <c r="E65" s="291"/>
      <c r="F65" s="262">
        <f t="shared" si="1"/>
        <v>0</v>
      </c>
      <c r="G65" s="291"/>
      <c r="H65" s="437"/>
    </row>
    <row r="66" spans="1:8" ht="18.75">
      <c r="A66" s="68"/>
      <c r="B66" s="287" t="s">
        <v>74</v>
      </c>
      <c r="C66" s="268"/>
      <c r="D66" s="291"/>
      <c r="E66" s="291"/>
      <c r="F66" s="262">
        <f t="shared" si="1"/>
        <v>0</v>
      </c>
      <c r="G66" s="291"/>
      <c r="H66" s="437"/>
    </row>
    <row r="67" spans="1:8" ht="18.75">
      <c r="A67" s="68"/>
      <c r="B67" s="287" t="s">
        <v>96</v>
      </c>
      <c r="C67" s="268"/>
      <c r="D67" s="291"/>
      <c r="E67" s="291"/>
      <c r="F67" s="262">
        <f t="shared" si="1"/>
        <v>0</v>
      </c>
      <c r="G67" s="291"/>
      <c r="H67" s="437"/>
    </row>
    <row r="68" spans="1:8" ht="36">
      <c r="A68" s="68"/>
      <c r="B68" s="287" t="s">
        <v>76</v>
      </c>
      <c r="C68" s="268"/>
      <c r="D68" s="291"/>
      <c r="E68" s="291"/>
      <c r="F68" s="262">
        <f t="shared" si="1"/>
        <v>0</v>
      </c>
      <c r="G68" s="291"/>
      <c r="H68" s="437"/>
    </row>
    <row r="69" spans="1:8" ht="36">
      <c r="A69" s="68"/>
      <c r="B69" s="287" t="s">
        <v>77</v>
      </c>
      <c r="C69" s="268"/>
      <c r="D69" s="291"/>
      <c r="E69" s="291"/>
      <c r="F69" s="262">
        <f t="shared" si="1"/>
        <v>0</v>
      </c>
      <c r="G69" s="291"/>
      <c r="H69" s="437"/>
    </row>
    <row r="70" spans="1:8" ht="18.75">
      <c r="A70" s="68"/>
      <c r="B70" s="287" t="s">
        <v>78</v>
      </c>
      <c r="C70" s="268"/>
      <c r="D70" s="291"/>
      <c r="E70" s="291"/>
      <c r="F70" s="262">
        <f t="shared" si="1"/>
        <v>0</v>
      </c>
      <c r="G70" s="291"/>
      <c r="H70" s="437"/>
    </row>
    <row r="71" spans="1:8" ht="18.75">
      <c r="A71" s="85"/>
      <c r="B71" s="131"/>
      <c r="C71" s="129"/>
      <c r="D71" s="291"/>
      <c r="E71" s="291"/>
      <c r="F71" s="262">
        <f t="shared" si="1"/>
        <v>0</v>
      </c>
      <c r="G71" s="291"/>
      <c r="H71" s="437"/>
    </row>
    <row r="72" spans="1:8" ht="18.75">
      <c r="A72" s="66"/>
      <c r="B72" s="292" t="s">
        <v>79</v>
      </c>
      <c r="C72" s="262">
        <f>C50+C62</f>
        <v>126555</v>
      </c>
      <c r="D72" s="262">
        <f>D50+D62</f>
        <v>126614</v>
      </c>
      <c r="E72" s="262">
        <f>E50+E62</f>
        <v>21</v>
      </c>
      <c r="F72" s="262">
        <f>F50+F62</f>
        <v>126635</v>
      </c>
      <c r="G72" s="262">
        <f>G50+G62</f>
        <v>56539</v>
      </c>
      <c r="H72" s="441">
        <f>G72/F72</f>
        <v>0.44647214435187743</v>
      </c>
    </row>
    <row r="73" spans="1:8" ht="18.75">
      <c r="A73" s="66"/>
      <c r="B73" s="292"/>
      <c r="C73" s="293"/>
      <c r="D73" s="291"/>
      <c r="E73" s="291"/>
      <c r="F73" s="262">
        <f t="shared" si="1"/>
        <v>0</v>
      </c>
      <c r="G73" s="291"/>
      <c r="H73" s="437"/>
    </row>
    <row r="74" spans="1:8" ht="18.75">
      <c r="A74" s="66" t="s">
        <v>21</v>
      </c>
      <c r="B74" s="285" t="s">
        <v>80</v>
      </c>
      <c r="C74" s="262">
        <f>C75+C76</f>
        <v>0</v>
      </c>
      <c r="D74" s="291"/>
      <c r="E74" s="291"/>
      <c r="F74" s="262">
        <f t="shared" si="1"/>
        <v>0</v>
      </c>
      <c r="G74" s="291"/>
      <c r="H74" s="437"/>
    </row>
    <row r="75" spans="1:8" ht="18.75">
      <c r="A75" s="74"/>
      <c r="B75" s="286" t="s">
        <v>251</v>
      </c>
      <c r="C75" s="262"/>
      <c r="D75" s="291"/>
      <c r="E75" s="291"/>
      <c r="F75" s="262">
        <f t="shared" si="1"/>
        <v>0</v>
      </c>
      <c r="G75" s="291"/>
      <c r="H75" s="437"/>
    </row>
    <row r="76" spans="1:8" ht="36">
      <c r="A76" s="68"/>
      <c r="B76" s="286" t="s">
        <v>56</v>
      </c>
      <c r="C76" s="270"/>
      <c r="D76" s="291"/>
      <c r="E76" s="291"/>
      <c r="F76" s="262">
        <f t="shared" si="1"/>
        <v>0</v>
      </c>
      <c r="G76" s="291"/>
      <c r="H76" s="437"/>
    </row>
    <row r="77" spans="1:8" ht="18.75">
      <c r="A77" s="79"/>
      <c r="B77" s="294" t="s">
        <v>82</v>
      </c>
      <c r="C77" s="262">
        <f>C50+C62+C74</f>
        <v>126555</v>
      </c>
      <c r="D77" s="262">
        <f>D50+D62+D74</f>
        <v>126614</v>
      </c>
      <c r="E77" s="262">
        <f>E50+E62+E74</f>
        <v>21</v>
      </c>
      <c r="F77" s="262">
        <f>F50+F62+F74</f>
        <v>126635</v>
      </c>
      <c r="G77" s="262">
        <f>G50+G62+G74</f>
        <v>56539</v>
      </c>
      <c r="H77" s="441">
        <f>G77/F77</f>
        <v>0.44647214435187743</v>
      </c>
    </row>
    <row r="78" spans="1:8" ht="18.75">
      <c r="A78" s="81"/>
      <c r="B78" s="295"/>
      <c r="C78" s="265"/>
      <c r="D78" s="291"/>
      <c r="E78" s="291"/>
      <c r="F78" s="262">
        <f t="shared" si="1"/>
        <v>0</v>
      </c>
      <c r="G78" s="291"/>
      <c r="H78" s="437"/>
    </row>
    <row r="79" spans="1:8" ht="18.75">
      <c r="A79" s="83"/>
      <c r="B79" s="296" t="s">
        <v>84</v>
      </c>
      <c r="C79" s="297">
        <v>28.5</v>
      </c>
      <c r="D79" s="297">
        <v>28.5</v>
      </c>
      <c r="E79" s="297"/>
      <c r="F79" s="380">
        <f>D79+E79</f>
        <v>28.5</v>
      </c>
      <c r="G79" s="291"/>
      <c r="H79" s="437"/>
    </row>
    <row r="80" spans="1:8" ht="18.75">
      <c r="A80" s="83"/>
      <c r="B80" s="296" t="s">
        <v>85</v>
      </c>
      <c r="C80" s="297">
        <v>0</v>
      </c>
      <c r="D80" s="297"/>
      <c r="E80" s="297"/>
      <c r="F80" s="262">
        <f t="shared" si="1"/>
        <v>0</v>
      </c>
      <c r="G80" s="291"/>
      <c r="H80" s="437"/>
    </row>
    <row r="85" spans="2:3" ht="18">
      <c r="B85" s="290" t="s">
        <v>229</v>
      </c>
      <c r="C85" s="246" t="s">
        <v>2</v>
      </c>
    </row>
    <row r="86" spans="1:2" ht="36">
      <c r="A86" s="246" t="s">
        <v>230</v>
      </c>
      <c r="B86" s="290"/>
    </row>
    <row r="87" spans="1:3" ht="36">
      <c r="A87" s="246">
        <v>2</v>
      </c>
      <c r="B87" s="246" t="s">
        <v>257</v>
      </c>
      <c r="C87" s="246">
        <f>16*12</f>
        <v>192</v>
      </c>
    </row>
    <row r="88" spans="2:3" ht="18">
      <c r="B88" s="246" t="s">
        <v>258</v>
      </c>
      <c r="C88" s="298">
        <f>C87*0.3422</f>
        <v>65.7024</v>
      </c>
    </row>
    <row r="90" spans="2:3" ht="18">
      <c r="B90" s="301" t="s">
        <v>210</v>
      </c>
      <c r="C90" s="303">
        <f>SUM(C87:C89)</f>
        <v>257.7024</v>
      </c>
    </row>
  </sheetData>
  <sheetProtection selectLockedCells="1" selectUnlockedCells="1"/>
  <mergeCells count="2">
    <mergeCell ref="C6:H6"/>
    <mergeCell ref="C48:H48"/>
  </mergeCells>
  <printOptions/>
  <pageMargins left="0.75" right="0.75" top="1" bottom="1" header="0.5118055555555555" footer="0.5118055555555555"/>
  <pageSetup horizontalDpi="300" verticalDpi="300" orientation="portrait" paperSize="9" scale="48" r:id="rId1"/>
  <rowBreaks count="1" manualBreakCount="1">
    <brk id="4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88"/>
  <sheetViews>
    <sheetView view="pageBreakPreview" zoomScale="50" zoomScaleNormal="65" zoomScaleSheetLayoutView="50" zoomScalePageLayoutView="0" workbookViewId="0" topLeftCell="A52">
      <selection activeCell="F52" sqref="F52"/>
    </sheetView>
  </sheetViews>
  <sheetFormatPr defaultColWidth="9.140625" defaultRowHeight="12.75"/>
  <cols>
    <col min="1" max="1" width="10.421875" style="246" customWidth="1"/>
    <col min="2" max="2" width="61.7109375" style="246" customWidth="1"/>
    <col min="3" max="3" width="21.421875" style="246" customWidth="1"/>
    <col min="4" max="4" width="13.28125" style="246" customWidth="1"/>
    <col min="5" max="6" width="13.8515625" style="246" customWidth="1"/>
    <col min="7" max="7" width="12.7109375" style="246" customWidth="1"/>
    <col min="8" max="8" width="24.7109375" style="246" customWidth="1"/>
    <col min="9" max="16384" width="9.140625" style="246" customWidth="1"/>
  </cols>
  <sheetData>
    <row r="1" spans="1:3" s="305" customFormat="1" ht="21" customHeight="1">
      <c r="A1" s="248"/>
      <c r="B1" s="304"/>
      <c r="C1" s="249" t="s">
        <v>355</v>
      </c>
    </row>
    <row r="2" spans="1:3" s="308" customFormat="1" ht="25.5" customHeight="1">
      <c r="A2" s="251"/>
      <c r="B2" s="252" t="s">
        <v>254</v>
      </c>
      <c r="C2" s="306" t="s">
        <v>259</v>
      </c>
    </row>
    <row r="3" spans="1:3" s="308" customFormat="1" ht="18">
      <c r="A3" s="254"/>
      <c r="B3" s="252" t="s">
        <v>260</v>
      </c>
      <c r="C3" s="309"/>
    </row>
    <row r="4" spans="1:3" s="308" customFormat="1" ht="15.75" customHeight="1">
      <c r="A4" s="256"/>
      <c r="B4" s="256"/>
      <c r="C4" s="257" t="s">
        <v>110</v>
      </c>
    </row>
    <row r="5" spans="1:3" ht="36">
      <c r="A5" s="251"/>
      <c r="B5" s="258" t="s">
        <v>217</v>
      </c>
      <c r="C5" s="258" t="s">
        <v>218</v>
      </c>
    </row>
    <row r="6" spans="1:8" s="310" customFormat="1" ht="30" customHeight="1">
      <c r="A6" s="251"/>
      <c r="B6" s="251"/>
      <c r="C6" s="471" t="s">
        <v>362</v>
      </c>
      <c r="D6" s="472"/>
      <c r="E6" s="472"/>
      <c r="F6" s="472"/>
      <c r="G6" s="472"/>
      <c r="H6" s="474"/>
    </row>
    <row r="7" spans="1:8" s="310" customFormat="1" ht="105" customHeight="1">
      <c r="A7" s="260"/>
      <c r="B7" s="260" t="s">
        <v>219</v>
      </c>
      <c r="C7" s="379" t="s">
        <v>361</v>
      </c>
      <c r="D7" s="379" t="s">
        <v>397</v>
      </c>
      <c r="E7" s="379" t="s">
        <v>360</v>
      </c>
      <c r="F7" s="418" t="s">
        <v>363</v>
      </c>
      <c r="G7" s="379" t="s">
        <v>395</v>
      </c>
      <c r="H7" s="379" t="s">
        <v>398</v>
      </c>
    </row>
    <row r="8" spans="1:8" s="307" customFormat="1" ht="18.75">
      <c r="A8" s="251" t="s">
        <v>7</v>
      </c>
      <c r="B8" s="261" t="s">
        <v>8</v>
      </c>
      <c r="C8" s="262">
        <f>C9+C10+C11+C12+C13+C14</f>
        <v>0</v>
      </c>
      <c r="D8" s="262">
        <f>D9+D10+D11+D12+D13+D14</f>
        <v>0</v>
      </c>
      <c r="E8" s="262">
        <f>E9+E10+E11+E12+E13+E14</f>
        <v>0</v>
      </c>
      <c r="F8" s="422">
        <f>C8+D8+E8</f>
        <v>0</v>
      </c>
      <c r="G8" s="312"/>
      <c r="H8" s="312"/>
    </row>
    <row r="9" spans="1:8" s="307" customFormat="1" ht="36">
      <c r="A9" s="264"/>
      <c r="B9" s="265" t="s">
        <v>9</v>
      </c>
      <c r="C9" s="262"/>
      <c r="D9" s="312"/>
      <c r="E9" s="312"/>
      <c r="F9" s="422">
        <f aca="true" t="shared" si="0" ref="F9:F41">C9+D9+E9</f>
        <v>0</v>
      </c>
      <c r="G9" s="312"/>
      <c r="H9" s="312"/>
    </row>
    <row r="10" spans="1:8" s="307" customFormat="1" ht="36">
      <c r="A10" s="64"/>
      <c r="B10" s="265" t="s">
        <v>10</v>
      </c>
      <c r="C10" s="268"/>
      <c r="D10" s="312"/>
      <c r="E10" s="312"/>
      <c r="F10" s="422">
        <f t="shared" si="0"/>
        <v>0</v>
      </c>
      <c r="G10" s="312"/>
      <c r="H10" s="312"/>
    </row>
    <row r="11" spans="1:8" s="307" customFormat="1" ht="36">
      <c r="A11" s="64"/>
      <c r="B11" s="265" t="s">
        <v>11</v>
      </c>
      <c r="C11" s="268"/>
      <c r="D11" s="312"/>
      <c r="E11" s="312"/>
      <c r="F11" s="422">
        <f t="shared" si="0"/>
        <v>0</v>
      </c>
      <c r="G11" s="312"/>
      <c r="H11" s="312"/>
    </row>
    <row r="12" spans="1:8" s="307" customFormat="1" ht="36">
      <c r="A12" s="64"/>
      <c r="B12" s="265" t="s">
        <v>12</v>
      </c>
      <c r="C12" s="268"/>
      <c r="D12" s="312"/>
      <c r="E12" s="312"/>
      <c r="F12" s="422">
        <f t="shared" si="0"/>
        <v>0</v>
      </c>
      <c r="G12" s="312"/>
      <c r="H12" s="312"/>
    </row>
    <row r="13" spans="1:8" s="307" customFormat="1" ht="18.75">
      <c r="A13" s="64"/>
      <c r="B13" s="265" t="s">
        <v>86</v>
      </c>
      <c r="C13" s="268"/>
      <c r="D13" s="312"/>
      <c r="E13" s="312"/>
      <c r="F13" s="422">
        <f t="shared" si="0"/>
        <v>0</v>
      </c>
      <c r="G13" s="312"/>
      <c r="H13" s="312"/>
    </row>
    <row r="14" spans="1:8" s="307" customFormat="1" ht="18.75">
      <c r="A14" s="64"/>
      <c r="B14" s="265" t="s">
        <v>14</v>
      </c>
      <c r="C14" s="268"/>
      <c r="D14" s="312"/>
      <c r="E14" s="312"/>
      <c r="F14" s="422">
        <f t="shared" si="0"/>
        <v>0</v>
      </c>
      <c r="G14" s="312"/>
      <c r="H14" s="312"/>
    </row>
    <row r="15" spans="1:8" ht="36">
      <c r="A15" s="64" t="s">
        <v>15</v>
      </c>
      <c r="B15" s="261" t="s">
        <v>16</v>
      </c>
      <c r="C15" s="268">
        <f>C16+C17+C18+C19</f>
        <v>0</v>
      </c>
      <c r="D15" s="268">
        <f>D16+D17+D18+D19</f>
        <v>0</v>
      </c>
      <c r="E15" s="268">
        <f>E16+E17+E18+E19</f>
        <v>0</v>
      </c>
      <c r="F15" s="422">
        <f t="shared" si="0"/>
        <v>0</v>
      </c>
      <c r="G15" s="291"/>
      <c r="H15" s="291"/>
    </row>
    <row r="16" spans="1:8" ht="36">
      <c r="A16" s="264"/>
      <c r="B16" s="265" t="s">
        <v>17</v>
      </c>
      <c r="C16" s="262"/>
      <c r="D16" s="291"/>
      <c r="E16" s="291"/>
      <c r="F16" s="422">
        <f t="shared" si="0"/>
        <v>0</v>
      </c>
      <c r="G16" s="291"/>
      <c r="H16" s="291"/>
    </row>
    <row r="17" spans="1:8" s="307" customFormat="1" ht="36">
      <c r="A17" s="64"/>
      <c r="B17" s="265" t="s">
        <v>105</v>
      </c>
      <c r="C17" s="268"/>
      <c r="D17" s="312"/>
      <c r="E17" s="312"/>
      <c r="F17" s="422">
        <f t="shared" si="0"/>
        <v>0</v>
      </c>
      <c r="G17" s="312"/>
      <c r="H17" s="312"/>
    </row>
    <row r="18" spans="1:8" ht="36">
      <c r="A18" s="64"/>
      <c r="B18" s="265" t="s">
        <v>19</v>
      </c>
      <c r="C18" s="268"/>
      <c r="D18" s="291"/>
      <c r="E18" s="291"/>
      <c r="F18" s="422">
        <f t="shared" si="0"/>
        <v>0</v>
      </c>
      <c r="G18" s="291"/>
      <c r="H18" s="291"/>
    </row>
    <row r="19" spans="1:8" ht="36">
      <c r="A19" s="64"/>
      <c r="B19" s="265" t="s">
        <v>20</v>
      </c>
      <c r="C19" s="268"/>
      <c r="D19" s="291"/>
      <c r="E19" s="291"/>
      <c r="F19" s="422">
        <f t="shared" si="0"/>
        <v>0</v>
      </c>
      <c r="G19" s="291"/>
      <c r="H19" s="291"/>
    </row>
    <row r="20" spans="1:8" ht="36">
      <c r="A20" s="64" t="s">
        <v>21</v>
      </c>
      <c r="B20" s="271" t="s">
        <v>22</v>
      </c>
      <c r="C20" s="268">
        <f>C21</f>
        <v>0</v>
      </c>
      <c r="D20" s="268">
        <f>D21</f>
        <v>0</v>
      </c>
      <c r="E20" s="268">
        <f>E21</f>
        <v>0</v>
      </c>
      <c r="F20" s="422">
        <f t="shared" si="0"/>
        <v>0</v>
      </c>
      <c r="G20" s="291"/>
      <c r="H20" s="291"/>
    </row>
    <row r="21" spans="1:8" ht="36">
      <c r="A21" s="64"/>
      <c r="B21" s="272" t="s">
        <v>246</v>
      </c>
      <c r="C21" s="268"/>
      <c r="D21" s="291"/>
      <c r="E21" s="291"/>
      <c r="F21" s="422">
        <f t="shared" si="0"/>
        <v>0</v>
      </c>
      <c r="G21" s="291"/>
      <c r="H21" s="291"/>
    </row>
    <row r="22" spans="1:8" ht="18">
      <c r="A22" s="275" t="s">
        <v>24</v>
      </c>
      <c r="B22" s="271" t="s">
        <v>25</v>
      </c>
      <c r="C22" s="268">
        <f>C23+C24+C25+C26</f>
        <v>0</v>
      </c>
      <c r="D22" s="268">
        <f>D23+D24+D25+D26</f>
        <v>0</v>
      </c>
      <c r="E22" s="268">
        <f>E23+E24+E25+E26</f>
        <v>0</v>
      </c>
      <c r="F22" s="422">
        <f t="shared" si="0"/>
        <v>0</v>
      </c>
      <c r="G22" s="291"/>
      <c r="H22" s="291"/>
    </row>
    <row r="23" spans="1:8" s="307" customFormat="1" ht="36">
      <c r="A23" s="64"/>
      <c r="B23" s="276" t="s">
        <v>26</v>
      </c>
      <c r="C23" s="268"/>
      <c r="D23" s="291"/>
      <c r="E23" s="291"/>
      <c r="F23" s="422">
        <f t="shared" si="0"/>
        <v>0</v>
      </c>
      <c r="G23" s="291"/>
      <c r="H23" s="312"/>
    </row>
    <row r="24" spans="1:8" s="307" customFormat="1" ht="18.75">
      <c r="A24" s="65"/>
      <c r="B24" s="276" t="s">
        <v>27</v>
      </c>
      <c r="C24" s="268"/>
      <c r="D24" s="291"/>
      <c r="E24" s="291"/>
      <c r="F24" s="422">
        <f t="shared" si="0"/>
        <v>0</v>
      </c>
      <c r="G24" s="291"/>
      <c r="H24" s="312"/>
    </row>
    <row r="25" spans="1:8" s="307" customFormat="1" ht="18.75">
      <c r="A25" s="64"/>
      <c r="B25" s="276" t="s">
        <v>28</v>
      </c>
      <c r="C25" s="270"/>
      <c r="D25" s="311"/>
      <c r="E25" s="311"/>
      <c r="F25" s="422">
        <f t="shared" si="0"/>
        <v>0</v>
      </c>
      <c r="G25" s="311"/>
      <c r="H25" s="312"/>
    </row>
    <row r="26" spans="1:8" s="307" customFormat="1" ht="90">
      <c r="A26" s="264"/>
      <c r="B26" s="276" t="s">
        <v>29</v>
      </c>
      <c r="C26" s="262"/>
      <c r="D26" s="312"/>
      <c r="E26" s="312"/>
      <c r="F26" s="422">
        <f t="shared" si="0"/>
        <v>0</v>
      </c>
      <c r="G26" s="312"/>
      <c r="H26" s="312"/>
    </row>
    <row r="27" spans="1:8" ht="18">
      <c r="A27" s="275" t="s">
        <v>30</v>
      </c>
      <c r="B27" s="278" t="s">
        <v>31</v>
      </c>
      <c r="C27" s="270">
        <f>C28+C29+C30+C31+C32</f>
        <v>0</v>
      </c>
      <c r="D27" s="270">
        <f>D28+D29+D30+D31+D32</f>
        <v>0</v>
      </c>
      <c r="E27" s="268">
        <f>E28+E29+E30+E31+E32</f>
        <v>0</v>
      </c>
      <c r="F27" s="422">
        <f t="shared" si="0"/>
        <v>0</v>
      </c>
      <c r="G27" s="291"/>
      <c r="H27" s="291"/>
    </row>
    <row r="28" spans="1:8" ht="54">
      <c r="A28" s="64"/>
      <c r="B28" s="265" t="s">
        <v>32</v>
      </c>
      <c r="C28" s="268"/>
      <c r="D28" s="291"/>
      <c r="E28" s="291"/>
      <c r="F28" s="422">
        <f t="shared" si="0"/>
        <v>0</v>
      </c>
      <c r="G28" s="291"/>
      <c r="H28" s="291"/>
    </row>
    <row r="29" spans="1:8" ht="18">
      <c r="A29" s="64"/>
      <c r="B29" s="265" t="s">
        <v>33</v>
      </c>
      <c r="C29" s="268"/>
      <c r="D29" s="291"/>
      <c r="E29" s="291"/>
      <c r="F29" s="422">
        <f t="shared" si="0"/>
        <v>0</v>
      </c>
      <c r="G29" s="291"/>
      <c r="H29" s="291"/>
    </row>
    <row r="30" spans="1:8" ht="18">
      <c r="A30" s="64"/>
      <c r="B30" s="265" t="s">
        <v>34</v>
      </c>
      <c r="C30" s="268"/>
      <c r="D30" s="291"/>
      <c r="E30" s="291"/>
      <c r="F30" s="422">
        <f t="shared" si="0"/>
        <v>0</v>
      </c>
      <c r="G30" s="291"/>
      <c r="H30" s="291"/>
    </row>
    <row r="31" spans="1:8" s="310" customFormat="1" ht="16.5" customHeight="1">
      <c r="A31" s="64"/>
      <c r="B31" s="265" t="s">
        <v>35</v>
      </c>
      <c r="C31" s="268"/>
      <c r="D31" s="291"/>
      <c r="E31" s="291"/>
      <c r="F31" s="422">
        <f t="shared" si="0"/>
        <v>0</v>
      </c>
      <c r="G31" s="291"/>
      <c r="H31" s="311"/>
    </row>
    <row r="32" spans="1:8" s="307" customFormat="1" ht="18.75">
      <c r="A32" s="64"/>
      <c r="B32" s="265" t="s">
        <v>36</v>
      </c>
      <c r="C32" s="268"/>
      <c r="D32" s="291"/>
      <c r="E32" s="291"/>
      <c r="F32" s="422">
        <f t="shared" si="0"/>
        <v>0</v>
      </c>
      <c r="G32" s="291"/>
      <c r="H32" s="312"/>
    </row>
    <row r="33" spans="1:8" ht="18">
      <c r="A33" s="275" t="s">
        <v>37</v>
      </c>
      <c r="B33" s="271" t="s">
        <v>38</v>
      </c>
      <c r="C33" s="268">
        <f>C34+C35</f>
        <v>0</v>
      </c>
      <c r="D33" s="268">
        <f>D34+D35</f>
        <v>0</v>
      </c>
      <c r="E33" s="268">
        <f>E34+E35</f>
        <v>0</v>
      </c>
      <c r="F33" s="422">
        <f t="shared" si="0"/>
        <v>0</v>
      </c>
      <c r="G33" s="291"/>
      <c r="H33" s="291"/>
    </row>
    <row r="34" spans="1:8" ht="18">
      <c r="A34" s="65"/>
      <c r="B34" s="265" t="s">
        <v>39</v>
      </c>
      <c r="C34" s="268"/>
      <c r="D34" s="291"/>
      <c r="E34" s="291"/>
      <c r="F34" s="422">
        <f t="shared" si="0"/>
        <v>0</v>
      </c>
      <c r="G34" s="291"/>
      <c r="H34" s="291"/>
    </row>
    <row r="35" spans="1:8" ht="18">
      <c r="A35" s="66"/>
      <c r="B35" s="265" t="s">
        <v>107</v>
      </c>
      <c r="C35" s="262"/>
      <c r="D35" s="291"/>
      <c r="E35" s="291"/>
      <c r="F35" s="422">
        <f t="shared" si="0"/>
        <v>0</v>
      </c>
      <c r="G35" s="291"/>
      <c r="H35" s="291"/>
    </row>
    <row r="36" spans="1:8" ht="18">
      <c r="A36" s="279" t="s">
        <v>40</v>
      </c>
      <c r="B36" s="271" t="s">
        <v>41</v>
      </c>
      <c r="C36" s="266">
        <f>C37</f>
        <v>0</v>
      </c>
      <c r="D36" s="266">
        <f>D37</f>
        <v>0</v>
      </c>
      <c r="E36" s="266">
        <f>E37</f>
        <v>0</v>
      </c>
      <c r="F36" s="422">
        <f t="shared" si="0"/>
        <v>0</v>
      </c>
      <c r="G36" s="311"/>
      <c r="H36" s="291"/>
    </row>
    <row r="37" spans="1:8" ht="18.75">
      <c r="A37" s="68"/>
      <c r="B37" s="265" t="s">
        <v>221</v>
      </c>
      <c r="C37" s="268"/>
      <c r="D37" s="312"/>
      <c r="E37" s="312"/>
      <c r="F37" s="422">
        <f t="shared" si="0"/>
        <v>0</v>
      </c>
      <c r="G37" s="312"/>
      <c r="H37" s="291"/>
    </row>
    <row r="38" spans="1:8" ht="18">
      <c r="A38" s="279" t="s">
        <v>43</v>
      </c>
      <c r="B38" s="271" t="s">
        <v>44</v>
      </c>
      <c r="C38" s="268">
        <f>C39+C40</f>
        <v>0</v>
      </c>
      <c r="D38" s="268">
        <f>D39+D40</f>
        <v>0</v>
      </c>
      <c r="E38" s="268">
        <f>E39+E40</f>
        <v>0</v>
      </c>
      <c r="F38" s="422">
        <f t="shared" si="0"/>
        <v>0</v>
      </c>
      <c r="G38" s="291"/>
      <c r="H38" s="291"/>
    </row>
    <row r="39" spans="1:8" s="307" customFormat="1" ht="54">
      <c r="A39" s="68"/>
      <c r="B39" s="276" t="s">
        <v>247</v>
      </c>
      <c r="C39" s="268"/>
      <c r="D39" s="291"/>
      <c r="E39" s="291"/>
      <c r="F39" s="422">
        <f t="shared" si="0"/>
        <v>0</v>
      </c>
      <c r="G39" s="291"/>
      <c r="H39" s="312"/>
    </row>
    <row r="40" spans="1:8" ht="36">
      <c r="A40" s="68"/>
      <c r="B40" s="276" t="s">
        <v>248</v>
      </c>
      <c r="C40" s="268"/>
      <c r="D40" s="291"/>
      <c r="E40" s="291"/>
      <c r="F40" s="422">
        <f t="shared" si="0"/>
        <v>0</v>
      </c>
      <c r="G40" s="291"/>
      <c r="H40" s="291"/>
    </row>
    <row r="41" spans="1:8" ht="36">
      <c r="A41" s="68"/>
      <c r="B41" s="271" t="s">
        <v>47</v>
      </c>
      <c r="C41" s="268">
        <f>C8+C15+C20+C22+C27+C33+C36+C38</f>
        <v>0</v>
      </c>
      <c r="D41" s="268">
        <f>D8+D15+D20+D22+D27+D33+D36+D38</f>
        <v>0</v>
      </c>
      <c r="E41" s="268">
        <f>E8+E15+E20+E22+E27+E33+E36+E38</f>
        <v>0</v>
      </c>
      <c r="F41" s="422">
        <f t="shared" si="0"/>
        <v>0</v>
      </c>
      <c r="G41" s="291"/>
      <c r="H41" s="291"/>
    </row>
    <row r="42" spans="1:8" ht="18.75">
      <c r="A42" s="279" t="s">
        <v>48</v>
      </c>
      <c r="B42" s="271" t="s">
        <v>249</v>
      </c>
      <c r="C42" s="262">
        <f>C77-C41-C43</f>
        <v>72703</v>
      </c>
      <c r="D42" s="262">
        <v>68142</v>
      </c>
      <c r="E42" s="262">
        <f>E77-E41</f>
        <v>38</v>
      </c>
      <c r="F42" s="422">
        <f>D42+E42</f>
        <v>68180</v>
      </c>
      <c r="G42" s="422">
        <v>31760</v>
      </c>
      <c r="H42" s="441">
        <f>G42/F42</f>
        <v>0.4658257553534761</v>
      </c>
    </row>
    <row r="43" spans="1:8" ht="36">
      <c r="A43" s="279" t="s">
        <v>50</v>
      </c>
      <c r="B43" s="271" t="s">
        <v>51</v>
      </c>
      <c r="C43" s="268"/>
      <c r="D43" s="268">
        <v>2497</v>
      </c>
      <c r="E43" s="268"/>
      <c r="F43" s="268">
        <f>D43+E43</f>
        <v>2497</v>
      </c>
      <c r="G43" s="268">
        <v>2497</v>
      </c>
      <c r="H43" s="437">
        <f>G43/F43</f>
        <v>1</v>
      </c>
    </row>
    <row r="44" spans="1:8" ht="36">
      <c r="A44" s="279" t="s">
        <v>52</v>
      </c>
      <c r="B44" s="271" t="s">
        <v>53</v>
      </c>
      <c r="C44" s="268"/>
      <c r="D44" s="291"/>
      <c r="E44" s="291"/>
      <c r="F44" s="422">
        <f>D44+E44</f>
        <v>0</v>
      </c>
      <c r="G44" s="291"/>
      <c r="H44" s="437"/>
    </row>
    <row r="45" spans="1:8" ht="18.75">
      <c r="A45" s="68"/>
      <c r="B45" s="271" t="s">
        <v>54</v>
      </c>
      <c r="C45" s="270">
        <f>C42+C43+C44</f>
        <v>72703</v>
      </c>
      <c r="D45" s="270">
        <f>D42+D43+D44</f>
        <v>70639</v>
      </c>
      <c r="E45" s="270">
        <f>E42+E43+E44</f>
        <v>38</v>
      </c>
      <c r="F45" s="270">
        <f>F42+F43+F44</f>
        <v>70677</v>
      </c>
      <c r="G45" s="270">
        <f>G42+G43+G44</f>
        <v>34257</v>
      </c>
      <c r="H45" s="441">
        <f>G45/F45</f>
        <v>0.48469799227471455</v>
      </c>
    </row>
    <row r="46" spans="1:8" ht="18.75">
      <c r="A46" s="68"/>
      <c r="B46" s="261" t="s">
        <v>57</v>
      </c>
      <c r="C46" s="270">
        <f>C41+C45</f>
        <v>72703</v>
      </c>
      <c r="D46" s="270">
        <f>D41+D45</f>
        <v>70639</v>
      </c>
      <c r="E46" s="270">
        <f>E41+E45</f>
        <v>38</v>
      </c>
      <c r="F46" s="270">
        <f>F41+F45</f>
        <v>70677</v>
      </c>
      <c r="G46" s="270">
        <f>G41+G45</f>
        <v>34257</v>
      </c>
      <c r="H46" s="441">
        <f>G46/F46</f>
        <v>0.48469799227471455</v>
      </c>
    </row>
    <row r="47" spans="1:8" ht="14.25" customHeight="1">
      <c r="A47" s="281"/>
      <c r="B47" s="282"/>
      <c r="C47" s="283"/>
      <c r="D47" s="310"/>
      <c r="E47" s="310"/>
      <c r="F47" s="310"/>
      <c r="G47" s="291"/>
      <c r="H47" s="291"/>
    </row>
    <row r="48" spans="1:8" ht="20.25">
      <c r="A48" s="81"/>
      <c r="B48" s="81"/>
      <c r="C48" s="471" t="s">
        <v>362</v>
      </c>
      <c r="D48" s="472"/>
      <c r="E48" s="472"/>
      <c r="F48" s="472"/>
      <c r="G48" s="472"/>
      <c r="H48" s="474"/>
    </row>
    <row r="49" spans="1:8" ht="105" customHeight="1">
      <c r="A49" s="284"/>
      <c r="B49" s="284" t="s">
        <v>225</v>
      </c>
      <c r="C49" s="379" t="s">
        <v>361</v>
      </c>
      <c r="D49" s="379" t="s">
        <v>397</v>
      </c>
      <c r="E49" s="379" t="s">
        <v>360</v>
      </c>
      <c r="F49" s="418" t="s">
        <v>363</v>
      </c>
      <c r="G49" s="379" t="s">
        <v>395</v>
      </c>
      <c r="H49" s="379" t="s">
        <v>398</v>
      </c>
    </row>
    <row r="50" spans="1:8" ht="18.75">
      <c r="A50" s="66" t="s">
        <v>7</v>
      </c>
      <c r="B50" s="285" t="s">
        <v>59</v>
      </c>
      <c r="C50" s="262">
        <f>C51+C52+C53+C56+C57</f>
        <v>72703</v>
      </c>
      <c r="D50" s="262">
        <f>D51+D52+D53+D56+D57</f>
        <v>70639</v>
      </c>
      <c r="E50" s="262">
        <f>E51+E52+E53+E56+E57</f>
        <v>38</v>
      </c>
      <c r="F50" s="262">
        <f>F51+F52+F53+F56+F57</f>
        <v>70677</v>
      </c>
      <c r="G50" s="262">
        <f>G51+G52+G53+G56+G57</f>
        <v>31220</v>
      </c>
      <c r="H50" s="441">
        <f>G50/F50</f>
        <v>0.44172786054869334</v>
      </c>
    </row>
    <row r="51" spans="1:8" ht="18.75">
      <c r="A51" s="74"/>
      <c r="B51" s="286" t="s">
        <v>60</v>
      </c>
      <c r="C51" s="268">
        <v>55714</v>
      </c>
      <c r="D51" s="268">
        <v>53987</v>
      </c>
      <c r="E51" s="291">
        <v>32</v>
      </c>
      <c r="F51" s="423">
        <f>D51+E51</f>
        <v>54019</v>
      </c>
      <c r="G51" s="423">
        <v>23308</v>
      </c>
      <c r="H51" s="437">
        <f>G51/F51</f>
        <v>0.4314778133619652</v>
      </c>
    </row>
    <row r="52" spans="1:8" ht="36">
      <c r="A52" s="68"/>
      <c r="B52" s="287" t="s">
        <v>61</v>
      </c>
      <c r="C52" s="268">
        <v>11772</v>
      </c>
      <c r="D52" s="268">
        <v>11435</v>
      </c>
      <c r="E52" s="291">
        <v>6</v>
      </c>
      <c r="F52" s="423">
        <f>D52+E52</f>
        <v>11441</v>
      </c>
      <c r="G52" s="423">
        <v>5037</v>
      </c>
      <c r="H52" s="437">
        <f>G52/F52</f>
        <v>0.4402587186434752</v>
      </c>
    </row>
    <row r="53" spans="1:8" ht="18.75">
      <c r="A53" s="68"/>
      <c r="B53" s="287" t="s">
        <v>62</v>
      </c>
      <c r="C53" s="268">
        <v>5217</v>
      </c>
      <c r="D53" s="268">
        <v>5217</v>
      </c>
      <c r="E53" s="291"/>
      <c r="F53" s="423">
        <f>D53+E53</f>
        <v>5217</v>
      </c>
      <c r="G53" s="423">
        <v>2875</v>
      </c>
      <c r="H53" s="437">
        <f>G53/F53</f>
        <v>0.5510829978915085</v>
      </c>
    </row>
    <row r="54" spans="1:8" ht="54">
      <c r="A54" s="68"/>
      <c r="B54" s="287" t="s">
        <v>250</v>
      </c>
      <c r="C54" s="268"/>
      <c r="D54" s="291"/>
      <c r="E54" s="291"/>
      <c r="F54" s="422">
        <f aca="true" t="shared" si="1" ref="F54:F71">C54+D54+E54</f>
        <v>0</v>
      </c>
      <c r="G54" s="291"/>
      <c r="H54" s="437"/>
    </row>
    <row r="55" spans="1:8" ht="18.75">
      <c r="A55" s="68"/>
      <c r="B55" s="287" t="s">
        <v>64</v>
      </c>
      <c r="C55" s="268"/>
      <c r="D55" s="291"/>
      <c r="E55" s="291"/>
      <c r="F55" s="422">
        <f t="shared" si="1"/>
        <v>0</v>
      </c>
      <c r="G55" s="291"/>
      <c r="H55" s="437"/>
    </row>
    <row r="56" spans="1:8" ht="18.75">
      <c r="A56" s="68"/>
      <c r="B56" s="287" t="s">
        <v>65</v>
      </c>
      <c r="C56" s="268"/>
      <c r="D56" s="291"/>
      <c r="E56" s="291"/>
      <c r="F56" s="422">
        <f t="shared" si="1"/>
        <v>0</v>
      </c>
      <c r="G56" s="291"/>
      <c r="H56" s="437"/>
    </row>
    <row r="57" spans="1:8" ht="18.75">
      <c r="A57" s="68"/>
      <c r="B57" s="287" t="s">
        <v>66</v>
      </c>
      <c r="C57" s="268">
        <f>SUM(C58:C61)</f>
        <v>0</v>
      </c>
      <c r="D57" s="291"/>
      <c r="E57" s="291"/>
      <c r="F57" s="422">
        <f t="shared" si="1"/>
        <v>0</v>
      </c>
      <c r="G57" s="291"/>
      <c r="H57" s="437"/>
    </row>
    <row r="58" spans="1:8" ht="18.75">
      <c r="A58" s="68"/>
      <c r="B58" s="287" t="s">
        <v>67</v>
      </c>
      <c r="C58" s="268"/>
      <c r="D58" s="291"/>
      <c r="E58" s="291"/>
      <c r="F58" s="422">
        <f t="shared" si="1"/>
        <v>0</v>
      </c>
      <c r="G58" s="291"/>
      <c r="H58" s="437"/>
    </row>
    <row r="59" spans="1:8" ht="36">
      <c r="A59" s="68"/>
      <c r="B59" s="287" t="s">
        <v>68</v>
      </c>
      <c r="C59" s="268"/>
      <c r="D59" s="291"/>
      <c r="E59" s="291"/>
      <c r="F59" s="422">
        <f t="shared" si="1"/>
        <v>0</v>
      </c>
      <c r="G59" s="291"/>
      <c r="H59" s="437"/>
    </row>
    <row r="60" spans="1:8" ht="36">
      <c r="A60" s="68"/>
      <c r="B60" s="287" t="s">
        <v>69</v>
      </c>
      <c r="C60" s="268"/>
      <c r="D60" s="291"/>
      <c r="E60" s="291"/>
      <c r="F60" s="422">
        <f t="shared" si="1"/>
        <v>0</v>
      </c>
      <c r="G60" s="291"/>
      <c r="H60" s="437"/>
    </row>
    <row r="61" spans="1:8" ht="18.75">
      <c r="A61" s="68"/>
      <c r="B61" s="288"/>
      <c r="C61" s="268"/>
      <c r="D61" s="291"/>
      <c r="E61" s="291"/>
      <c r="F61" s="422">
        <f t="shared" si="1"/>
        <v>0</v>
      </c>
      <c r="G61" s="291"/>
      <c r="H61" s="437"/>
    </row>
    <row r="62" spans="1:8" ht="18.75">
      <c r="A62" s="66" t="s">
        <v>15</v>
      </c>
      <c r="B62" s="285" t="s">
        <v>70</v>
      </c>
      <c r="C62" s="262">
        <f>C63+C66+C67+C70</f>
        <v>0</v>
      </c>
      <c r="D62" s="262">
        <f>D63+D66+D67+D70</f>
        <v>0</v>
      </c>
      <c r="E62" s="262">
        <f>E63+E66+E67+E70</f>
        <v>0</v>
      </c>
      <c r="F62" s="422">
        <f t="shared" si="1"/>
        <v>0</v>
      </c>
      <c r="G62" s="291"/>
      <c r="H62" s="437"/>
    </row>
    <row r="63" spans="1:8" ht="18.75">
      <c r="A63" s="74"/>
      <c r="B63" s="123" t="s">
        <v>71</v>
      </c>
      <c r="C63" s="268"/>
      <c r="D63" s="291"/>
      <c r="E63" s="291"/>
      <c r="F63" s="422">
        <f t="shared" si="1"/>
        <v>0</v>
      </c>
      <c r="G63" s="291"/>
      <c r="H63" s="437"/>
    </row>
    <row r="64" spans="1:8" ht="54">
      <c r="A64" s="74"/>
      <c r="B64" s="287" t="s">
        <v>226</v>
      </c>
      <c r="C64" s="268"/>
      <c r="D64" s="291"/>
      <c r="E64" s="291"/>
      <c r="F64" s="422">
        <f t="shared" si="1"/>
        <v>0</v>
      </c>
      <c r="G64" s="291"/>
      <c r="H64" s="437"/>
    </row>
    <row r="65" spans="1:8" ht="54">
      <c r="A65" s="74"/>
      <c r="B65" s="287" t="s">
        <v>227</v>
      </c>
      <c r="C65" s="268"/>
      <c r="D65" s="291"/>
      <c r="E65" s="291"/>
      <c r="F65" s="422">
        <f t="shared" si="1"/>
        <v>0</v>
      </c>
      <c r="G65" s="291"/>
      <c r="H65" s="437"/>
    </row>
    <row r="66" spans="1:8" ht="18.75">
      <c r="A66" s="68"/>
      <c r="B66" s="287" t="s">
        <v>74</v>
      </c>
      <c r="C66" s="268"/>
      <c r="D66" s="291"/>
      <c r="E66" s="291"/>
      <c r="F66" s="422">
        <f t="shared" si="1"/>
        <v>0</v>
      </c>
      <c r="G66" s="291"/>
      <c r="H66" s="437"/>
    </row>
    <row r="67" spans="1:8" ht="18.75">
      <c r="A67" s="68"/>
      <c r="B67" s="287" t="s">
        <v>96</v>
      </c>
      <c r="C67" s="268"/>
      <c r="D67" s="291"/>
      <c r="E67" s="291"/>
      <c r="F67" s="422">
        <f t="shared" si="1"/>
        <v>0</v>
      </c>
      <c r="G67" s="291"/>
      <c r="H67" s="437"/>
    </row>
    <row r="68" spans="1:8" ht="36">
      <c r="A68" s="68"/>
      <c r="B68" s="287" t="s">
        <v>76</v>
      </c>
      <c r="C68" s="268"/>
      <c r="D68" s="291"/>
      <c r="E68" s="291"/>
      <c r="F68" s="422">
        <f t="shared" si="1"/>
        <v>0</v>
      </c>
      <c r="G68" s="291"/>
      <c r="H68" s="437"/>
    </row>
    <row r="69" spans="1:8" ht="36">
      <c r="A69" s="68"/>
      <c r="B69" s="287" t="s">
        <v>77</v>
      </c>
      <c r="C69" s="268"/>
      <c r="D69" s="291"/>
      <c r="E69" s="291"/>
      <c r="F69" s="422">
        <f t="shared" si="1"/>
        <v>0</v>
      </c>
      <c r="G69" s="291"/>
      <c r="H69" s="437"/>
    </row>
    <row r="70" spans="1:8" ht="18.75">
      <c r="A70" s="68"/>
      <c r="B70" s="287" t="s">
        <v>78</v>
      </c>
      <c r="C70" s="268"/>
      <c r="D70" s="291"/>
      <c r="E70" s="291"/>
      <c r="F70" s="422">
        <f t="shared" si="1"/>
        <v>0</v>
      </c>
      <c r="G70" s="291"/>
      <c r="H70" s="437"/>
    </row>
    <row r="71" spans="1:8" ht="18.75">
      <c r="A71" s="85"/>
      <c r="B71" s="131"/>
      <c r="C71" s="129"/>
      <c r="D71" s="291"/>
      <c r="E71" s="291"/>
      <c r="F71" s="422">
        <f t="shared" si="1"/>
        <v>0</v>
      </c>
      <c r="G71" s="291"/>
      <c r="H71" s="437"/>
    </row>
    <row r="72" spans="1:8" ht="18.75">
      <c r="A72" s="66"/>
      <c r="B72" s="292" t="s">
        <v>79</v>
      </c>
      <c r="C72" s="262">
        <f>C50+C62</f>
        <v>72703</v>
      </c>
      <c r="D72" s="262">
        <f>D50+D62</f>
        <v>70639</v>
      </c>
      <c r="E72" s="262">
        <f>E50+E62</f>
        <v>38</v>
      </c>
      <c r="F72" s="262">
        <f>F50+F62</f>
        <v>70677</v>
      </c>
      <c r="G72" s="262">
        <f>G50+G62</f>
        <v>31220</v>
      </c>
      <c r="H72" s="441">
        <f>G72/F72</f>
        <v>0.44172786054869334</v>
      </c>
    </row>
    <row r="73" spans="1:8" ht="18.75">
      <c r="A73" s="66"/>
      <c r="B73" s="292"/>
      <c r="C73" s="293"/>
      <c r="D73" s="291"/>
      <c r="E73" s="291"/>
      <c r="F73" s="422">
        <f>C73+D73+E73</f>
        <v>0</v>
      </c>
      <c r="G73" s="291"/>
      <c r="H73" s="437"/>
    </row>
    <row r="74" spans="1:8" ht="18.75">
      <c r="A74" s="66" t="s">
        <v>21</v>
      </c>
      <c r="B74" s="285" t="s">
        <v>80</v>
      </c>
      <c r="C74" s="262">
        <f>C75+C76</f>
        <v>0</v>
      </c>
      <c r="D74" s="291"/>
      <c r="E74" s="291"/>
      <c r="F74" s="422">
        <f>C74+D74+E74</f>
        <v>0</v>
      </c>
      <c r="G74" s="291"/>
      <c r="H74" s="437"/>
    </row>
    <row r="75" spans="1:8" ht="18.75">
      <c r="A75" s="74"/>
      <c r="B75" s="286" t="s">
        <v>251</v>
      </c>
      <c r="C75" s="262"/>
      <c r="D75" s="291"/>
      <c r="E75" s="291"/>
      <c r="F75" s="422">
        <f>C75+D75+E75</f>
        <v>0</v>
      </c>
      <c r="G75" s="291"/>
      <c r="H75" s="437"/>
    </row>
    <row r="76" spans="1:8" ht="36">
      <c r="A76" s="68"/>
      <c r="B76" s="286" t="s">
        <v>56</v>
      </c>
      <c r="C76" s="270"/>
      <c r="D76" s="291"/>
      <c r="E76" s="291"/>
      <c r="F76" s="422">
        <f>C76+D76+E76</f>
        <v>0</v>
      </c>
      <c r="G76" s="291"/>
      <c r="H76" s="437"/>
    </row>
    <row r="77" spans="1:8" ht="18.75">
      <c r="A77" s="79"/>
      <c r="B77" s="294" t="s">
        <v>82</v>
      </c>
      <c r="C77" s="262">
        <f>C50+C62+C74</f>
        <v>72703</v>
      </c>
      <c r="D77" s="262">
        <f>D50+D62+D74</f>
        <v>70639</v>
      </c>
      <c r="E77" s="262">
        <f>E50+E62+E74</f>
        <v>38</v>
      </c>
      <c r="F77" s="262">
        <f>F50+F62+F74</f>
        <v>70677</v>
      </c>
      <c r="G77" s="262">
        <f>G50+G62+G74</f>
        <v>31220</v>
      </c>
      <c r="H77" s="441">
        <f>G77/F77</f>
        <v>0.44172786054869334</v>
      </c>
    </row>
    <row r="78" spans="1:8" ht="18.75">
      <c r="A78" s="81"/>
      <c r="B78" s="295"/>
      <c r="C78" s="265"/>
      <c r="D78" s="291"/>
      <c r="E78" s="291"/>
      <c r="F78" s="422">
        <f>C78+D78+E78</f>
        <v>0</v>
      </c>
      <c r="G78" s="291"/>
      <c r="H78" s="437"/>
    </row>
    <row r="79" spans="1:8" ht="18.75">
      <c r="A79" s="83"/>
      <c r="B79" s="296" t="s">
        <v>84</v>
      </c>
      <c r="C79" s="297">
        <v>17.5</v>
      </c>
      <c r="D79" s="297">
        <v>17.5</v>
      </c>
      <c r="E79" s="297"/>
      <c r="F79" s="436">
        <f>D79+E79</f>
        <v>17.5</v>
      </c>
      <c r="G79" s="291"/>
      <c r="H79" s="437"/>
    </row>
    <row r="80" spans="1:8" ht="18.75">
      <c r="A80" s="83"/>
      <c r="B80" s="296" t="s">
        <v>85</v>
      </c>
      <c r="C80" s="297">
        <v>0</v>
      </c>
      <c r="D80" s="297">
        <v>0</v>
      </c>
      <c r="E80" s="297"/>
      <c r="F80" s="436">
        <f>D80+E80</f>
        <v>0</v>
      </c>
      <c r="G80" s="291"/>
      <c r="H80" s="437"/>
    </row>
    <row r="83" spans="2:3" ht="18">
      <c r="B83" s="290" t="s">
        <v>229</v>
      </c>
      <c r="C83" s="246" t="s">
        <v>2</v>
      </c>
    </row>
    <row r="84" spans="1:2" ht="36">
      <c r="A84" s="246" t="s">
        <v>230</v>
      </c>
      <c r="B84" s="290"/>
    </row>
    <row r="85" spans="1:3" ht="18">
      <c r="A85" s="246">
        <v>3</v>
      </c>
      <c r="B85" s="246" t="s">
        <v>261</v>
      </c>
      <c r="C85" s="246">
        <v>360</v>
      </c>
    </row>
    <row r="86" spans="2:3" ht="18">
      <c r="B86" s="246" t="s">
        <v>258</v>
      </c>
      <c r="C86" s="298">
        <f>C85*0.3422</f>
        <v>123.19200000000001</v>
      </c>
    </row>
    <row r="88" spans="2:3" ht="18">
      <c r="B88" s="301" t="s">
        <v>210</v>
      </c>
      <c r="C88" s="303">
        <f>SUM(C85:C87)</f>
        <v>483.192</v>
      </c>
    </row>
  </sheetData>
  <sheetProtection selectLockedCells="1" selectUnlockedCells="1"/>
  <mergeCells count="2">
    <mergeCell ref="C6:H6"/>
    <mergeCell ref="C48:H48"/>
  </mergeCells>
  <printOptions/>
  <pageMargins left="0.75" right="0.75" top="1" bottom="1" header="0.5118055555555555" footer="0.5118055555555555"/>
  <pageSetup horizontalDpi="300" verticalDpi="300" orientation="portrait" paperSize="9" scale="48" r:id="rId1"/>
  <rowBreaks count="1" manualBreakCount="1">
    <brk id="4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88"/>
  <sheetViews>
    <sheetView view="pageBreakPreview" zoomScale="50" zoomScaleNormal="65" zoomScaleSheetLayoutView="50" zoomScalePageLayoutView="0" workbookViewId="0" topLeftCell="A44">
      <selection activeCell="E52" sqref="E52"/>
    </sheetView>
  </sheetViews>
  <sheetFormatPr defaultColWidth="9.140625" defaultRowHeight="12.75"/>
  <cols>
    <col min="1" max="1" width="9.421875" style="246" customWidth="1"/>
    <col min="2" max="2" width="61.7109375" style="246" customWidth="1"/>
    <col min="3" max="3" width="21.421875" style="246" customWidth="1"/>
    <col min="4" max="4" width="15.140625" style="246" customWidth="1"/>
    <col min="5" max="5" width="20.140625" style="246" customWidth="1"/>
    <col min="6" max="6" width="18.28125" style="246" customWidth="1"/>
    <col min="7" max="7" width="13.28125" style="246" customWidth="1"/>
    <col min="8" max="8" width="18.00390625" style="246" customWidth="1"/>
    <col min="9" max="16384" width="9.140625" style="246" customWidth="1"/>
  </cols>
  <sheetData>
    <row r="1" spans="1:3" s="305" customFormat="1" ht="21" customHeight="1">
      <c r="A1" s="248"/>
      <c r="B1" s="304"/>
      <c r="C1" s="249" t="s">
        <v>356</v>
      </c>
    </row>
    <row r="2" spans="1:3" s="308" customFormat="1" ht="25.5" customHeight="1">
      <c r="A2" s="251"/>
      <c r="B2" s="252" t="s">
        <v>254</v>
      </c>
      <c r="C2" s="306" t="s">
        <v>262</v>
      </c>
    </row>
    <row r="3" spans="1:3" s="308" customFormat="1" ht="18">
      <c r="A3" s="254"/>
      <c r="B3" s="252" t="s">
        <v>263</v>
      </c>
      <c r="C3" s="309"/>
    </row>
    <row r="4" spans="1:3" s="308" customFormat="1" ht="15.75" customHeight="1">
      <c r="A4" s="256"/>
      <c r="B4" s="256"/>
      <c r="C4" s="257" t="s">
        <v>110</v>
      </c>
    </row>
    <row r="5" spans="1:3" ht="36">
      <c r="A5" s="251"/>
      <c r="B5" s="258" t="s">
        <v>217</v>
      </c>
      <c r="C5" s="258" t="s">
        <v>218</v>
      </c>
    </row>
    <row r="6" spans="1:8" s="310" customFormat="1" ht="29.25" customHeight="1">
      <c r="A6" s="251"/>
      <c r="B6" s="251"/>
      <c r="C6" s="471" t="s">
        <v>362</v>
      </c>
      <c r="D6" s="472"/>
      <c r="E6" s="472"/>
      <c r="F6" s="472"/>
      <c r="G6" s="472"/>
      <c r="H6" s="473"/>
    </row>
    <row r="7" spans="1:8" s="310" customFormat="1" ht="60">
      <c r="A7" s="260"/>
      <c r="B7" s="260" t="s">
        <v>219</v>
      </c>
      <c r="C7" s="433" t="s">
        <v>361</v>
      </c>
      <c r="D7" s="433" t="s">
        <v>397</v>
      </c>
      <c r="E7" s="433" t="s">
        <v>360</v>
      </c>
      <c r="F7" s="434" t="s">
        <v>363</v>
      </c>
      <c r="G7" s="435" t="s">
        <v>395</v>
      </c>
      <c r="H7" s="435" t="s">
        <v>398</v>
      </c>
    </row>
    <row r="8" spans="1:8" s="307" customFormat="1" ht="18.75">
      <c r="A8" s="251" t="s">
        <v>7</v>
      </c>
      <c r="B8" s="261" t="s">
        <v>8</v>
      </c>
      <c r="C8" s="262">
        <f>C9+C10+C11+C12+C13+C14</f>
        <v>0</v>
      </c>
      <c r="D8" s="262">
        <f>D9+D10+D11+D12+D13+D14</f>
        <v>0</v>
      </c>
      <c r="E8" s="262">
        <f>E9+E10+E11+E12+E13+E14</f>
        <v>0</v>
      </c>
      <c r="F8" s="422">
        <f aca="true" t="shared" si="0" ref="F8:F26">C8+D8+E8</f>
        <v>0</v>
      </c>
      <c r="G8" s="431"/>
      <c r="H8" s="431"/>
    </row>
    <row r="9" spans="1:8" s="307" customFormat="1" ht="36">
      <c r="A9" s="264"/>
      <c r="B9" s="265" t="s">
        <v>9</v>
      </c>
      <c r="C9" s="262"/>
      <c r="D9" s="312"/>
      <c r="E9" s="312"/>
      <c r="F9" s="422">
        <f t="shared" si="0"/>
        <v>0</v>
      </c>
      <c r="G9" s="431"/>
      <c r="H9" s="431"/>
    </row>
    <row r="10" spans="1:8" s="307" customFormat="1" ht="36">
      <c r="A10" s="64"/>
      <c r="B10" s="265" t="s">
        <v>10</v>
      </c>
      <c r="C10" s="268"/>
      <c r="D10" s="312"/>
      <c r="E10" s="312"/>
      <c r="F10" s="422">
        <f t="shared" si="0"/>
        <v>0</v>
      </c>
      <c r="G10" s="431"/>
      <c r="H10" s="431"/>
    </row>
    <row r="11" spans="1:8" s="307" customFormat="1" ht="36">
      <c r="A11" s="64"/>
      <c r="B11" s="265" t="s">
        <v>11</v>
      </c>
      <c r="C11" s="268"/>
      <c r="D11" s="312"/>
      <c r="E11" s="312"/>
      <c r="F11" s="422">
        <f t="shared" si="0"/>
        <v>0</v>
      </c>
      <c r="G11" s="431"/>
      <c r="H11" s="431"/>
    </row>
    <row r="12" spans="1:8" s="307" customFormat="1" ht="36">
      <c r="A12" s="64"/>
      <c r="B12" s="265" t="s">
        <v>12</v>
      </c>
      <c r="C12" s="268"/>
      <c r="D12" s="312"/>
      <c r="E12" s="312"/>
      <c r="F12" s="422">
        <f t="shared" si="0"/>
        <v>0</v>
      </c>
      <c r="G12" s="431"/>
      <c r="H12" s="431"/>
    </row>
    <row r="13" spans="1:8" s="307" customFormat="1" ht="18.75">
      <c r="A13" s="64"/>
      <c r="B13" s="265" t="s">
        <v>86</v>
      </c>
      <c r="C13" s="268"/>
      <c r="D13" s="312"/>
      <c r="E13" s="312"/>
      <c r="F13" s="422">
        <f t="shared" si="0"/>
        <v>0</v>
      </c>
      <c r="G13" s="431"/>
      <c r="H13" s="431"/>
    </row>
    <row r="14" spans="1:8" s="307" customFormat="1" ht="18.75">
      <c r="A14" s="64"/>
      <c r="B14" s="265" t="s">
        <v>14</v>
      </c>
      <c r="C14" s="268"/>
      <c r="D14" s="291"/>
      <c r="E14" s="291"/>
      <c r="F14" s="422">
        <f t="shared" si="0"/>
        <v>0</v>
      </c>
      <c r="G14" s="425"/>
      <c r="H14" s="431"/>
    </row>
    <row r="15" spans="1:8" ht="36">
      <c r="A15" s="64" t="s">
        <v>15</v>
      </c>
      <c r="B15" s="261" t="s">
        <v>16</v>
      </c>
      <c r="C15" s="268">
        <f>C16+C17+C18+C19</f>
        <v>0</v>
      </c>
      <c r="D15" s="268">
        <f>D16+D17+D18+D19</f>
        <v>0</v>
      </c>
      <c r="E15" s="268">
        <f>E16+E17+E18+E19</f>
        <v>0</v>
      </c>
      <c r="F15" s="422">
        <f t="shared" si="0"/>
        <v>0</v>
      </c>
      <c r="G15" s="425"/>
      <c r="H15" s="425"/>
    </row>
    <row r="16" spans="1:8" ht="36">
      <c r="A16" s="264"/>
      <c r="B16" s="265" t="s">
        <v>17</v>
      </c>
      <c r="C16" s="262"/>
      <c r="D16" s="312"/>
      <c r="E16" s="312"/>
      <c r="F16" s="422">
        <f t="shared" si="0"/>
        <v>0</v>
      </c>
      <c r="G16" s="431"/>
      <c r="H16" s="425"/>
    </row>
    <row r="17" spans="1:8" s="307" customFormat="1" ht="36">
      <c r="A17" s="64"/>
      <c r="B17" s="265" t="s">
        <v>105</v>
      </c>
      <c r="C17" s="268"/>
      <c r="D17" s="291"/>
      <c r="E17" s="291"/>
      <c r="F17" s="422">
        <f t="shared" si="0"/>
        <v>0</v>
      </c>
      <c r="G17" s="425"/>
      <c r="H17" s="431"/>
    </row>
    <row r="18" spans="1:8" ht="36">
      <c r="A18" s="64"/>
      <c r="B18" s="265" t="s">
        <v>19</v>
      </c>
      <c r="C18" s="268"/>
      <c r="D18" s="291"/>
      <c r="E18" s="291"/>
      <c r="F18" s="422">
        <f t="shared" si="0"/>
        <v>0</v>
      </c>
      <c r="G18" s="425"/>
      <c r="H18" s="425"/>
    </row>
    <row r="19" spans="1:8" ht="36">
      <c r="A19" s="64"/>
      <c r="B19" s="265" t="s">
        <v>20</v>
      </c>
      <c r="C19" s="268"/>
      <c r="D19" s="312"/>
      <c r="E19" s="312"/>
      <c r="F19" s="422">
        <f t="shared" si="0"/>
        <v>0</v>
      </c>
      <c r="G19" s="425"/>
      <c r="H19" s="425"/>
    </row>
    <row r="20" spans="1:8" ht="36">
      <c r="A20" s="64" t="s">
        <v>21</v>
      </c>
      <c r="B20" s="271" t="s">
        <v>22</v>
      </c>
      <c r="C20" s="268">
        <f>C21</f>
        <v>0</v>
      </c>
      <c r="D20" s="268">
        <f>D21</f>
        <v>0</v>
      </c>
      <c r="E20" s="268">
        <f>E21</f>
        <v>0</v>
      </c>
      <c r="F20" s="422">
        <f t="shared" si="0"/>
        <v>0</v>
      </c>
      <c r="G20" s="431"/>
      <c r="H20" s="431"/>
    </row>
    <row r="21" spans="1:8" ht="36">
      <c r="A21" s="64"/>
      <c r="B21" s="272" t="s">
        <v>246</v>
      </c>
      <c r="C21" s="268"/>
      <c r="D21" s="291"/>
      <c r="E21" s="291"/>
      <c r="F21" s="422">
        <f t="shared" si="0"/>
        <v>0</v>
      </c>
      <c r="G21" s="425"/>
      <c r="H21" s="425"/>
    </row>
    <row r="22" spans="1:8" ht="18">
      <c r="A22" s="275" t="s">
        <v>24</v>
      </c>
      <c r="B22" s="271" t="s">
        <v>25</v>
      </c>
      <c r="C22" s="268">
        <f>C23+C24+C25+C26</f>
        <v>0</v>
      </c>
      <c r="D22" s="268">
        <f>D23+D24+D25+D26</f>
        <v>0</v>
      </c>
      <c r="E22" s="268">
        <f>E23+E24+E25+E26</f>
        <v>0</v>
      </c>
      <c r="F22" s="422">
        <f t="shared" si="0"/>
        <v>0</v>
      </c>
      <c r="G22" s="425"/>
      <c r="H22" s="425"/>
    </row>
    <row r="23" spans="1:8" s="307" customFormat="1" ht="36">
      <c r="A23" s="64"/>
      <c r="B23" s="276" t="s">
        <v>26</v>
      </c>
      <c r="C23" s="268"/>
      <c r="D23" s="291"/>
      <c r="E23" s="291"/>
      <c r="F23" s="422">
        <f t="shared" si="0"/>
        <v>0</v>
      </c>
      <c r="G23" s="425"/>
      <c r="H23" s="425"/>
    </row>
    <row r="24" spans="1:8" s="307" customFormat="1" ht="18.75">
      <c r="A24" s="65"/>
      <c r="B24" s="276" t="s">
        <v>27</v>
      </c>
      <c r="C24" s="268"/>
      <c r="D24" s="291"/>
      <c r="E24" s="291"/>
      <c r="F24" s="422">
        <f t="shared" si="0"/>
        <v>0</v>
      </c>
      <c r="G24" s="425"/>
      <c r="H24" s="425"/>
    </row>
    <row r="25" spans="1:8" s="307" customFormat="1" ht="18.75">
      <c r="A25" s="64"/>
      <c r="B25" s="276" t="s">
        <v>28</v>
      </c>
      <c r="C25" s="270"/>
      <c r="D25" s="291"/>
      <c r="E25" s="291"/>
      <c r="F25" s="422">
        <f t="shared" si="0"/>
        <v>0</v>
      </c>
      <c r="G25" s="425"/>
      <c r="H25" s="425"/>
    </row>
    <row r="26" spans="1:8" s="307" customFormat="1" ht="90">
      <c r="A26" s="264"/>
      <c r="B26" s="276" t="s">
        <v>29</v>
      </c>
      <c r="C26" s="262"/>
      <c r="D26" s="291"/>
      <c r="E26" s="291"/>
      <c r="F26" s="422">
        <f t="shared" si="0"/>
        <v>0</v>
      </c>
      <c r="G26" s="425"/>
      <c r="H26" s="425"/>
    </row>
    <row r="27" spans="1:8" ht="18.75">
      <c r="A27" s="275" t="s">
        <v>30</v>
      </c>
      <c r="B27" s="278" t="s">
        <v>31</v>
      </c>
      <c r="C27" s="270">
        <f>C28+C29+C30+C31+C32</f>
        <v>983</v>
      </c>
      <c r="D27" s="270">
        <f>D28+D29+D30+D31+D32</f>
        <v>983</v>
      </c>
      <c r="E27" s="270">
        <f>E28+E29+E30+E31+E32</f>
        <v>0</v>
      </c>
      <c r="F27" s="270">
        <f>F28+F29+F30+F31+F32</f>
        <v>983</v>
      </c>
      <c r="G27" s="270">
        <f>G28+G29+G30+G31+G32</f>
        <v>877</v>
      </c>
      <c r="H27" s="441">
        <f>G27/F27</f>
        <v>0.8921668362156663</v>
      </c>
    </row>
    <row r="28" spans="1:8" ht="54">
      <c r="A28" s="64"/>
      <c r="B28" s="265" t="s">
        <v>32</v>
      </c>
      <c r="C28" s="268">
        <v>983</v>
      </c>
      <c r="D28" s="291">
        <v>983</v>
      </c>
      <c r="E28" s="291"/>
      <c r="F28" s="422">
        <f aca="true" t="shared" si="1" ref="F28:F44">D28+E28</f>
        <v>983</v>
      </c>
      <c r="G28" s="425">
        <v>877</v>
      </c>
      <c r="H28" s="437">
        <f>G28/F28</f>
        <v>0.8921668362156663</v>
      </c>
    </row>
    <row r="29" spans="1:8" ht="18.75">
      <c r="A29" s="64"/>
      <c r="B29" s="265" t="s">
        <v>33</v>
      </c>
      <c r="C29" s="268"/>
      <c r="D29" s="291"/>
      <c r="E29" s="291"/>
      <c r="F29" s="422">
        <f t="shared" si="1"/>
        <v>0</v>
      </c>
      <c r="G29" s="425"/>
      <c r="H29" s="437"/>
    </row>
    <row r="30" spans="1:8" ht="18.75">
      <c r="A30" s="64"/>
      <c r="B30" s="265" t="s">
        <v>34</v>
      </c>
      <c r="C30" s="268"/>
      <c r="D30" s="291"/>
      <c r="E30" s="291"/>
      <c r="F30" s="422">
        <f t="shared" si="1"/>
        <v>0</v>
      </c>
      <c r="G30" s="425"/>
      <c r="H30" s="437"/>
    </row>
    <row r="31" spans="1:8" s="310" customFormat="1" ht="18.75">
      <c r="A31" s="64"/>
      <c r="B31" s="265" t="s">
        <v>35</v>
      </c>
      <c r="C31" s="268"/>
      <c r="D31" s="291"/>
      <c r="E31" s="291"/>
      <c r="F31" s="422">
        <f t="shared" si="1"/>
        <v>0</v>
      </c>
      <c r="G31" s="425"/>
      <c r="H31" s="437"/>
    </row>
    <row r="32" spans="1:8" s="307" customFormat="1" ht="18.75">
      <c r="A32" s="64"/>
      <c r="B32" s="265" t="s">
        <v>36</v>
      </c>
      <c r="C32" s="268"/>
      <c r="D32" s="291"/>
      <c r="E32" s="291"/>
      <c r="F32" s="422">
        <f t="shared" si="1"/>
        <v>0</v>
      </c>
      <c r="G32" s="425"/>
      <c r="H32" s="437"/>
    </row>
    <row r="33" spans="1:8" ht="18.75">
      <c r="A33" s="275" t="s">
        <v>37</v>
      </c>
      <c r="B33" s="271" t="s">
        <v>38</v>
      </c>
      <c r="C33" s="268">
        <f>C34+C35</f>
        <v>0</v>
      </c>
      <c r="D33" s="268">
        <f>D34+D35</f>
        <v>0</v>
      </c>
      <c r="E33" s="268">
        <f>E34+E35</f>
        <v>0</v>
      </c>
      <c r="F33" s="422">
        <f t="shared" si="1"/>
        <v>0</v>
      </c>
      <c r="G33" s="425"/>
      <c r="H33" s="437"/>
    </row>
    <row r="34" spans="1:8" ht="18.75">
      <c r="A34" s="65"/>
      <c r="B34" s="265" t="s">
        <v>39</v>
      </c>
      <c r="C34" s="268"/>
      <c r="D34" s="291"/>
      <c r="E34" s="291"/>
      <c r="F34" s="422">
        <f t="shared" si="1"/>
        <v>0</v>
      </c>
      <c r="G34" s="425"/>
      <c r="H34" s="437"/>
    </row>
    <row r="35" spans="1:8" ht="18.75">
      <c r="A35" s="66"/>
      <c r="B35" s="265" t="s">
        <v>107</v>
      </c>
      <c r="C35" s="262"/>
      <c r="D35" s="312"/>
      <c r="E35" s="312"/>
      <c r="F35" s="422">
        <f t="shared" si="1"/>
        <v>0</v>
      </c>
      <c r="G35" s="431"/>
      <c r="H35" s="437"/>
    </row>
    <row r="36" spans="1:8" ht="18.75">
      <c r="A36" s="279" t="s">
        <v>40</v>
      </c>
      <c r="B36" s="271" t="s">
        <v>41</v>
      </c>
      <c r="C36" s="266">
        <f>C37</f>
        <v>0</v>
      </c>
      <c r="D36" s="291"/>
      <c r="E36" s="291"/>
      <c r="F36" s="422">
        <f t="shared" si="1"/>
        <v>0</v>
      </c>
      <c r="G36" s="425"/>
      <c r="H36" s="437"/>
    </row>
    <row r="37" spans="1:8" ht="18.75">
      <c r="A37" s="68"/>
      <c r="B37" s="265" t="s">
        <v>221</v>
      </c>
      <c r="C37" s="268"/>
      <c r="D37" s="291"/>
      <c r="E37" s="291"/>
      <c r="F37" s="422">
        <f t="shared" si="1"/>
        <v>0</v>
      </c>
      <c r="G37" s="425"/>
      <c r="H37" s="437"/>
    </row>
    <row r="38" spans="1:8" ht="18.75">
      <c r="A38" s="279" t="s">
        <v>43</v>
      </c>
      <c r="B38" s="271" t="s">
        <v>44</v>
      </c>
      <c r="C38" s="268">
        <f>C39+C40</f>
        <v>0</v>
      </c>
      <c r="D38" s="291"/>
      <c r="E38" s="291"/>
      <c r="F38" s="422">
        <f t="shared" si="1"/>
        <v>0</v>
      </c>
      <c r="G38" s="425"/>
      <c r="H38" s="437"/>
    </row>
    <row r="39" spans="1:8" s="307" customFormat="1" ht="54">
      <c r="A39" s="68"/>
      <c r="B39" s="276" t="s">
        <v>247</v>
      </c>
      <c r="C39" s="268"/>
      <c r="D39" s="291"/>
      <c r="E39" s="291"/>
      <c r="F39" s="422">
        <f t="shared" si="1"/>
        <v>0</v>
      </c>
      <c r="G39" s="425"/>
      <c r="H39" s="437"/>
    </row>
    <row r="40" spans="1:8" ht="36">
      <c r="A40" s="68"/>
      <c r="B40" s="276" t="s">
        <v>248</v>
      </c>
      <c r="C40" s="268"/>
      <c r="D40" s="291"/>
      <c r="E40" s="291"/>
      <c r="F40" s="422">
        <f t="shared" si="1"/>
        <v>0</v>
      </c>
      <c r="G40" s="425"/>
      <c r="H40" s="437"/>
    </row>
    <row r="41" spans="1:8" ht="36.75" customHeight="1">
      <c r="A41" s="68"/>
      <c r="B41" s="271" t="s">
        <v>47</v>
      </c>
      <c r="C41" s="270">
        <f>C8+C15+C20+C22+C27+C33+C36+C38</f>
        <v>983</v>
      </c>
      <c r="D41" s="270">
        <f>D8+D15+D20+D22+D27+D33+D36+D38</f>
        <v>983</v>
      </c>
      <c r="E41" s="270">
        <f>E8+E15+E20+E22+E27+E33+E36+E38</f>
        <v>0</v>
      </c>
      <c r="F41" s="270">
        <f>F8+F15+F20+F22+F27+F33+F36+F38</f>
        <v>983</v>
      </c>
      <c r="G41" s="270">
        <v>795</v>
      </c>
      <c r="H41" s="441">
        <f>G41/F41</f>
        <v>0.8087487283825026</v>
      </c>
    </row>
    <row r="42" spans="1:8" ht="18.75">
      <c r="A42" s="279" t="s">
        <v>48</v>
      </c>
      <c r="B42" s="271" t="s">
        <v>249</v>
      </c>
      <c r="C42" s="262">
        <f>C77-C41-C43</f>
        <v>53365</v>
      </c>
      <c r="D42" s="262">
        <v>54567</v>
      </c>
      <c r="E42" s="262">
        <f>E77-E41</f>
        <v>1038</v>
      </c>
      <c r="F42" s="422">
        <f t="shared" si="1"/>
        <v>55605</v>
      </c>
      <c r="G42" s="262">
        <v>28031</v>
      </c>
      <c r="H42" s="441">
        <f>G42/F42</f>
        <v>0.5041093426850103</v>
      </c>
    </row>
    <row r="43" spans="1:8" ht="36">
      <c r="A43" s="279" t="s">
        <v>50</v>
      </c>
      <c r="B43" s="271" t="s">
        <v>51</v>
      </c>
      <c r="C43" s="268"/>
      <c r="D43" s="291">
        <v>877</v>
      </c>
      <c r="E43" s="291"/>
      <c r="F43" s="422">
        <f t="shared" si="1"/>
        <v>877</v>
      </c>
      <c r="G43" s="425">
        <v>877</v>
      </c>
      <c r="H43" s="437">
        <f>G43/F43</f>
        <v>1</v>
      </c>
    </row>
    <row r="44" spans="1:8" ht="36">
      <c r="A44" s="279" t="s">
        <v>52</v>
      </c>
      <c r="B44" s="271" t="s">
        <v>53</v>
      </c>
      <c r="C44" s="268"/>
      <c r="D44" s="291"/>
      <c r="E44" s="291"/>
      <c r="F44" s="422">
        <f t="shared" si="1"/>
        <v>0</v>
      </c>
      <c r="G44" s="425"/>
      <c r="H44" s="437"/>
    </row>
    <row r="45" spans="1:8" ht="18.75">
      <c r="A45" s="68"/>
      <c r="B45" s="271" t="s">
        <v>54</v>
      </c>
      <c r="C45" s="270">
        <f>C42+C43+C44</f>
        <v>53365</v>
      </c>
      <c r="D45" s="270">
        <f>D42+D43+D44</f>
        <v>55444</v>
      </c>
      <c r="E45" s="270">
        <f>E42+E43+E44</f>
        <v>1038</v>
      </c>
      <c r="F45" s="270">
        <f>F42+F43+F44</f>
        <v>56482</v>
      </c>
      <c r="G45" s="270">
        <f>G42+G43+G44</f>
        <v>28908</v>
      </c>
      <c r="H45" s="441">
        <f>G45/F45</f>
        <v>0.5118090719167169</v>
      </c>
    </row>
    <row r="46" spans="1:8" ht="27.75" customHeight="1">
      <c r="A46" s="68"/>
      <c r="B46" s="261" t="s">
        <v>57</v>
      </c>
      <c r="C46" s="270">
        <f>C41+C45</f>
        <v>54348</v>
      </c>
      <c r="D46" s="270">
        <f>D41+D45</f>
        <v>56427</v>
      </c>
      <c r="E46" s="270">
        <f>E41+E45</f>
        <v>1038</v>
      </c>
      <c r="F46" s="270">
        <f>F41+F45</f>
        <v>57465</v>
      </c>
      <c r="G46" s="270">
        <f>G41+G45</f>
        <v>29703</v>
      </c>
      <c r="H46" s="441">
        <f>G46/F46</f>
        <v>0.5168885408509527</v>
      </c>
    </row>
    <row r="47" spans="1:3" ht="14.25" customHeight="1">
      <c r="A47" s="281"/>
      <c r="B47" s="282"/>
      <c r="C47" s="283"/>
    </row>
    <row r="48" spans="1:8" ht="20.25">
      <c r="A48" s="81"/>
      <c r="B48" s="81"/>
      <c r="C48" s="471" t="s">
        <v>362</v>
      </c>
      <c r="D48" s="472"/>
      <c r="E48" s="472"/>
      <c r="F48" s="472"/>
      <c r="G48" s="472"/>
      <c r="H48" s="474"/>
    </row>
    <row r="49" spans="1:8" ht="77.25" customHeight="1">
      <c r="A49" s="284"/>
      <c r="B49" s="284" t="s">
        <v>225</v>
      </c>
      <c r="C49" s="433" t="s">
        <v>361</v>
      </c>
      <c r="D49" s="433" t="s">
        <v>397</v>
      </c>
      <c r="E49" s="433" t="s">
        <v>360</v>
      </c>
      <c r="F49" s="434" t="s">
        <v>363</v>
      </c>
      <c r="G49" s="435" t="s">
        <v>395</v>
      </c>
      <c r="H49" s="435" t="s">
        <v>398</v>
      </c>
    </row>
    <row r="50" spans="1:8" ht="18.75">
      <c r="A50" s="66" t="s">
        <v>7</v>
      </c>
      <c r="B50" s="285" t="s">
        <v>59</v>
      </c>
      <c r="C50" s="262">
        <f>C51+C52+C53+C56+C57</f>
        <v>54348</v>
      </c>
      <c r="D50" s="262">
        <f>D51+D52+D53+D56+D57</f>
        <v>56427</v>
      </c>
      <c r="E50" s="262">
        <f>E51+E52+E53+E56+E57</f>
        <v>1038</v>
      </c>
      <c r="F50" s="262">
        <f>F51+F52+F53+F56+F57</f>
        <v>57465</v>
      </c>
      <c r="G50" s="262">
        <f>G51+G52+G53+G56+G57</f>
        <v>27298</v>
      </c>
      <c r="H50" s="441">
        <f>G50/F50</f>
        <v>0.47503697903071435</v>
      </c>
    </row>
    <row r="51" spans="1:8" ht="18.75">
      <c r="A51" s="74"/>
      <c r="B51" s="286" t="s">
        <v>60</v>
      </c>
      <c r="C51" s="268">
        <v>38794</v>
      </c>
      <c r="D51" s="268">
        <v>40519</v>
      </c>
      <c r="E51" s="291">
        <f>778+91</f>
        <v>869</v>
      </c>
      <c r="F51" s="422">
        <f>D51+E51</f>
        <v>41388</v>
      </c>
      <c r="G51" s="268">
        <v>20041</v>
      </c>
      <c r="H51" s="437">
        <f>G51/F51</f>
        <v>0.484222479945878</v>
      </c>
    </row>
    <row r="52" spans="1:8" ht="36">
      <c r="A52" s="68"/>
      <c r="B52" s="287" t="s">
        <v>61</v>
      </c>
      <c r="C52" s="268">
        <v>7976</v>
      </c>
      <c r="D52" s="268">
        <v>8313</v>
      </c>
      <c r="E52" s="291">
        <f>152+17</f>
        <v>169</v>
      </c>
      <c r="F52" s="422">
        <f>D52+E52</f>
        <v>8482</v>
      </c>
      <c r="G52" s="268">
        <v>4693</v>
      </c>
      <c r="H52" s="437">
        <f>G52/F52</f>
        <v>0.5532893185569441</v>
      </c>
    </row>
    <row r="53" spans="1:8" ht="18.75">
      <c r="A53" s="68"/>
      <c r="B53" s="287" t="s">
        <v>62</v>
      </c>
      <c r="C53" s="268">
        <v>7578</v>
      </c>
      <c r="D53" s="268">
        <v>7595</v>
      </c>
      <c r="E53" s="291"/>
      <c r="F53" s="422">
        <f>D53+E53</f>
        <v>7595</v>
      </c>
      <c r="G53" s="268">
        <v>2564</v>
      </c>
      <c r="H53" s="437">
        <f>G53/F53</f>
        <v>0.33759052007899937</v>
      </c>
    </row>
    <row r="54" spans="1:8" ht="54">
      <c r="A54" s="68"/>
      <c r="B54" s="287" t="s">
        <v>250</v>
      </c>
      <c r="C54" s="268"/>
      <c r="D54" s="291"/>
      <c r="E54" s="291"/>
      <c r="F54" s="422">
        <f aca="true" t="shared" si="2" ref="F54:F71">C54+D54+E54</f>
        <v>0</v>
      </c>
      <c r="G54" s="425"/>
      <c r="H54" s="437"/>
    </row>
    <row r="55" spans="1:8" ht="18.75">
      <c r="A55" s="68"/>
      <c r="B55" s="287" t="s">
        <v>64</v>
      </c>
      <c r="C55" s="268"/>
      <c r="D55" s="291"/>
      <c r="E55" s="291"/>
      <c r="F55" s="422">
        <f t="shared" si="2"/>
        <v>0</v>
      </c>
      <c r="G55" s="425"/>
      <c r="H55" s="437"/>
    </row>
    <row r="56" spans="1:8" ht="18.75">
      <c r="A56" s="68"/>
      <c r="B56" s="287" t="s">
        <v>65</v>
      </c>
      <c r="C56" s="268"/>
      <c r="D56" s="291"/>
      <c r="E56" s="291"/>
      <c r="F56" s="422">
        <f t="shared" si="2"/>
        <v>0</v>
      </c>
      <c r="G56" s="425"/>
      <c r="H56" s="437"/>
    </row>
    <row r="57" spans="1:8" ht="18.75">
      <c r="A57" s="68"/>
      <c r="B57" s="287" t="s">
        <v>66</v>
      </c>
      <c r="C57" s="268">
        <f>SUM(C58:C61)</f>
        <v>0</v>
      </c>
      <c r="D57" s="291"/>
      <c r="E57" s="291"/>
      <c r="F57" s="422">
        <f t="shared" si="2"/>
        <v>0</v>
      </c>
      <c r="G57" s="425"/>
      <c r="H57" s="437"/>
    </row>
    <row r="58" spans="1:8" ht="18.75">
      <c r="A58" s="68"/>
      <c r="B58" s="287" t="s">
        <v>67</v>
      </c>
      <c r="C58" s="268"/>
      <c r="D58" s="291"/>
      <c r="E58" s="291"/>
      <c r="F58" s="422">
        <f t="shared" si="2"/>
        <v>0</v>
      </c>
      <c r="G58" s="425"/>
      <c r="H58" s="437"/>
    </row>
    <row r="59" spans="1:8" ht="36">
      <c r="A59" s="68"/>
      <c r="B59" s="287" t="s">
        <v>68</v>
      </c>
      <c r="C59" s="268"/>
      <c r="D59" s="291"/>
      <c r="E59" s="291"/>
      <c r="F59" s="422">
        <f t="shared" si="2"/>
        <v>0</v>
      </c>
      <c r="G59" s="425"/>
      <c r="H59" s="437"/>
    </row>
    <row r="60" spans="1:8" ht="36">
      <c r="A60" s="68"/>
      <c r="B60" s="287" t="s">
        <v>69</v>
      </c>
      <c r="C60" s="268"/>
      <c r="D60" s="291"/>
      <c r="E60" s="291"/>
      <c r="F60" s="422">
        <f t="shared" si="2"/>
        <v>0</v>
      </c>
      <c r="G60" s="425"/>
      <c r="H60" s="437"/>
    </row>
    <row r="61" spans="1:8" ht="18.75">
      <c r="A61" s="68"/>
      <c r="B61" s="288"/>
      <c r="C61" s="268"/>
      <c r="D61" s="291"/>
      <c r="E61" s="291"/>
      <c r="F61" s="422">
        <f t="shared" si="2"/>
        <v>0</v>
      </c>
      <c r="G61" s="425"/>
      <c r="H61" s="437"/>
    </row>
    <row r="62" spans="1:8" ht="18.75">
      <c r="A62" s="66" t="s">
        <v>15</v>
      </c>
      <c r="B62" s="285" t="s">
        <v>70</v>
      </c>
      <c r="C62" s="262">
        <f>C63+C66+C67+C70</f>
        <v>0</v>
      </c>
      <c r="D62" s="262">
        <f>D63+D66+D67+D70</f>
        <v>0</v>
      </c>
      <c r="E62" s="262">
        <f>E63+E66+E67+E70</f>
        <v>0</v>
      </c>
      <c r="F62" s="422">
        <f t="shared" si="2"/>
        <v>0</v>
      </c>
      <c r="G62" s="425"/>
      <c r="H62" s="437"/>
    </row>
    <row r="63" spans="1:8" ht="18.75">
      <c r="A63" s="74"/>
      <c r="B63" s="123" t="s">
        <v>71</v>
      </c>
      <c r="C63" s="268"/>
      <c r="D63" s="291"/>
      <c r="E63" s="291"/>
      <c r="F63" s="422">
        <f t="shared" si="2"/>
        <v>0</v>
      </c>
      <c r="G63" s="425"/>
      <c r="H63" s="437"/>
    </row>
    <row r="64" spans="1:8" ht="54">
      <c r="A64" s="74"/>
      <c r="B64" s="287" t="s">
        <v>226</v>
      </c>
      <c r="C64" s="268"/>
      <c r="D64" s="291"/>
      <c r="E64" s="291"/>
      <c r="F64" s="422">
        <f t="shared" si="2"/>
        <v>0</v>
      </c>
      <c r="G64" s="425"/>
      <c r="H64" s="437"/>
    </row>
    <row r="65" spans="1:8" ht="54">
      <c r="A65" s="74"/>
      <c r="B65" s="287" t="s">
        <v>227</v>
      </c>
      <c r="C65" s="268"/>
      <c r="D65" s="291"/>
      <c r="E65" s="291"/>
      <c r="F65" s="422">
        <f t="shared" si="2"/>
        <v>0</v>
      </c>
      <c r="G65" s="425"/>
      <c r="H65" s="437"/>
    </row>
    <row r="66" spans="1:8" ht="18.75">
      <c r="A66" s="68"/>
      <c r="B66" s="287" t="s">
        <v>74</v>
      </c>
      <c r="C66" s="268"/>
      <c r="D66" s="291"/>
      <c r="E66" s="291"/>
      <c r="F66" s="422">
        <f t="shared" si="2"/>
        <v>0</v>
      </c>
      <c r="G66" s="425"/>
      <c r="H66" s="437"/>
    </row>
    <row r="67" spans="1:8" ht="18.75">
      <c r="A67" s="68"/>
      <c r="B67" s="287" t="s">
        <v>96</v>
      </c>
      <c r="C67" s="268"/>
      <c r="D67" s="291"/>
      <c r="E67" s="291"/>
      <c r="F67" s="422">
        <f t="shared" si="2"/>
        <v>0</v>
      </c>
      <c r="G67" s="425"/>
      <c r="H67" s="437"/>
    </row>
    <row r="68" spans="1:8" ht="36">
      <c r="A68" s="68"/>
      <c r="B68" s="287" t="s">
        <v>76</v>
      </c>
      <c r="C68" s="268"/>
      <c r="D68" s="291"/>
      <c r="E68" s="291"/>
      <c r="F68" s="422">
        <f t="shared" si="2"/>
        <v>0</v>
      </c>
      <c r="G68" s="425"/>
      <c r="H68" s="437"/>
    </row>
    <row r="69" spans="1:8" ht="36">
      <c r="A69" s="68"/>
      <c r="B69" s="287" t="s">
        <v>77</v>
      </c>
      <c r="C69" s="268"/>
      <c r="D69" s="291"/>
      <c r="E69" s="291"/>
      <c r="F69" s="422">
        <f t="shared" si="2"/>
        <v>0</v>
      </c>
      <c r="G69" s="425"/>
      <c r="H69" s="437"/>
    </row>
    <row r="70" spans="1:8" ht="18.75">
      <c r="A70" s="68"/>
      <c r="B70" s="287" t="s">
        <v>78</v>
      </c>
      <c r="C70" s="268"/>
      <c r="D70" s="291"/>
      <c r="E70" s="291"/>
      <c r="F70" s="422">
        <f t="shared" si="2"/>
        <v>0</v>
      </c>
      <c r="G70" s="425"/>
      <c r="H70" s="437"/>
    </row>
    <row r="71" spans="1:8" ht="18.75">
      <c r="A71" s="85"/>
      <c r="B71" s="131"/>
      <c r="C71" s="129"/>
      <c r="D71" s="291"/>
      <c r="E71" s="291"/>
      <c r="F71" s="422">
        <f t="shared" si="2"/>
        <v>0</v>
      </c>
      <c r="G71" s="425"/>
      <c r="H71" s="437"/>
    </row>
    <row r="72" spans="1:8" ht="18.75">
      <c r="A72" s="66"/>
      <c r="B72" s="292" t="s">
        <v>79</v>
      </c>
      <c r="C72" s="262">
        <f>C50+C62</f>
        <v>54348</v>
      </c>
      <c r="D72" s="262">
        <f>D50+D62</f>
        <v>56427</v>
      </c>
      <c r="E72" s="262">
        <f>E50+E62</f>
        <v>1038</v>
      </c>
      <c r="F72" s="262">
        <f>F50+F62</f>
        <v>57465</v>
      </c>
      <c r="G72" s="262">
        <f>G50+G62</f>
        <v>27298</v>
      </c>
      <c r="H72" s="441">
        <f>G72/F72</f>
        <v>0.47503697903071435</v>
      </c>
    </row>
    <row r="73" spans="1:8" ht="18.75">
      <c r="A73" s="66"/>
      <c r="B73" s="292"/>
      <c r="C73" s="293"/>
      <c r="D73" s="291"/>
      <c r="E73" s="291"/>
      <c r="F73" s="422">
        <f aca="true" t="shared" si="3" ref="F73:F79">D73+E73</f>
        <v>0</v>
      </c>
      <c r="G73" s="425"/>
      <c r="H73" s="437"/>
    </row>
    <row r="74" spans="1:8" ht="18.75">
      <c r="A74" s="66" t="s">
        <v>21</v>
      </c>
      <c r="B74" s="285" t="s">
        <v>80</v>
      </c>
      <c r="C74" s="262">
        <f>C75+C76</f>
        <v>0</v>
      </c>
      <c r="D74" s="291"/>
      <c r="E74" s="291"/>
      <c r="F74" s="422">
        <f t="shared" si="3"/>
        <v>0</v>
      </c>
      <c r="G74" s="425"/>
      <c r="H74" s="437"/>
    </row>
    <row r="75" spans="1:8" ht="18.75">
      <c r="A75" s="74"/>
      <c r="B75" s="286" t="s">
        <v>251</v>
      </c>
      <c r="C75" s="262"/>
      <c r="D75" s="291"/>
      <c r="E75" s="291"/>
      <c r="F75" s="422">
        <f t="shared" si="3"/>
        <v>0</v>
      </c>
      <c r="G75" s="425"/>
      <c r="H75" s="437"/>
    </row>
    <row r="76" spans="1:8" ht="36">
      <c r="A76" s="68"/>
      <c r="B76" s="286" t="s">
        <v>56</v>
      </c>
      <c r="C76" s="270"/>
      <c r="D76" s="291"/>
      <c r="E76" s="291"/>
      <c r="F76" s="422">
        <f t="shared" si="3"/>
        <v>0</v>
      </c>
      <c r="G76" s="425"/>
      <c r="H76" s="437"/>
    </row>
    <row r="77" spans="1:8" ht="18.75">
      <c r="A77" s="79"/>
      <c r="B77" s="294" t="s">
        <v>82</v>
      </c>
      <c r="C77" s="262">
        <f>C50+C62+C74</f>
        <v>54348</v>
      </c>
      <c r="D77" s="262">
        <f>D50+D62+D74</f>
        <v>56427</v>
      </c>
      <c r="E77" s="262">
        <f>E50+E62+E74</f>
        <v>1038</v>
      </c>
      <c r="F77" s="262">
        <f>F50+F62+F74</f>
        <v>57465</v>
      </c>
      <c r="G77" s="262">
        <f>G50+G62+G74</f>
        <v>27298</v>
      </c>
      <c r="H77" s="441">
        <f>G77/F77</f>
        <v>0.47503697903071435</v>
      </c>
    </row>
    <row r="78" spans="1:8" ht="18.75">
      <c r="A78" s="81"/>
      <c r="B78" s="295"/>
      <c r="C78" s="265"/>
      <c r="D78" s="291"/>
      <c r="E78" s="291"/>
      <c r="F78" s="422">
        <f t="shared" si="3"/>
        <v>0</v>
      </c>
      <c r="G78" s="425"/>
      <c r="H78" s="437"/>
    </row>
    <row r="79" spans="1:8" ht="18.75">
      <c r="A79" s="83"/>
      <c r="B79" s="296" t="s">
        <v>84</v>
      </c>
      <c r="C79" s="297">
        <v>15</v>
      </c>
      <c r="D79" s="297">
        <v>15</v>
      </c>
      <c r="E79" s="297"/>
      <c r="F79" s="297">
        <f t="shared" si="3"/>
        <v>15</v>
      </c>
      <c r="G79" s="425"/>
      <c r="H79" s="437"/>
    </row>
    <row r="80" spans="1:8" ht="18.75">
      <c r="A80" s="83"/>
      <c r="B80" s="296" t="s">
        <v>85</v>
      </c>
      <c r="C80" s="297">
        <v>0</v>
      </c>
      <c r="D80" s="297">
        <v>0</v>
      </c>
      <c r="E80" s="297"/>
      <c r="F80" s="297">
        <v>0</v>
      </c>
      <c r="G80" s="425"/>
      <c r="H80" s="437"/>
    </row>
    <row r="83" spans="2:3" ht="18">
      <c r="B83" s="290" t="s">
        <v>229</v>
      </c>
      <c r="C83" s="246" t="s">
        <v>2</v>
      </c>
    </row>
    <row r="84" spans="1:2" ht="36">
      <c r="A84" s="246" t="s">
        <v>230</v>
      </c>
      <c r="B84" s="290"/>
    </row>
    <row r="85" spans="1:3" ht="18">
      <c r="A85" s="246">
        <v>16</v>
      </c>
      <c r="B85" s="246" t="s">
        <v>264</v>
      </c>
      <c r="C85" s="246">
        <f>16*6000*12/1000</f>
        <v>1152</v>
      </c>
    </row>
    <row r="86" spans="2:3" ht="18">
      <c r="B86" s="246" t="s">
        <v>258</v>
      </c>
      <c r="C86" s="298">
        <f>C85*0.3422</f>
        <v>394.2144</v>
      </c>
    </row>
    <row r="88" spans="2:3" ht="18">
      <c r="B88" s="301" t="s">
        <v>210</v>
      </c>
      <c r="C88" s="303">
        <f>SUM(C85:C87)</f>
        <v>1546.2144</v>
      </c>
    </row>
  </sheetData>
  <sheetProtection selectLockedCells="1" selectUnlockedCells="1"/>
  <mergeCells count="2">
    <mergeCell ref="C6:H6"/>
    <mergeCell ref="C48:H48"/>
  </mergeCells>
  <printOptions/>
  <pageMargins left="0.75" right="0.75" top="1" bottom="1" header="0.5118055555555555" footer="0.5118055555555555"/>
  <pageSetup horizontalDpi="300" verticalDpi="300" orientation="portrait" paperSize="9" scale="49" r:id="rId1"/>
  <rowBreaks count="1" manualBreakCount="1">
    <brk id="4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90"/>
  <sheetViews>
    <sheetView view="pageBreakPreview" zoomScale="50" zoomScaleNormal="65" zoomScaleSheetLayoutView="50" zoomScalePageLayoutView="0" workbookViewId="0" topLeftCell="A40">
      <selection activeCell="E46" sqref="E46"/>
    </sheetView>
  </sheetViews>
  <sheetFormatPr defaultColWidth="9.140625" defaultRowHeight="12.75"/>
  <cols>
    <col min="1" max="1" width="11.7109375" style="246" customWidth="1"/>
    <col min="2" max="2" width="61.7109375" style="246" customWidth="1"/>
    <col min="3" max="3" width="21.421875" style="246" customWidth="1"/>
    <col min="4" max="4" width="15.00390625" style="246" customWidth="1"/>
    <col min="5" max="5" width="16.28125" style="246" customWidth="1"/>
    <col min="6" max="6" width="20.8515625" style="246" customWidth="1"/>
    <col min="7" max="7" width="15.57421875" style="246" customWidth="1"/>
    <col min="8" max="8" width="19.421875" style="246" customWidth="1"/>
    <col min="9" max="16384" width="9.140625" style="246" customWidth="1"/>
  </cols>
  <sheetData>
    <row r="1" spans="1:3" s="305" customFormat="1" ht="21" customHeight="1">
      <c r="A1" s="248"/>
      <c r="B1" s="304"/>
      <c r="C1" s="249" t="s">
        <v>357</v>
      </c>
    </row>
    <row r="2" spans="1:3" s="308" customFormat="1" ht="25.5" customHeight="1">
      <c r="A2" s="251"/>
      <c r="B2" s="252" t="s">
        <v>254</v>
      </c>
      <c r="C2" s="306" t="s">
        <v>265</v>
      </c>
    </row>
    <row r="3" spans="1:3" s="308" customFormat="1" ht="18">
      <c r="A3" s="254"/>
      <c r="B3" s="252" t="s">
        <v>266</v>
      </c>
      <c r="C3" s="309"/>
    </row>
    <row r="4" spans="1:3" s="308" customFormat="1" ht="15.75" customHeight="1">
      <c r="A4" s="256"/>
      <c r="B4" s="256"/>
      <c r="C4" s="257" t="s">
        <v>110</v>
      </c>
    </row>
    <row r="5" spans="1:7" ht="36">
      <c r="A5" s="251"/>
      <c r="B5" s="258" t="s">
        <v>217</v>
      </c>
      <c r="C5" s="258" t="s">
        <v>218</v>
      </c>
      <c r="G5" s="307"/>
    </row>
    <row r="6" spans="1:8" s="310" customFormat="1" ht="19.5" customHeight="1">
      <c r="A6" s="251"/>
      <c r="B6" s="251"/>
      <c r="C6" s="471" t="s">
        <v>362</v>
      </c>
      <c r="D6" s="472"/>
      <c r="E6" s="472"/>
      <c r="F6" s="472"/>
      <c r="G6" s="472"/>
      <c r="H6" s="474"/>
    </row>
    <row r="7" spans="1:8" s="310" customFormat="1" ht="91.5" customHeight="1">
      <c r="A7" s="260"/>
      <c r="B7" s="260" t="s">
        <v>219</v>
      </c>
      <c r="C7" s="379" t="s">
        <v>361</v>
      </c>
      <c r="D7" s="379" t="s">
        <v>397</v>
      </c>
      <c r="E7" s="379" t="s">
        <v>360</v>
      </c>
      <c r="F7" s="379" t="s">
        <v>363</v>
      </c>
      <c r="G7" s="379" t="s">
        <v>395</v>
      </c>
      <c r="H7" s="379" t="s">
        <v>398</v>
      </c>
    </row>
    <row r="8" spans="1:8" s="307" customFormat="1" ht="18.75">
      <c r="A8" s="251" t="s">
        <v>7</v>
      </c>
      <c r="B8" s="261" t="s">
        <v>8</v>
      </c>
      <c r="C8" s="262">
        <f>C9+C10+C11+C12+C13+C14</f>
        <v>0</v>
      </c>
      <c r="D8" s="262">
        <f>D9+D10+D11+D12+D13+D14</f>
        <v>0</v>
      </c>
      <c r="E8" s="262">
        <f>E9+E10+E11+E12+E13+E14</f>
        <v>0</v>
      </c>
      <c r="F8" s="262">
        <f aca="true" t="shared" si="0" ref="F8:F26">C8+D8+E8</f>
        <v>0</v>
      </c>
      <c r="G8" s="312"/>
      <c r="H8" s="312"/>
    </row>
    <row r="9" spans="1:8" s="307" customFormat="1" ht="36">
      <c r="A9" s="264"/>
      <c r="B9" s="265" t="s">
        <v>9</v>
      </c>
      <c r="C9" s="262"/>
      <c r="D9" s="291"/>
      <c r="E9" s="291"/>
      <c r="F9" s="262">
        <f t="shared" si="0"/>
        <v>0</v>
      </c>
      <c r="G9" s="312"/>
      <c r="H9" s="291"/>
    </row>
    <row r="10" spans="1:8" s="307" customFormat="1" ht="36">
      <c r="A10" s="64"/>
      <c r="B10" s="265" t="s">
        <v>10</v>
      </c>
      <c r="C10" s="268"/>
      <c r="D10" s="291"/>
      <c r="E10" s="291"/>
      <c r="F10" s="262">
        <f t="shared" si="0"/>
        <v>0</v>
      </c>
      <c r="G10" s="291"/>
      <c r="H10" s="291"/>
    </row>
    <row r="11" spans="1:8" s="307" customFormat="1" ht="36">
      <c r="A11" s="64"/>
      <c r="B11" s="265" t="s">
        <v>11</v>
      </c>
      <c r="C11" s="268"/>
      <c r="D11" s="291"/>
      <c r="E11" s="291"/>
      <c r="F11" s="262">
        <f t="shared" si="0"/>
        <v>0</v>
      </c>
      <c r="G11" s="291"/>
      <c r="H11" s="291"/>
    </row>
    <row r="12" spans="1:8" s="307" customFormat="1" ht="36">
      <c r="A12" s="64"/>
      <c r="B12" s="265" t="s">
        <v>12</v>
      </c>
      <c r="C12" s="268"/>
      <c r="D12" s="291"/>
      <c r="E12" s="291"/>
      <c r="F12" s="262">
        <f t="shared" si="0"/>
        <v>0</v>
      </c>
      <c r="G12" s="291"/>
      <c r="H12" s="291"/>
    </row>
    <row r="13" spans="1:8" s="307" customFormat="1" ht="18.75">
      <c r="A13" s="64"/>
      <c r="B13" s="265" t="s">
        <v>86</v>
      </c>
      <c r="C13" s="268"/>
      <c r="D13" s="311"/>
      <c r="E13" s="311"/>
      <c r="F13" s="262">
        <f t="shared" si="0"/>
        <v>0</v>
      </c>
      <c r="G13" s="311"/>
      <c r="H13" s="311"/>
    </row>
    <row r="14" spans="1:8" s="307" customFormat="1" ht="18.75">
      <c r="A14" s="64"/>
      <c r="B14" s="265" t="s">
        <v>14</v>
      </c>
      <c r="C14" s="268"/>
      <c r="D14" s="312"/>
      <c r="E14" s="312"/>
      <c r="F14" s="262">
        <f t="shared" si="0"/>
        <v>0</v>
      </c>
      <c r="G14" s="312"/>
      <c r="H14" s="312"/>
    </row>
    <row r="15" spans="1:8" ht="36">
      <c r="A15" s="64" t="s">
        <v>15</v>
      </c>
      <c r="B15" s="261" t="s">
        <v>16</v>
      </c>
      <c r="C15" s="268">
        <f>C16+C17+C18+C19</f>
        <v>0</v>
      </c>
      <c r="D15" s="268">
        <f>D16+D17+D18+D19</f>
        <v>0</v>
      </c>
      <c r="E15" s="268">
        <f>E16+E17+E18+E19</f>
        <v>0</v>
      </c>
      <c r="F15" s="262">
        <f t="shared" si="0"/>
        <v>0</v>
      </c>
      <c r="G15" s="291"/>
      <c r="H15" s="291"/>
    </row>
    <row r="16" spans="1:8" ht="36">
      <c r="A16" s="264"/>
      <c r="B16" s="265" t="s">
        <v>17</v>
      </c>
      <c r="C16" s="262"/>
      <c r="D16" s="291"/>
      <c r="E16" s="291"/>
      <c r="F16" s="262">
        <f t="shared" si="0"/>
        <v>0</v>
      </c>
      <c r="G16" s="291"/>
      <c r="H16" s="291"/>
    </row>
    <row r="17" spans="1:8" s="307" customFormat="1" ht="36">
      <c r="A17" s="64"/>
      <c r="B17" s="265" t="s">
        <v>105</v>
      </c>
      <c r="C17" s="268"/>
      <c r="D17" s="291"/>
      <c r="E17" s="291"/>
      <c r="F17" s="262">
        <f t="shared" si="0"/>
        <v>0</v>
      </c>
      <c r="G17" s="291"/>
      <c r="H17" s="291"/>
    </row>
    <row r="18" spans="1:8" ht="36">
      <c r="A18" s="64"/>
      <c r="B18" s="265" t="s">
        <v>19</v>
      </c>
      <c r="C18" s="268"/>
      <c r="D18" s="291"/>
      <c r="E18" s="291"/>
      <c r="F18" s="262">
        <f t="shared" si="0"/>
        <v>0</v>
      </c>
      <c r="G18" s="291"/>
      <c r="H18" s="291"/>
    </row>
    <row r="19" spans="1:8" ht="36">
      <c r="A19" s="64"/>
      <c r="B19" s="265" t="s">
        <v>20</v>
      </c>
      <c r="C19" s="268"/>
      <c r="D19" s="312"/>
      <c r="E19" s="312"/>
      <c r="F19" s="262">
        <f t="shared" si="0"/>
        <v>0</v>
      </c>
      <c r="G19" s="312"/>
      <c r="H19" s="312"/>
    </row>
    <row r="20" spans="1:8" ht="36">
      <c r="A20" s="64" t="s">
        <v>21</v>
      </c>
      <c r="B20" s="271" t="s">
        <v>22</v>
      </c>
      <c r="C20" s="268">
        <f>C21</f>
        <v>0</v>
      </c>
      <c r="D20" s="268">
        <f>D21</f>
        <v>0</v>
      </c>
      <c r="E20" s="268">
        <f>E21</f>
        <v>0</v>
      </c>
      <c r="F20" s="262">
        <f t="shared" si="0"/>
        <v>0</v>
      </c>
      <c r="G20" s="312"/>
      <c r="H20" s="312"/>
    </row>
    <row r="21" spans="1:8" ht="36">
      <c r="A21" s="64"/>
      <c r="B21" s="272" t="s">
        <v>246</v>
      </c>
      <c r="C21" s="268"/>
      <c r="D21" s="291"/>
      <c r="E21" s="291"/>
      <c r="F21" s="262">
        <f t="shared" si="0"/>
        <v>0</v>
      </c>
      <c r="G21" s="291"/>
      <c r="H21" s="291"/>
    </row>
    <row r="22" spans="1:8" ht="18">
      <c r="A22" s="275" t="s">
        <v>24</v>
      </c>
      <c r="B22" s="271" t="s">
        <v>25</v>
      </c>
      <c r="C22" s="268">
        <f>C23+C24+C25+C26</f>
        <v>0</v>
      </c>
      <c r="D22" s="268">
        <f>D23+D24+D25+D26</f>
        <v>0</v>
      </c>
      <c r="E22" s="268">
        <f>E23+E24+E25+E26</f>
        <v>0</v>
      </c>
      <c r="F22" s="262">
        <f t="shared" si="0"/>
        <v>0</v>
      </c>
      <c r="G22" s="291"/>
      <c r="H22" s="291"/>
    </row>
    <row r="23" spans="1:8" s="307" customFormat="1" ht="36">
      <c r="A23" s="64"/>
      <c r="B23" s="276" t="s">
        <v>26</v>
      </c>
      <c r="C23" s="268"/>
      <c r="D23" s="291"/>
      <c r="E23" s="291"/>
      <c r="F23" s="262">
        <f t="shared" si="0"/>
        <v>0</v>
      </c>
      <c r="G23" s="291"/>
      <c r="H23" s="291"/>
    </row>
    <row r="24" spans="1:8" s="307" customFormat="1" ht="18.75">
      <c r="A24" s="65"/>
      <c r="B24" s="276" t="s">
        <v>27</v>
      </c>
      <c r="C24" s="268"/>
      <c r="D24" s="291"/>
      <c r="E24" s="291"/>
      <c r="F24" s="262">
        <f t="shared" si="0"/>
        <v>0</v>
      </c>
      <c r="G24" s="291"/>
      <c r="H24" s="291"/>
    </row>
    <row r="25" spans="1:8" s="307" customFormat="1" ht="18.75">
      <c r="A25" s="64"/>
      <c r="B25" s="276" t="s">
        <v>28</v>
      </c>
      <c r="C25" s="270"/>
      <c r="D25" s="311"/>
      <c r="E25" s="311"/>
      <c r="F25" s="262">
        <f t="shared" si="0"/>
        <v>0</v>
      </c>
      <c r="G25" s="311"/>
      <c r="H25" s="311"/>
    </row>
    <row r="26" spans="1:8" s="307" customFormat="1" ht="90">
      <c r="A26" s="264"/>
      <c r="B26" s="276" t="s">
        <v>29</v>
      </c>
      <c r="C26" s="262"/>
      <c r="D26" s="312"/>
      <c r="E26" s="312"/>
      <c r="F26" s="262">
        <f t="shared" si="0"/>
        <v>0</v>
      </c>
      <c r="G26" s="312"/>
      <c r="H26" s="312"/>
    </row>
    <row r="27" spans="1:8" ht="18.75">
      <c r="A27" s="275" t="s">
        <v>30</v>
      </c>
      <c r="B27" s="278" t="s">
        <v>31</v>
      </c>
      <c r="C27" s="270">
        <f>C28+C29+C30+C31+C32</f>
        <v>3500</v>
      </c>
      <c r="D27" s="270">
        <f>D28+D29+D30+D31+D32</f>
        <v>3500</v>
      </c>
      <c r="E27" s="270">
        <f>E28+E29+E30+E31+E32</f>
        <v>0</v>
      </c>
      <c r="F27" s="270">
        <f>F28+F29+F30+F31+F32</f>
        <v>3500</v>
      </c>
      <c r="G27" s="270">
        <f>G28+G29+G30+G31+G32</f>
        <v>3861</v>
      </c>
      <c r="H27" s="441">
        <f>G27/F27</f>
        <v>1.1031428571428572</v>
      </c>
    </row>
    <row r="28" spans="1:8" ht="54">
      <c r="A28" s="64"/>
      <c r="B28" s="265" t="s">
        <v>32</v>
      </c>
      <c r="C28" s="268">
        <v>3500</v>
      </c>
      <c r="D28" s="268">
        <v>3500</v>
      </c>
      <c r="E28" s="291"/>
      <c r="F28" s="262">
        <f aca="true" t="shared" si="1" ref="F28:F44">D28+E28</f>
        <v>3500</v>
      </c>
      <c r="G28" s="291">
        <v>3861</v>
      </c>
      <c r="H28" s="437">
        <f>G28/F28</f>
        <v>1.1031428571428572</v>
      </c>
    </row>
    <row r="29" spans="1:8" ht="15" customHeight="1">
      <c r="A29" s="64"/>
      <c r="B29" s="265" t="s">
        <v>33</v>
      </c>
      <c r="C29" s="268"/>
      <c r="D29" s="291"/>
      <c r="E29" s="291"/>
      <c r="F29" s="262">
        <f t="shared" si="1"/>
        <v>0</v>
      </c>
      <c r="G29" s="291"/>
      <c r="H29" s="437"/>
    </row>
    <row r="30" spans="1:8" ht="18.75">
      <c r="A30" s="64"/>
      <c r="B30" s="265" t="s">
        <v>34</v>
      </c>
      <c r="C30" s="268"/>
      <c r="D30" s="291"/>
      <c r="E30" s="291"/>
      <c r="F30" s="262">
        <f t="shared" si="1"/>
        <v>0</v>
      </c>
      <c r="G30" s="291"/>
      <c r="H30" s="437"/>
    </row>
    <row r="31" spans="1:8" s="310" customFormat="1" ht="16.5" customHeight="1">
      <c r="A31" s="64"/>
      <c r="B31" s="265" t="s">
        <v>35</v>
      </c>
      <c r="C31" s="268"/>
      <c r="D31" s="312"/>
      <c r="E31" s="312"/>
      <c r="F31" s="262">
        <f t="shared" si="1"/>
        <v>0</v>
      </c>
      <c r="G31" s="312"/>
      <c r="H31" s="437"/>
    </row>
    <row r="32" spans="1:8" s="307" customFormat="1" ht="18.75">
      <c r="A32" s="64"/>
      <c r="B32" s="265" t="s">
        <v>36</v>
      </c>
      <c r="C32" s="268"/>
      <c r="D32" s="312"/>
      <c r="E32" s="312"/>
      <c r="F32" s="262">
        <f t="shared" si="1"/>
        <v>0</v>
      </c>
      <c r="G32" s="312"/>
      <c r="H32" s="437"/>
    </row>
    <row r="33" spans="1:8" ht="18.75">
      <c r="A33" s="275" t="s">
        <v>37</v>
      </c>
      <c r="B33" s="271" t="s">
        <v>38</v>
      </c>
      <c r="C33" s="268">
        <f>C34+C35</f>
        <v>0</v>
      </c>
      <c r="D33" s="268">
        <f>D34+D35</f>
        <v>0</v>
      </c>
      <c r="E33" s="268">
        <f>E34+E35</f>
        <v>0</v>
      </c>
      <c r="F33" s="262">
        <f t="shared" si="1"/>
        <v>0</v>
      </c>
      <c r="G33" s="291"/>
      <c r="H33" s="437"/>
    </row>
    <row r="34" spans="1:8" ht="18.75">
      <c r="A34" s="65"/>
      <c r="B34" s="265" t="s">
        <v>39</v>
      </c>
      <c r="C34" s="268"/>
      <c r="D34" s="291"/>
      <c r="E34" s="291"/>
      <c r="F34" s="262">
        <f t="shared" si="1"/>
        <v>0</v>
      </c>
      <c r="G34" s="291"/>
      <c r="H34" s="437"/>
    </row>
    <row r="35" spans="1:8" ht="18.75">
      <c r="A35" s="66"/>
      <c r="B35" s="265" t="s">
        <v>107</v>
      </c>
      <c r="C35" s="262"/>
      <c r="D35" s="291"/>
      <c r="E35" s="291"/>
      <c r="F35" s="262">
        <f t="shared" si="1"/>
        <v>0</v>
      </c>
      <c r="G35" s="291"/>
      <c r="H35" s="437"/>
    </row>
    <row r="36" spans="1:8" ht="18.75">
      <c r="A36" s="279" t="s">
        <v>40</v>
      </c>
      <c r="B36" s="271" t="s">
        <v>41</v>
      </c>
      <c r="C36" s="266">
        <f>C37</f>
        <v>0</v>
      </c>
      <c r="D36" s="266">
        <f>D37</f>
        <v>0</v>
      </c>
      <c r="E36" s="266">
        <f>E37</f>
        <v>50</v>
      </c>
      <c r="F36" s="262">
        <f t="shared" si="1"/>
        <v>50</v>
      </c>
      <c r="G36" s="440">
        <v>50</v>
      </c>
      <c r="H36" s="437"/>
    </row>
    <row r="37" spans="1:8" ht="18.75">
      <c r="A37" s="68"/>
      <c r="B37" s="265" t="s">
        <v>221</v>
      </c>
      <c r="C37" s="268"/>
      <c r="D37" s="311"/>
      <c r="E37" s="311">
        <v>50</v>
      </c>
      <c r="F37" s="262">
        <f t="shared" si="1"/>
        <v>50</v>
      </c>
      <c r="G37" s="443">
        <v>50</v>
      </c>
      <c r="H37" s="437"/>
    </row>
    <row r="38" spans="1:8" ht="18.75">
      <c r="A38" s="279" t="s">
        <v>43</v>
      </c>
      <c r="B38" s="271" t="s">
        <v>44</v>
      </c>
      <c r="C38" s="268">
        <f>C39+C40</f>
        <v>0</v>
      </c>
      <c r="D38" s="268">
        <f>D39+D40</f>
        <v>0</v>
      </c>
      <c r="E38" s="268">
        <f>E39+E40</f>
        <v>0</v>
      </c>
      <c r="F38" s="262">
        <f t="shared" si="1"/>
        <v>0</v>
      </c>
      <c r="G38" s="312"/>
      <c r="H38" s="437"/>
    </row>
    <row r="39" spans="1:8" s="307" customFormat="1" ht="54">
      <c r="A39" s="68"/>
      <c r="B39" s="276" t="s">
        <v>247</v>
      </c>
      <c r="C39" s="268"/>
      <c r="D39" s="291"/>
      <c r="E39" s="291"/>
      <c r="F39" s="262">
        <f t="shared" si="1"/>
        <v>0</v>
      </c>
      <c r="G39" s="291"/>
      <c r="H39" s="437"/>
    </row>
    <row r="40" spans="1:8" ht="36">
      <c r="A40" s="68"/>
      <c r="B40" s="276" t="s">
        <v>248</v>
      </c>
      <c r="C40" s="268"/>
      <c r="D40" s="291"/>
      <c r="E40" s="291"/>
      <c r="F40" s="262">
        <f t="shared" si="1"/>
        <v>0</v>
      </c>
      <c r="G40" s="291"/>
      <c r="H40" s="437"/>
    </row>
    <row r="41" spans="1:8" ht="45.75" customHeight="1">
      <c r="A41" s="68"/>
      <c r="B41" s="271" t="s">
        <v>47</v>
      </c>
      <c r="C41" s="270">
        <f>C8+C15+C20+C22+C27+C33+C36+C38</f>
        <v>3500</v>
      </c>
      <c r="D41" s="270">
        <f>D8+D15+D20+D22+D27+D33+D36+D38</f>
        <v>3500</v>
      </c>
      <c r="E41" s="270">
        <f>E8+E15+E20+E22+E27+E33+E36+E38</f>
        <v>50</v>
      </c>
      <c r="F41" s="270">
        <f>F8+F15+F20+F22+F27+F33+F36+F38</f>
        <v>3550</v>
      </c>
      <c r="G41" s="270">
        <v>3971</v>
      </c>
      <c r="H41" s="441">
        <f>G41/F41</f>
        <v>1.1185915492957748</v>
      </c>
    </row>
    <row r="42" spans="1:8" ht="18.75">
      <c r="A42" s="279" t="s">
        <v>48</v>
      </c>
      <c r="B42" s="271" t="s">
        <v>249</v>
      </c>
      <c r="C42" s="262">
        <f>C77-C41-C43</f>
        <v>43694</v>
      </c>
      <c r="D42" s="262">
        <v>43940</v>
      </c>
      <c r="E42" s="262">
        <f>E77-E41</f>
        <v>305</v>
      </c>
      <c r="F42" s="262">
        <f t="shared" si="1"/>
        <v>44245</v>
      </c>
      <c r="G42" s="262">
        <v>18898</v>
      </c>
      <c r="H42" s="441">
        <f>G42/F42</f>
        <v>0.42712170866764604</v>
      </c>
    </row>
    <row r="43" spans="1:8" ht="36">
      <c r="A43" s="279" t="s">
        <v>50</v>
      </c>
      <c r="B43" s="271" t="s">
        <v>51</v>
      </c>
      <c r="C43" s="268"/>
      <c r="D43" s="312">
        <v>1194</v>
      </c>
      <c r="E43" s="312"/>
      <c r="F43" s="262">
        <f t="shared" si="1"/>
        <v>1194</v>
      </c>
      <c r="G43" s="291">
        <v>1194</v>
      </c>
      <c r="H43" s="437">
        <f>G43/F43</f>
        <v>1</v>
      </c>
    </row>
    <row r="44" spans="1:8" ht="36">
      <c r="A44" s="279" t="s">
        <v>52</v>
      </c>
      <c r="B44" s="271" t="s">
        <v>53</v>
      </c>
      <c r="C44" s="268"/>
      <c r="D44" s="312"/>
      <c r="E44" s="312"/>
      <c r="F44" s="262">
        <f t="shared" si="1"/>
        <v>0</v>
      </c>
      <c r="G44" s="291"/>
      <c r="H44" s="437"/>
    </row>
    <row r="45" spans="1:8" ht="18.75">
      <c r="A45" s="68"/>
      <c r="B45" s="271" t="s">
        <v>54</v>
      </c>
      <c r="C45" s="270">
        <f>C42+C43+C44</f>
        <v>43694</v>
      </c>
      <c r="D45" s="270">
        <f>D42+D43+D44</f>
        <v>45134</v>
      </c>
      <c r="E45" s="270">
        <f>E42+E43+E44</f>
        <v>305</v>
      </c>
      <c r="F45" s="270">
        <f>F42+F43+F44</f>
        <v>45439</v>
      </c>
      <c r="G45" s="270">
        <f>G42+G43+G44</f>
        <v>20092</v>
      </c>
      <c r="H45" s="441">
        <f>G45/F45</f>
        <v>0.44217522392658287</v>
      </c>
    </row>
    <row r="46" spans="1:8" ht="28.5" customHeight="1">
      <c r="A46" s="68"/>
      <c r="B46" s="261" t="s">
        <v>57</v>
      </c>
      <c r="C46" s="270">
        <f>C41+C45</f>
        <v>47194</v>
      </c>
      <c r="D46" s="270">
        <f>D41+D45</f>
        <v>48634</v>
      </c>
      <c r="E46" s="270">
        <f>E41+E45</f>
        <v>355</v>
      </c>
      <c r="F46" s="270">
        <f>F41+F45</f>
        <v>48989</v>
      </c>
      <c r="G46" s="270">
        <f>G41+G45</f>
        <v>24063</v>
      </c>
      <c r="H46" s="441">
        <f>G46/F46</f>
        <v>0.4911919002224989</v>
      </c>
    </row>
    <row r="47" spans="1:3" ht="14.25" customHeight="1">
      <c r="A47" s="281"/>
      <c r="B47" s="282"/>
      <c r="C47" s="283"/>
    </row>
    <row r="48" spans="1:8" ht="20.25">
      <c r="A48" s="81"/>
      <c r="B48" s="81"/>
      <c r="C48" s="471" t="s">
        <v>362</v>
      </c>
      <c r="D48" s="472"/>
      <c r="E48" s="472"/>
      <c r="F48" s="472"/>
      <c r="G48" s="472"/>
      <c r="H48" s="474"/>
    </row>
    <row r="49" spans="1:8" ht="76.5" customHeight="1">
      <c r="A49" s="284"/>
      <c r="B49" s="284" t="s">
        <v>225</v>
      </c>
      <c r="C49" s="379" t="s">
        <v>361</v>
      </c>
      <c r="D49" s="379" t="s">
        <v>397</v>
      </c>
      <c r="E49" s="379" t="s">
        <v>360</v>
      </c>
      <c r="F49" s="379" t="s">
        <v>363</v>
      </c>
      <c r="G49" s="379" t="s">
        <v>395</v>
      </c>
      <c r="H49" s="379" t="s">
        <v>398</v>
      </c>
    </row>
    <row r="50" spans="1:8" ht="18.75">
      <c r="A50" s="66" t="s">
        <v>7</v>
      </c>
      <c r="B50" s="285" t="s">
        <v>59</v>
      </c>
      <c r="C50" s="262">
        <f>C51+C52+C53+C56+C57</f>
        <v>47194</v>
      </c>
      <c r="D50" s="262">
        <f>D51+D52+D53+D56+D57</f>
        <v>48634</v>
      </c>
      <c r="E50" s="262">
        <f>E51+E52+E53+E56+E57</f>
        <v>355</v>
      </c>
      <c r="F50" s="262">
        <f>F51+F52+F53+F56+F57</f>
        <v>48989</v>
      </c>
      <c r="G50" s="262">
        <f>G51+G52+G53+G56+G57</f>
        <v>22437</v>
      </c>
      <c r="H50" s="441">
        <f>G50/F50</f>
        <v>0.4580007756843373</v>
      </c>
    </row>
    <row r="51" spans="1:8" ht="18.75">
      <c r="A51" s="74"/>
      <c r="B51" s="286" t="s">
        <v>60</v>
      </c>
      <c r="C51" s="268">
        <v>22071</v>
      </c>
      <c r="D51" s="268">
        <v>23270</v>
      </c>
      <c r="E51" s="291">
        <f>233+22</f>
        <v>255</v>
      </c>
      <c r="F51" s="262">
        <f>D51+E51</f>
        <v>23525</v>
      </c>
      <c r="G51" s="268">
        <v>11116</v>
      </c>
      <c r="H51" s="437">
        <f>G51/F51</f>
        <v>0.4725185972369819</v>
      </c>
    </row>
    <row r="52" spans="1:8" ht="36">
      <c r="A52" s="68"/>
      <c r="B52" s="287" t="s">
        <v>61</v>
      </c>
      <c r="C52" s="268">
        <v>4445</v>
      </c>
      <c r="D52" s="268">
        <v>4678</v>
      </c>
      <c r="E52" s="291">
        <f>46+4</f>
        <v>50</v>
      </c>
      <c r="F52" s="262">
        <f>D52+E52</f>
        <v>4728</v>
      </c>
      <c r="G52" s="268">
        <v>2822</v>
      </c>
      <c r="H52" s="437">
        <f>G52/F52</f>
        <v>0.5968697123519459</v>
      </c>
    </row>
    <row r="53" spans="1:8" ht="18.75">
      <c r="A53" s="68"/>
      <c r="B53" s="287" t="s">
        <v>62</v>
      </c>
      <c r="C53" s="268">
        <v>20678</v>
      </c>
      <c r="D53" s="268">
        <v>20686</v>
      </c>
      <c r="E53" s="291">
        <v>50</v>
      </c>
      <c r="F53" s="262">
        <f>D53+E53</f>
        <v>20736</v>
      </c>
      <c r="G53" s="268">
        <v>8499</v>
      </c>
      <c r="H53" s="437">
        <f>G53/F53</f>
        <v>0.40986689814814814</v>
      </c>
    </row>
    <row r="54" spans="1:8" ht="54">
      <c r="A54" s="68"/>
      <c r="B54" s="287" t="s">
        <v>250</v>
      </c>
      <c r="C54" s="268"/>
      <c r="D54" s="291"/>
      <c r="E54" s="291"/>
      <c r="F54" s="262">
        <f aca="true" t="shared" si="2" ref="F54:F71">C54+D54+E54</f>
        <v>0</v>
      </c>
      <c r="G54" s="291"/>
      <c r="H54" s="437"/>
    </row>
    <row r="55" spans="1:8" ht="18.75">
      <c r="A55" s="68"/>
      <c r="B55" s="287" t="s">
        <v>64</v>
      </c>
      <c r="C55" s="268"/>
      <c r="D55" s="291"/>
      <c r="E55" s="291"/>
      <c r="F55" s="262">
        <f t="shared" si="2"/>
        <v>0</v>
      </c>
      <c r="G55" s="291"/>
      <c r="H55" s="437"/>
    </row>
    <row r="56" spans="1:8" ht="18.75">
      <c r="A56" s="68"/>
      <c r="B56" s="287" t="s">
        <v>65</v>
      </c>
      <c r="C56" s="268"/>
      <c r="D56" s="291"/>
      <c r="E56" s="291"/>
      <c r="F56" s="262">
        <f t="shared" si="2"/>
        <v>0</v>
      </c>
      <c r="G56" s="291"/>
      <c r="H56" s="437"/>
    </row>
    <row r="57" spans="1:8" ht="18.75">
      <c r="A57" s="68"/>
      <c r="B57" s="287" t="s">
        <v>66</v>
      </c>
      <c r="C57" s="268">
        <f>SUM(C58:C61)</f>
        <v>0</v>
      </c>
      <c r="D57" s="291"/>
      <c r="E57" s="291"/>
      <c r="F57" s="262">
        <f t="shared" si="2"/>
        <v>0</v>
      </c>
      <c r="G57" s="291"/>
      <c r="H57" s="437"/>
    </row>
    <row r="58" spans="1:8" ht="18.75">
      <c r="A58" s="68"/>
      <c r="B58" s="287" t="s">
        <v>67</v>
      </c>
      <c r="C58" s="268"/>
      <c r="D58" s="291"/>
      <c r="E58" s="291"/>
      <c r="F58" s="262">
        <f t="shared" si="2"/>
        <v>0</v>
      </c>
      <c r="G58" s="291"/>
      <c r="H58" s="437"/>
    </row>
    <row r="59" spans="1:8" ht="36">
      <c r="A59" s="68"/>
      <c r="B59" s="287" t="s">
        <v>68</v>
      </c>
      <c r="C59" s="268"/>
      <c r="D59" s="291"/>
      <c r="E59" s="291"/>
      <c r="F59" s="262">
        <f t="shared" si="2"/>
        <v>0</v>
      </c>
      <c r="G59" s="291"/>
      <c r="H59" s="437"/>
    </row>
    <row r="60" spans="1:8" ht="36">
      <c r="A60" s="68"/>
      <c r="B60" s="287" t="s">
        <v>69</v>
      </c>
      <c r="C60" s="268"/>
      <c r="D60" s="291"/>
      <c r="E60" s="291"/>
      <c r="F60" s="262">
        <f t="shared" si="2"/>
        <v>0</v>
      </c>
      <c r="G60" s="291"/>
      <c r="H60" s="437"/>
    </row>
    <row r="61" spans="1:8" ht="18.75">
      <c r="A61" s="68"/>
      <c r="B61" s="288"/>
      <c r="C61" s="268"/>
      <c r="D61" s="291"/>
      <c r="E61" s="291"/>
      <c r="F61" s="262">
        <f t="shared" si="2"/>
        <v>0</v>
      </c>
      <c r="G61" s="291"/>
      <c r="H61" s="437"/>
    </row>
    <row r="62" spans="1:8" ht="18.75">
      <c r="A62" s="66" t="s">
        <v>15</v>
      </c>
      <c r="B62" s="285" t="s">
        <v>70</v>
      </c>
      <c r="C62" s="262">
        <f>C63+C66+C67+C70</f>
        <v>0</v>
      </c>
      <c r="D62" s="262">
        <f>D63+D66+D67+D70</f>
        <v>0</v>
      </c>
      <c r="E62" s="262">
        <f>E63+E66+E67+E70</f>
        <v>0</v>
      </c>
      <c r="F62" s="262">
        <f t="shared" si="2"/>
        <v>0</v>
      </c>
      <c r="G62" s="291"/>
      <c r="H62" s="437"/>
    </row>
    <row r="63" spans="1:8" ht="18.75">
      <c r="A63" s="74"/>
      <c r="B63" s="123" t="s">
        <v>71</v>
      </c>
      <c r="C63" s="268"/>
      <c r="D63" s="291"/>
      <c r="E63" s="291"/>
      <c r="F63" s="262">
        <f t="shared" si="2"/>
        <v>0</v>
      </c>
      <c r="G63" s="291"/>
      <c r="H63" s="437"/>
    </row>
    <row r="64" spans="1:8" ht="54">
      <c r="A64" s="74"/>
      <c r="B64" s="287" t="s">
        <v>226</v>
      </c>
      <c r="C64" s="268"/>
      <c r="D64" s="291"/>
      <c r="E64" s="291"/>
      <c r="F64" s="262">
        <f t="shared" si="2"/>
        <v>0</v>
      </c>
      <c r="G64" s="291"/>
      <c r="H64" s="437"/>
    </row>
    <row r="65" spans="1:8" ht="54">
      <c r="A65" s="74"/>
      <c r="B65" s="287" t="s">
        <v>227</v>
      </c>
      <c r="C65" s="268"/>
      <c r="D65" s="291"/>
      <c r="E65" s="291"/>
      <c r="F65" s="262">
        <f t="shared" si="2"/>
        <v>0</v>
      </c>
      <c r="G65" s="291"/>
      <c r="H65" s="437"/>
    </row>
    <row r="66" spans="1:8" ht="18.75">
      <c r="A66" s="68"/>
      <c r="B66" s="287" t="s">
        <v>74</v>
      </c>
      <c r="C66" s="268"/>
      <c r="D66" s="291"/>
      <c r="E66" s="291"/>
      <c r="F66" s="262">
        <f t="shared" si="2"/>
        <v>0</v>
      </c>
      <c r="G66" s="291"/>
      <c r="H66" s="437"/>
    </row>
    <row r="67" spans="1:8" ht="18.75">
      <c r="A67" s="68"/>
      <c r="B67" s="287" t="s">
        <v>96</v>
      </c>
      <c r="C67" s="268"/>
      <c r="D67" s="291"/>
      <c r="E67" s="291"/>
      <c r="F67" s="262">
        <f t="shared" si="2"/>
        <v>0</v>
      </c>
      <c r="G67" s="291"/>
      <c r="H67" s="437"/>
    </row>
    <row r="68" spans="1:8" ht="36">
      <c r="A68" s="68"/>
      <c r="B68" s="287" t="s">
        <v>76</v>
      </c>
      <c r="C68" s="268"/>
      <c r="D68" s="291"/>
      <c r="E68" s="291"/>
      <c r="F68" s="262">
        <f t="shared" si="2"/>
        <v>0</v>
      </c>
      <c r="G68" s="291"/>
      <c r="H68" s="437"/>
    </row>
    <row r="69" spans="1:8" ht="36">
      <c r="A69" s="68"/>
      <c r="B69" s="287" t="s">
        <v>77</v>
      </c>
      <c r="C69" s="268"/>
      <c r="D69" s="291"/>
      <c r="E69" s="291"/>
      <c r="F69" s="262">
        <f t="shared" si="2"/>
        <v>0</v>
      </c>
      <c r="G69" s="291"/>
      <c r="H69" s="437"/>
    </row>
    <row r="70" spans="1:8" ht="18.75">
      <c r="A70" s="68"/>
      <c r="B70" s="287" t="s">
        <v>78</v>
      </c>
      <c r="C70" s="268"/>
      <c r="D70" s="291"/>
      <c r="E70" s="291"/>
      <c r="F70" s="262">
        <f t="shared" si="2"/>
        <v>0</v>
      </c>
      <c r="G70" s="291"/>
      <c r="H70" s="437"/>
    </row>
    <row r="71" spans="1:8" ht="18.75">
      <c r="A71" s="85"/>
      <c r="B71" s="131"/>
      <c r="C71" s="129"/>
      <c r="D71" s="291"/>
      <c r="E71" s="291"/>
      <c r="F71" s="262">
        <f t="shared" si="2"/>
        <v>0</v>
      </c>
      <c r="G71" s="291"/>
      <c r="H71" s="437"/>
    </row>
    <row r="72" spans="1:8" ht="18.75">
      <c r="A72" s="66"/>
      <c r="B72" s="292" t="s">
        <v>79</v>
      </c>
      <c r="C72" s="262">
        <f>C50+C62</f>
        <v>47194</v>
      </c>
      <c r="D72" s="262">
        <f>D50+D62</f>
        <v>48634</v>
      </c>
      <c r="E72" s="262">
        <f>E50+E62</f>
        <v>355</v>
      </c>
      <c r="F72" s="262">
        <f>F50+F62</f>
        <v>48989</v>
      </c>
      <c r="G72" s="262">
        <f>G50+G62</f>
        <v>22437</v>
      </c>
      <c r="H72" s="441">
        <f>G72/F72</f>
        <v>0.4580007756843373</v>
      </c>
    </row>
    <row r="73" spans="1:8" ht="18.75">
      <c r="A73" s="66"/>
      <c r="B73" s="292"/>
      <c r="C73" s="293"/>
      <c r="D73" s="291"/>
      <c r="E73" s="291"/>
      <c r="F73" s="262">
        <f aca="true" t="shared" si="3" ref="F73:F80">D73+E73</f>
        <v>0</v>
      </c>
      <c r="G73" s="291"/>
      <c r="H73" s="437"/>
    </row>
    <row r="74" spans="1:8" ht="18.75">
      <c r="A74" s="66" t="s">
        <v>21</v>
      </c>
      <c r="B74" s="285" t="s">
        <v>80</v>
      </c>
      <c r="C74" s="262">
        <f>C75+C76</f>
        <v>0</v>
      </c>
      <c r="D74" s="262">
        <f>D75+D76</f>
        <v>0</v>
      </c>
      <c r="E74" s="262">
        <f>E75+E76</f>
        <v>0</v>
      </c>
      <c r="F74" s="262">
        <f t="shared" si="3"/>
        <v>0</v>
      </c>
      <c r="G74" s="291"/>
      <c r="H74" s="437"/>
    </row>
    <row r="75" spans="1:8" ht="18.75">
      <c r="A75" s="74"/>
      <c r="B75" s="286" t="s">
        <v>251</v>
      </c>
      <c r="C75" s="262"/>
      <c r="D75" s="291"/>
      <c r="E75" s="291"/>
      <c r="F75" s="262">
        <f t="shared" si="3"/>
        <v>0</v>
      </c>
      <c r="G75" s="291"/>
      <c r="H75" s="437"/>
    </row>
    <row r="76" spans="1:8" ht="36">
      <c r="A76" s="68"/>
      <c r="B76" s="286" t="s">
        <v>56</v>
      </c>
      <c r="C76" s="270"/>
      <c r="D76" s="291"/>
      <c r="E76" s="291"/>
      <c r="F76" s="262">
        <f t="shared" si="3"/>
        <v>0</v>
      </c>
      <c r="G76" s="291"/>
      <c r="H76" s="437"/>
    </row>
    <row r="77" spans="1:8" ht="18.75">
      <c r="A77" s="79"/>
      <c r="B77" s="294" t="s">
        <v>82</v>
      </c>
      <c r="C77" s="262">
        <f>C50+C62+C74</f>
        <v>47194</v>
      </c>
      <c r="D77" s="262">
        <f>D50+D62+D74</f>
        <v>48634</v>
      </c>
      <c r="E77" s="262">
        <f>E50+E62+E74</f>
        <v>355</v>
      </c>
      <c r="F77" s="262">
        <f>F50+F62+F74</f>
        <v>48989</v>
      </c>
      <c r="G77" s="262">
        <f>G50+G62+G74</f>
        <v>22437</v>
      </c>
      <c r="H77" s="441">
        <f>G77/F77</f>
        <v>0.4580007756843373</v>
      </c>
    </row>
    <row r="78" spans="1:8" ht="18.75">
      <c r="A78" s="81"/>
      <c r="B78" s="295"/>
      <c r="C78" s="265"/>
      <c r="D78" s="291"/>
      <c r="E78" s="291"/>
      <c r="F78" s="262">
        <f t="shared" si="3"/>
        <v>0</v>
      </c>
      <c r="G78" s="291"/>
      <c r="H78" s="437"/>
    </row>
    <row r="79" spans="1:8" ht="18.75">
      <c r="A79" s="83"/>
      <c r="B79" s="296" t="s">
        <v>84</v>
      </c>
      <c r="C79" s="297">
        <v>7</v>
      </c>
      <c r="D79" s="297">
        <v>7</v>
      </c>
      <c r="E79" s="297"/>
      <c r="F79" s="297">
        <f t="shared" si="3"/>
        <v>7</v>
      </c>
      <c r="G79" s="291"/>
      <c r="H79" s="441"/>
    </row>
    <row r="80" spans="1:8" ht="18.75">
      <c r="A80" s="83"/>
      <c r="B80" s="296" t="s">
        <v>85</v>
      </c>
      <c r="C80" s="297">
        <v>0</v>
      </c>
      <c r="D80" s="297">
        <v>0</v>
      </c>
      <c r="E80" s="297"/>
      <c r="F80" s="297">
        <f t="shared" si="3"/>
        <v>0</v>
      </c>
      <c r="G80" s="291"/>
      <c r="H80" s="437"/>
    </row>
    <row r="85" spans="2:3" ht="18">
      <c r="B85" s="290" t="s">
        <v>229</v>
      </c>
      <c r="C85" s="246" t="s">
        <v>2</v>
      </c>
    </row>
    <row r="86" spans="1:2" ht="18">
      <c r="A86" s="246" t="s">
        <v>230</v>
      </c>
      <c r="B86" s="290"/>
    </row>
    <row r="87" spans="1:3" ht="18">
      <c r="A87" s="246">
        <v>6</v>
      </c>
      <c r="B87" s="246" t="s">
        <v>267</v>
      </c>
      <c r="C87" s="246">
        <f>A87*6*12</f>
        <v>432</v>
      </c>
    </row>
    <row r="88" spans="2:3" ht="18">
      <c r="B88" s="246" t="s">
        <v>258</v>
      </c>
      <c r="C88" s="298">
        <f>C87*0.3422</f>
        <v>147.8304</v>
      </c>
    </row>
    <row r="90" spans="2:3" ht="18">
      <c r="B90" s="301" t="s">
        <v>210</v>
      </c>
      <c r="C90" s="303">
        <f>SUM(C87:C89)</f>
        <v>579.8304</v>
      </c>
    </row>
  </sheetData>
  <sheetProtection selectLockedCells="1" selectUnlockedCells="1"/>
  <mergeCells count="2">
    <mergeCell ref="C6:H6"/>
    <mergeCell ref="C48:H48"/>
  </mergeCells>
  <printOptions/>
  <pageMargins left="0.75" right="0.75" top="1" bottom="1" header="0.5118055555555555" footer="0.5118055555555555"/>
  <pageSetup horizontalDpi="300" verticalDpi="300" orientation="portrait" paperSize="9" scale="48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88"/>
  <sheetViews>
    <sheetView tabSelected="1" view="pageBreakPreview" zoomScale="50" zoomScaleNormal="65" zoomScaleSheetLayoutView="50" zoomScalePageLayoutView="0" workbookViewId="0" topLeftCell="A1">
      <selection activeCell="E51" sqref="E51"/>
    </sheetView>
  </sheetViews>
  <sheetFormatPr defaultColWidth="9.140625" defaultRowHeight="12.75"/>
  <cols>
    <col min="1" max="1" width="11.28125" style="246" customWidth="1"/>
    <col min="2" max="2" width="61.7109375" style="246" customWidth="1"/>
    <col min="3" max="3" width="21.421875" style="246" customWidth="1"/>
    <col min="4" max="4" width="14.140625" style="246" customWidth="1"/>
    <col min="5" max="5" width="17.140625" style="246" customWidth="1"/>
    <col min="6" max="6" width="19.57421875" style="246" customWidth="1"/>
    <col min="7" max="7" width="16.00390625" style="246" customWidth="1"/>
    <col min="8" max="8" width="23.8515625" style="246" customWidth="1"/>
    <col min="9" max="16384" width="9.140625" style="246" customWidth="1"/>
  </cols>
  <sheetData>
    <row r="1" spans="1:3" s="305" customFormat="1" ht="21" customHeight="1">
      <c r="A1" s="248"/>
      <c r="B1" s="304"/>
      <c r="C1" s="249" t="s">
        <v>358</v>
      </c>
    </row>
    <row r="2" spans="1:3" s="308" customFormat="1" ht="25.5" customHeight="1">
      <c r="A2" s="251"/>
      <c r="B2" s="252" t="s">
        <v>254</v>
      </c>
      <c r="C2" s="306" t="s">
        <v>268</v>
      </c>
    </row>
    <row r="3" spans="1:3" s="308" customFormat="1" ht="18">
      <c r="A3" s="254"/>
      <c r="B3" s="252" t="s">
        <v>269</v>
      </c>
      <c r="C3" s="309"/>
    </row>
    <row r="4" spans="1:8" s="308" customFormat="1" ht="15.75" customHeight="1">
      <c r="A4" s="256"/>
      <c r="B4" s="256"/>
      <c r="C4" s="257" t="s">
        <v>110</v>
      </c>
      <c r="D4" s="307"/>
      <c r="E4" s="307"/>
      <c r="F4" s="307"/>
      <c r="G4" s="310"/>
      <c r="H4" s="310"/>
    </row>
    <row r="5" spans="1:8" ht="36">
      <c r="A5" s="251"/>
      <c r="B5" s="258" t="s">
        <v>217</v>
      </c>
      <c r="C5" s="258" t="s">
        <v>218</v>
      </c>
      <c r="D5" s="307"/>
      <c r="E5" s="307"/>
      <c r="F5" s="307"/>
      <c r="G5" s="307"/>
      <c r="H5" s="307"/>
    </row>
    <row r="6" spans="1:8" s="310" customFormat="1" ht="19.5" customHeight="1">
      <c r="A6" s="251"/>
      <c r="B6" s="251"/>
      <c r="C6" s="471" t="s">
        <v>362</v>
      </c>
      <c r="D6" s="472"/>
      <c r="E6" s="472"/>
      <c r="F6" s="472"/>
      <c r="G6" s="472"/>
      <c r="H6" s="474"/>
    </row>
    <row r="7" spans="1:8" s="310" customFormat="1" ht="60">
      <c r="A7" s="260"/>
      <c r="B7" s="260" t="s">
        <v>219</v>
      </c>
      <c r="C7" s="379" t="s">
        <v>361</v>
      </c>
      <c r="D7" s="379" t="s">
        <v>397</v>
      </c>
      <c r="E7" s="379" t="s">
        <v>360</v>
      </c>
      <c r="F7" s="379" t="s">
        <v>363</v>
      </c>
      <c r="G7" s="379" t="s">
        <v>395</v>
      </c>
      <c r="H7" s="379" t="s">
        <v>398</v>
      </c>
    </row>
    <row r="8" spans="1:8" s="307" customFormat="1" ht="18.75">
      <c r="A8" s="251" t="s">
        <v>7</v>
      </c>
      <c r="B8" s="261" t="s">
        <v>8</v>
      </c>
      <c r="C8" s="262">
        <f>C9+C10+C11+C12+C13+C14</f>
        <v>0</v>
      </c>
      <c r="D8" s="262">
        <f>D9+D10+D11+D12+D13+D14</f>
        <v>0</v>
      </c>
      <c r="E8" s="262">
        <f>E9+E10+E11+E12+E13+E14</f>
        <v>0</v>
      </c>
      <c r="F8" s="262">
        <f aca="true" t="shared" si="0" ref="F8:F26">C8+D8+E8</f>
        <v>0</v>
      </c>
      <c r="G8" s="312"/>
      <c r="H8" s="312"/>
    </row>
    <row r="9" spans="1:8" s="307" customFormat="1" ht="36">
      <c r="A9" s="264"/>
      <c r="B9" s="265" t="s">
        <v>9</v>
      </c>
      <c r="C9" s="262"/>
      <c r="D9" s="291"/>
      <c r="E9" s="291"/>
      <c r="F9" s="262">
        <f t="shared" si="0"/>
        <v>0</v>
      </c>
      <c r="G9" s="312"/>
      <c r="H9" s="312"/>
    </row>
    <row r="10" spans="1:8" s="307" customFormat="1" ht="36">
      <c r="A10" s="64"/>
      <c r="B10" s="265" t="s">
        <v>10</v>
      </c>
      <c r="C10" s="268"/>
      <c r="D10" s="291"/>
      <c r="E10" s="291"/>
      <c r="F10" s="262">
        <f t="shared" si="0"/>
        <v>0</v>
      </c>
      <c r="G10" s="291"/>
      <c r="H10" s="312"/>
    </row>
    <row r="11" spans="1:8" s="307" customFormat="1" ht="36">
      <c r="A11" s="64"/>
      <c r="B11" s="265" t="s">
        <v>11</v>
      </c>
      <c r="C11" s="268"/>
      <c r="D11" s="312"/>
      <c r="E11" s="312"/>
      <c r="F11" s="262">
        <f t="shared" si="0"/>
        <v>0</v>
      </c>
      <c r="G11" s="312"/>
      <c r="H11" s="312"/>
    </row>
    <row r="12" spans="1:8" s="307" customFormat="1" ht="36">
      <c r="A12" s="64"/>
      <c r="B12" s="265" t="s">
        <v>12</v>
      </c>
      <c r="C12" s="268"/>
      <c r="D12" s="291"/>
      <c r="E12" s="291"/>
      <c r="F12" s="262">
        <f t="shared" si="0"/>
        <v>0</v>
      </c>
      <c r="G12" s="291"/>
      <c r="H12" s="312"/>
    </row>
    <row r="13" spans="1:8" s="307" customFormat="1" ht="18.75">
      <c r="A13" s="64"/>
      <c r="B13" s="265" t="s">
        <v>86</v>
      </c>
      <c r="C13" s="268"/>
      <c r="D13" s="291"/>
      <c r="E13" s="291"/>
      <c r="F13" s="262">
        <f t="shared" si="0"/>
        <v>0</v>
      </c>
      <c r="G13" s="291"/>
      <c r="H13" s="312"/>
    </row>
    <row r="14" spans="1:8" s="307" customFormat="1" ht="18.75">
      <c r="A14" s="64"/>
      <c r="B14" s="265" t="s">
        <v>14</v>
      </c>
      <c r="C14" s="268"/>
      <c r="D14" s="291"/>
      <c r="E14" s="291"/>
      <c r="F14" s="262">
        <f t="shared" si="0"/>
        <v>0</v>
      </c>
      <c r="G14" s="291"/>
      <c r="H14" s="312"/>
    </row>
    <row r="15" spans="1:8" ht="36">
      <c r="A15" s="64" t="s">
        <v>15</v>
      </c>
      <c r="B15" s="261" t="s">
        <v>16</v>
      </c>
      <c r="C15" s="268">
        <f>C16+C17+C18+C19</f>
        <v>0</v>
      </c>
      <c r="D15" s="268">
        <f>D16+D17+D18+D19</f>
        <v>0</v>
      </c>
      <c r="E15" s="268">
        <f>E16+E17+E18+E19</f>
        <v>0</v>
      </c>
      <c r="F15" s="262">
        <f t="shared" si="0"/>
        <v>0</v>
      </c>
      <c r="G15" s="291"/>
      <c r="H15" s="291"/>
    </row>
    <row r="16" spans="1:8" ht="36">
      <c r="A16" s="264"/>
      <c r="B16" s="265" t="s">
        <v>17</v>
      </c>
      <c r="C16" s="262"/>
      <c r="D16" s="312"/>
      <c r="E16" s="312"/>
      <c r="F16" s="262">
        <f t="shared" si="0"/>
        <v>0</v>
      </c>
      <c r="G16" s="312"/>
      <c r="H16" s="291"/>
    </row>
    <row r="17" spans="1:8" s="307" customFormat="1" ht="36">
      <c r="A17" s="64"/>
      <c r="B17" s="265" t="s">
        <v>105</v>
      </c>
      <c r="C17" s="268"/>
      <c r="D17" s="312"/>
      <c r="E17" s="312"/>
      <c r="F17" s="262">
        <f t="shared" si="0"/>
        <v>0</v>
      </c>
      <c r="G17" s="312"/>
      <c r="H17" s="312"/>
    </row>
    <row r="18" spans="1:8" ht="36">
      <c r="A18" s="64"/>
      <c r="B18" s="265" t="s">
        <v>19</v>
      </c>
      <c r="C18" s="268"/>
      <c r="D18" s="312"/>
      <c r="E18" s="312"/>
      <c r="F18" s="262">
        <f t="shared" si="0"/>
        <v>0</v>
      </c>
      <c r="G18" s="312"/>
      <c r="H18" s="291"/>
    </row>
    <row r="19" spans="1:8" ht="36">
      <c r="A19" s="64"/>
      <c r="B19" s="265" t="s">
        <v>20</v>
      </c>
      <c r="C19" s="268"/>
      <c r="D19" s="312"/>
      <c r="E19" s="312"/>
      <c r="F19" s="262">
        <f t="shared" si="0"/>
        <v>0</v>
      </c>
      <c r="G19" s="312"/>
      <c r="H19" s="291"/>
    </row>
    <row r="20" spans="1:8" ht="36">
      <c r="A20" s="64" t="s">
        <v>21</v>
      </c>
      <c r="B20" s="271" t="s">
        <v>22</v>
      </c>
      <c r="C20" s="268">
        <f>C21</f>
        <v>0</v>
      </c>
      <c r="D20" s="268">
        <f>D21</f>
        <v>0</v>
      </c>
      <c r="E20" s="268">
        <f>E21</f>
        <v>0</v>
      </c>
      <c r="F20" s="262">
        <f t="shared" si="0"/>
        <v>0</v>
      </c>
      <c r="G20" s="312"/>
      <c r="H20" s="291"/>
    </row>
    <row r="21" spans="1:8" ht="36">
      <c r="A21" s="64"/>
      <c r="B21" s="272" t="s">
        <v>246</v>
      </c>
      <c r="C21" s="268"/>
      <c r="D21" s="291"/>
      <c r="E21" s="291"/>
      <c r="F21" s="262">
        <f t="shared" si="0"/>
        <v>0</v>
      </c>
      <c r="G21" s="291"/>
      <c r="H21" s="291"/>
    </row>
    <row r="22" spans="1:8" ht="18">
      <c r="A22" s="275" t="s">
        <v>24</v>
      </c>
      <c r="B22" s="271" t="s">
        <v>25</v>
      </c>
      <c r="C22" s="268">
        <f>C23+C24+C25+C26</f>
        <v>0</v>
      </c>
      <c r="D22" s="268">
        <f>D23+D24+D25+D26</f>
        <v>0</v>
      </c>
      <c r="E22" s="268">
        <f>E23+E24+E25+E26</f>
        <v>0</v>
      </c>
      <c r="F22" s="262">
        <f t="shared" si="0"/>
        <v>0</v>
      </c>
      <c r="G22" s="291"/>
      <c r="H22" s="291"/>
    </row>
    <row r="23" spans="1:8" s="307" customFormat="1" ht="36">
      <c r="A23" s="64"/>
      <c r="B23" s="276" t="s">
        <v>26</v>
      </c>
      <c r="C23" s="268"/>
      <c r="D23" s="312"/>
      <c r="E23" s="312"/>
      <c r="F23" s="262">
        <f t="shared" si="0"/>
        <v>0</v>
      </c>
      <c r="G23" s="312"/>
      <c r="H23" s="312"/>
    </row>
    <row r="24" spans="1:8" s="307" customFormat="1" ht="15.75" customHeight="1">
      <c r="A24" s="65"/>
      <c r="B24" s="276" t="s">
        <v>27</v>
      </c>
      <c r="C24" s="268"/>
      <c r="D24" s="291"/>
      <c r="E24" s="291"/>
      <c r="F24" s="262">
        <f t="shared" si="0"/>
        <v>0</v>
      </c>
      <c r="G24" s="291"/>
      <c r="H24" s="312"/>
    </row>
    <row r="25" spans="1:8" s="307" customFormat="1" ht="19.5" customHeight="1">
      <c r="A25" s="64"/>
      <c r="B25" s="276" t="s">
        <v>28</v>
      </c>
      <c r="C25" s="270"/>
      <c r="D25" s="291"/>
      <c r="E25" s="291"/>
      <c r="F25" s="262">
        <f t="shared" si="0"/>
        <v>0</v>
      </c>
      <c r="G25" s="291"/>
      <c r="H25" s="312"/>
    </row>
    <row r="26" spans="1:8" s="307" customFormat="1" ht="51.75" customHeight="1">
      <c r="A26" s="264"/>
      <c r="B26" s="276" t="s">
        <v>29</v>
      </c>
      <c r="C26" s="262"/>
      <c r="D26" s="291"/>
      <c r="E26" s="291"/>
      <c r="F26" s="262">
        <f t="shared" si="0"/>
        <v>0</v>
      </c>
      <c r="G26" s="291"/>
      <c r="H26" s="312"/>
    </row>
    <row r="27" spans="1:8" ht="28.5" customHeight="1">
      <c r="A27" s="275" t="s">
        <v>30</v>
      </c>
      <c r="B27" s="278" t="s">
        <v>31</v>
      </c>
      <c r="C27" s="270">
        <f>C28+C29+C30+C31+C32</f>
        <v>400</v>
      </c>
      <c r="D27" s="270">
        <f>D28+D29+D30+D31+D32</f>
        <v>400</v>
      </c>
      <c r="E27" s="270">
        <f>E28+E29+E30+E31+E32</f>
        <v>0</v>
      </c>
      <c r="F27" s="270">
        <f>F28+F29+F30+F31+F32</f>
        <v>400</v>
      </c>
      <c r="G27" s="270">
        <f>G28+G29+G30+G31+G32</f>
        <v>264</v>
      </c>
      <c r="H27" s="441">
        <f>G27/F27</f>
        <v>0.66</v>
      </c>
    </row>
    <row r="28" spans="1:8" ht="54">
      <c r="A28" s="64"/>
      <c r="B28" s="265" t="s">
        <v>32</v>
      </c>
      <c r="C28" s="268">
        <v>400</v>
      </c>
      <c r="D28" s="291">
        <v>400</v>
      </c>
      <c r="E28" s="312"/>
      <c r="F28" s="262">
        <f aca="true" t="shared" si="1" ref="F28:F40">D28+E28</f>
        <v>400</v>
      </c>
      <c r="G28" s="291">
        <v>264</v>
      </c>
      <c r="H28" s="437">
        <f>G28/F28</f>
        <v>0.66</v>
      </c>
    </row>
    <row r="29" spans="1:8" ht="18.75">
      <c r="A29" s="64"/>
      <c r="B29" s="265" t="s">
        <v>33</v>
      </c>
      <c r="C29" s="268"/>
      <c r="D29" s="312"/>
      <c r="E29" s="312"/>
      <c r="F29" s="262">
        <f t="shared" si="1"/>
        <v>0</v>
      </c>
      <c r="G29" s="312"/>
      <c r="H29" s="441"/>
    </row>
    <row r="30" spans="1:8" ht="18.75">
      <c r="A30" s="64"/>
      <c r="B30" s="265" t="s">
        <v>34</v>
      </c>
      <c r="C30" s="268"/>
      <c r="D30" s="312"/>
      <c r="E30" s="312"/>
      <c r="F30" s="262">
        <f t="shared" si="1"/>
        <v>0</v>
      </c>
      <c r="G30" s="312"/>
      <c r="H30" s="441"/>
    </row>
    <row r="31" spans="1:8" s="310" customFormat="1" ht="18.75">
      <c r="A31" s="64"/>
      <c r="B31" s="265" t="s">
        <v>35</v>
      </c>
      <c r="C31" s="268"/>
      <c r="D31" s="312"/>
      <c r="E31" s="312"/>
      <c r="F31" s="262">
        <f t="shared" si="1"/>
        <v>0</v>
      </c>
      <c r="G31" s="312"/>
      <c r="H31" s="441"/>
    </row>
    <row r="32" spans="1:8" s="307" customFormat="1" ht="18.75">
      <c r="A32" s="64"/>
      <c r="B32" s="265" t="s">
        <v>36</v>
      </c>
      <c r="C32" s="268"/>
      <c r="D32" s="312"/>
      <c r="E32" s="312"/>
      <c r="F32" s="262">
        <f t="shared" si="1"/>
        <v>0</v>
      </c>
      <c r="G32" s="312"/>
      <c r="H32" s="441"/>
    </row>
    <row r="33" spans="1:8" ht="18.75">
      <c r="A33" s="275" t="s">
        <v>37</v>
      </c>
      <c r="B33" s="271" t="s">
        <v>38</v>
      </c>
      <c r="C33" s="268">
        <f>C34+C35</f>
        <v>0</v>
      </c>
      <c r="D33" s="268">
        <f>D34+D35</f>
        <v>0</v>
      </c>
      <c r="E33" s="268">
        <f>E34+E35</f>
        <v>0</v>
      </c>
      <c r="F33" s="262">
        <f t="shared" si="1"/>
        <v>0</v>
      </c>
      <c r="G33" s="291"/>
      <c r="H33" s="441"/>
    </row>
    <row r="34" spans="1:8" ht="18.75">
      <c r="A34" s="65"/>
      <c r="B34" s="265" t="s">
        <v>39</v>
      </c>
      <c r="C34" s="268"/>
      <c r="D34" s="291"/>
      <c r="E34" s="291"/>
      <c r="F34" s="262">
        <f t="shared" si="1"/>
        <v>0</v>
      </c>
      <c r="G34" s="291"/>
      <c r="H34" s="441"/>
    </row>
    <row r="35" spans="1:8" ht="18.75">
      <c r="A35" s="66"/>
      <c r="B35" s="265" t="s">
        <v>107</v>
      </c>
      <c r="C35" s="262"/>
      <c r="D35" s="312"/>
      <c r="E35" s="312"/>
      <c r="F35" s="262">
        <f t="shared" si="1"/>
        <v>0</v>
      </c>
      <c r="G35" s="312"/>
      <c r="H35" s="441"/>
    </row>
    <row r="36" spans="1:8" ht="18.75">
      <c r="A36" s="279" t="s">
        <v>40</v>
      </c>
      <c r="B36" s="271" t="s">
        <v>41</v>
      </c>
      <c r="C36" s="266">
        <f>C37</f>
        <v>0</v>
      </c>
      <c r="D36" s="266">
        <f>D37</f>
        <v>0</v>
      </c>
      <c r="E36" s="266">
        <f>E37</f>
        <v>0</v>
      </c>
      <c r="F36" s="262">
        <f t="shared" si="1"/>
        <v>0</v>
      </c>
      <c r="G36" s="291"/>
      <c r="H36" s="441"/>
    </row>
    <row r="37" spans="1:8" ht="18.75">
      <c r="A37" s="68"/>
      <c r="B37" s="265" t="s">
        <v>221</v>
      </c>
      <c r="C37" s="268"/>
      <c r="D37" s="291"/>
      <c r="E37" s="291"/>
      <c r="F37" s="262">
        <f t="shared" si="1"/>
        <v>0</v>
      </c>
      <c r="G37" s="291"/>
      <c r="H37" s="441"/>
    </row>
    <row r="38" spans="1:8" ht="18.75">
      <c r="A38" s="279" t="s">
        <v>43</v>
      </c>
      <c r="B38" s="271" t="s">
        <v>44</v>
      </c>
      <c r="C38" s="268"/>
      <c r="D38" s="268">
        <f>D39+D40</f>
        <v>0</v>
      </c>
      <c r="E38" s="268"/>
      <c r="F38" s="262">
        <f t="shared" si="1"/>
        <v>0</v>
      </c>
      <c r="G38" s="291"/>
      <c r="H38" s="441"/>
    </row>
    <row r="39" spans="1:8" s="307" customFormat="1" ht="54">
      <c r="A39" s="68"/>
      <c r="B39" s="276" t="s">
        <v>247</v>
      </c>
      <c r="C39" s="268"/>
      <c r="D39" s="291"/>
      <c r="E39" s="291"/>
      <c r="F39" s="262">
        <f t="shared" si="1"/>
        <v>0</v>
      </c>
      <c r="G39" s="291"/>
      <c r="H39" s="441"/>
    </row>
    <row r="40" spans="1:8" ht="32.25" customHeight="1">
      <c r="A40" s="68"/>
      <c r="B40" s="276" t="s">
        <v>46</v>
      </c>
      <c r="C40" s="268"/>
      <c r="D40" s="312"/>
      <c r="E40" s="268"/>
      <c r="F40" s="262">
        <f t="shared" si="1"/>
        <v>0</v>
      </c>
      <c r="G40" s="312"/>
      <c r="H40" s="441"/>
    </row>
    <row r="41" spans="1:8" ht="45.75" customHeight="1">
      <c r="A41" s="68"/>
      <c r="B41" s="271" t="s">
        <v>47</v>
      </c>
      <c r="C41" s="270">
        <f>C8+C15+C20+C22+C27+C33+C36+C38</f>
        <v>400</v>
      </c>
      <c r="D41" s="270">
        <f>D8+D15+D20+D22+D27+D33+D36+D38</f>
        <v>400</v>
      </c>
      <c r="E41" s="270">
        <f>E8+E15+E20+E22+E27+E33+E36+E38</f>
        <v>0</v>
      </c>
      <c r="F41" s="270">
        <f>F8+F15+F20+F22+F27+F33+F36+F38</f>
        <v>400</v>
      </c>
      <c r="G41" s="270">
        <f>G8+G15+G20+G22+G27+G33+G36+G38</f>
        <v>264</v>
      </c>
      <c r="H41" s="441">
        <f>G41/F41</f>
        <v>0.66</v>
      </c>
    </row>
    <row r="42" spans="1:8" ht="18.75">
      <c r="A42" s="279" t="s">
        <v>48</v>
      </c>
      <c r="B42" s="271" t="s">
        <v>249</v>
      </c>
      <c r="C42" s="262">
        <f>C77-C41-C43</f>
        <v>15554</v>
      </c>
      <c r="D42" s="262">
        <f>D77-D41-D43</f>
        <v>14052</v>
      </c>
      <c r="E42" s="262">
        <f>E77-E41-E43</f>
        <v>132</v>
      </c>
      <c r="F42" s="262">
        <f>F77-F41-F43</f>
        <v>14184</v>
      </c>
      <c r="G42" s="262">
        <v>5065</v>
      </c>
      <c r="H42" s="441">
        <f>G42/F42</f>
        <v>0.3570924985899605</v>
      </c>
    </row>
    <row r="43" spans="1:8" ht="36">
      <c r="A43" s="279" t="s">
        <v>50</v>
      </c>
      <c r="B43" s="271" t="s">
        <v>51</v>
      </c>
      <c r="C43" s="268"/>
      <c r="D43" s="268">
        <v>1985</v>
      </c>
      <c r="E43" s="268"/>
      <c r="F43" s="268">
        <f>D43+E43</f>
        <v>1985</v>
      </c>
      <c r="G43" s="268">
        <v>1985</v>
      </c>
      <c r="H43" s="441">
        <f>G43/F43</f>
        <v>1</v>
      </c>
    </row>
    <row r="44" spans="1:8" ht="36">
      <c r="A44" s="279" t="s">
        <v>52</v>
      </c>
      <c r="B44" s="271" t="s">
        <v>53</v>
      </c>
      <c r="C44" s="268"/>
      <c r="D44" s="312"/>
      <c r="E44" s="312"/>
      <c r="F44" s="262">
        <f>D44+E44</f>
        <v>0</v>
      </c>
      <c r="G44" s="312"/>
      <c r="H44" s="441"/>
    </row>
    <row r="45" spans="1:8" ht="18.75">
      <c r="A45" s="68"/>
      <c r="B45" s="271" t="s">
        <v>54</v>
      </c>
      <c r="C45" s="270">
        <f>C42+C43+C44</f>
        <v>15554</v>
      </c>
      <c r="D45" s="270">
        <f>D42+D43+D44</f>
        <v>16037</v>
      </c>
      <c r="E45" s="270">
        <f>E42+E43+E44</f>
        <v>132</v>
      </c>
      <c r="F45" s="270">
        <f>F42+F43+F44</f>
        <v>16169</v>
      </c>
      <c r="G45" s="270">
        <f>G42+G43+G44</f>
        <v>7050</v>
      </c>
      <c r="H45" s="441">
        <f>G45/F45</f>
        <v>0.436019543571031</v>
      </c>
    </row>
    <row r="46" spans="1:8" ht="18.75">
      <c r="A46" s="68"/>
      <c r="B46" s="261" t="s">
        <v>57</v>
      </c>
      <c r="C46" s="270">
        <f>C41+C45</f>
        <v>15954</v>
      </c>
      <c r="D46" s="270">
        <f>D41+D45</f>
        <v>16437</v>
      </c>
      <c r="E46" s="270">
        <f>E41+E45</f>
        <v>132</v>
      </c>
      <c r="F46" s="270">
        <f>F41+F45</f>
        <v>16569</v>
      </c>
      <c r="G46" s="270">
        <f>G41+G45</f>
        <v>7314</v>
      </c>
      <c r="H46" s="441">
        <f>G46/F46</f>
        <v>0.4414267608183958</v>
      </c>
    </row>
    <row r="47" spans="1:7" ht="14.25" customHeight="1">
      <c r="A47" s="281"/>
      <c r="B47" s="282"/>
      <c r="C47" s="283"/>
      <c r="D47" s="307"/>
      <c r="E47" s="307"/>
      <c r="F47" s="307"/>
      <c r="G47" s="307"/>
    </row>
    <row r="48" spans="1:8" ht="20.25">
      <c r="A48" s="81"/>
      <c r="B48" s="81"/>
      <c r="C48" s="471" t="s">
        <v>362</v>
      </c>
      <c r="D48" s="472"/>
      <c r="E48" s="472"/>
      <c r="F48" s="472"/>
      <c r="G48" s="472"/>
      <c r="H48" s="474"/>
    </row>
    <row r="49" spans="1:8" ht="60">
      <c r="A49" s="284"/>
      <c r="B49" s="284" t="s">
        <v>225</v>
      </c>
      <c r="C49" s="379" t="s">
        <v>361</v>
      </c>
      <c r="D49" s="379" t="s">
        <v>397</v>
      </c>
      <c r="E49" s="379" t="s">
        <v>360</v>
      </c>
      <c r="F49" s="379" t="s">
        <v>363</v>
      </c>
      <c r="G49" s="379" t="s">
        <v>395</v>
      </c>
      <c r="H49" s="379" t="s">
        <v>398</v>
      </c>
    </row>
    <row r="50" spans="1:8" ht="18.75">
      <c r="A50" s="66" t="s">
        <v>7</v>
      </c>
      <c r="B50" s="285" t="s">
        <v>59</v>
      </c>
      <c r="C50" s="262">
        <f>C51+C52+C53+C56+C57</f>
        <v>15954</v>
      </c>
      <c r="D50" s="262">
        <f>D51+D52+D53+D56+D57</f>
        <v>16437</v>
      </c>
      <c r="E50" s="262">
        <f>E51+E52+E53+E56+E57</f>
        <v>132</v>
      </c>
      <c r="F50" s="262">
        <f>F51+F52+F53+F56+F57</f>
        <v>16569</v>
      </c>
      <c r="G50" s="262">
        <f>G51+G52+G53+G56+G57</f>
        <v>6823</v>
      </c>
      <c r="H50" s="441">
        <f>G50/F50</f>
        <v>0.4117931076105981</v>
      </c>
    </row>
    <row r="51" spans="1:8" ht="18.75">
      <c r="A51" s="74"/>
      <c r="B51" s="286" t="s">
        <v>60</v>
      </c>
      <c r="C51" s="268">
        <v>7603</v>
      </c>
      <c r="D51" s="268">
        <v>7825</v>
      </c>
      <c r="E51" s="291">
        <v>110</v>
      </c>
      <c r="F51" s="268">
        <f aca="true" t="shared" si="2" ref="F51:F80">D51+E51</f>
        <v>7935</v>
      </c>
      <c r="G51" s="268">
        <v>3999</v>
      </c>
      <c r="H51" s="437">
        <f>G51/F51</f>
        <v>0.5039697542533081</v>
      </c>
    </row>
    <row r="52" spans="1:8" ht="36">
      <c r="A52" s="68"/>
      <c r="B52" s="287" t="s">
        <v>61</v>
      </c>
      <c r="C52" s="268">
        <v>2078</v>
      </c>
      <c r="D52" s="268">
        <v>2122</v>
      </c>
      <c r="E52" s="291">
        <v>22</v>
      </c>
      <c r="F52" s="268">
        <f t="shared" si="2"/>
        <v>2144</v>
      </c>
      <c r="G52" s="268">
        <v>918</v>
      </c>
      <c r="H52" s="437">
        <f>G52/F52</f>
        <v>0.4281716417910448</v>
      </c>
    </row>
    <row r="53" spans="1:8" ht="18.75">
      <c r="A53" s="68"/>
      <c r="B53" s="287" t="s">
        <v>62</v>
      </c>
      <c r="C53" s="268">
        <v>6273</v>
      </c>
      <c r="D53" s="268">
        <v>6490</v>
      </c>
      <c r="E53" s="291"/>
      <c r="F53" s="268">
        <f t="shared" si="2"/>
        <v>6490</v>
      </c>
      <c r="G53" s="268">
        <v>1906</v>
      </c>
      <c r="H53" s="437">
        <f>G53/F53</f>
        <v>0.29368258859784285</v>
      </c>
    </row>
    <row r="54" spans="1:8" ht="54">
      <c r="A54" s="68"/>
      <c r="B54" s="287" t="s">
        <v>250</v>
      </c>
      <c r="C54" s="268"/>
      <c r="D54" s="291"/>
      <c r="E54" s="291"/>
      <c r="F54" s="262">
        <f t="shared" si="2"/>
        <v>0</v>
      </c>
      <c r="G54" s="291"/>
      <c r="H54" s="437"/>
    </row>
    <row r="55" spans="1:8" ht="18.75">
      <c r="A55" s="68"/>
      <c r="B55" s="287" t="s">
        <v>64</v>
      </c>
      <c r="C55" s="268"/>
      <c r="D55" s="291"/>
      <c r="E55" s="291"/>
      <c r="F55" s="262">
        <f t="shared" si="2"/>
        <v>0</v>
      </c>
      <c r="G55" s="291"/>
      <c r="H55" s="437"/>
    </row>
    <row r="56" spans="1:8" ht="18.75">
      <c r="A56" s="68"/>
      <c r="B56" s="287" t="s">
        <v>65</v>
      </c>
      <c r="C56" s="268"/>
      <c r="D56" s="291"/>
      <c r="E56" s="291"/>
      <c r="F56" s="262">
        <f t="shared" si="2"/>
        <v>0</v>
      </c>
      <c r="G56" s="291"/>
      <c r="H56" s="437"/>
    </row>
    <row r="57" spans="1:8" ht="18.75">
      <c r="A57" s="68"/>
      <c r="B57" s="287" t="s">
        <v>66</v>
      </c>
      <c r="C57" s="268">
        <f>SUM(C58:C61)</f>
        <v>0</v>
      </c>
      <c r="D57" s="291"/>
      <c r="E57" s="291"/>
      <c r="F57" s="262">
        <f t="shared" si="2"/>
        <v>0</v>
      </c>
      <c r="G57" s="291"/>
      <c r="H57" s="437"/>
    </row>
    <row r="58" spans="1:8" ht="18.75">
      <c r="A58" s="68"/>
      <c r="B58" s="287" t="s">
        <v>67</v>
      </c>
      <c r="C58" s="268"/>
      <c r="D58" s="291"/>
      <c r="E58" s="291"/>
      <c r="F58" s="262">
        <f t="shared" si="2"/>
        <v>0</v>
      </c>
      <c r="G58" s="291"/>
      <c r="H58" s="437"/>
    </row>
    <row r="59" spans="1:8" ht="36">
      <c r="A59" s="68"/>
      <c r="B59" s="287" t="s">
        <v>68</v>
      </c>
      <c r="C59" s="268"/>
      <c r="D59" s="291"/>
      <c r="E59" s="291"/>
      <c r="F59" s="262">
        <f t="shared" si="2"/>
        <v>0</v>
      </c>
      <c r="G59" s="291"/>
      <c r="H59" s="437"/>
    </row>
    <row r="60" spans="1:8" ht="36">
      <c r="A60" s="68"/>
      <c r="B60" s="287" t="s">
        <v>69</v>
      </c>
      <c r="C60" s="268"/>
      <c r="D60" s="291"/>
      <c r="E60" s="291"/>
      <c r="F60" s="262">
        <f t="shared" si="2"/>
        <v>0</v>
      </c>
      <c r="G60" s="291"/>
      <c r="H60" s="437"/>
    </row>
    <row r="61" spans="1:8" ht="18.75">
      <c r="A61" s="68"/>
      <c r="B61" s="288"/>
      <c r="C61" s="268"/>
      <c r="D61" s="291"/>
      <c r="E61" s="291"/>
      <c r="F61" s="262">
        <f t="shared" si="2"/>
        <v>0</v>
      </c>
      <c r="G61" s="291"/>
      <c r="H61" s="437"/>
    </row>
    <row r="62" spans="1:8" ht="18.75">
      <c r="A62" s="66" t="s">
        <v>15</v>
      </c>
      <c r="B62" s="285" t="s">
        <v>70</v>
      </c>
      <c r="C62" s="262">
        <f>C63+C66+C67+C70</f>
        <v>0</v>
      </c>
      <c r="D62" s="262">
        <f>D63+D66+D67+D70</f>
        <v>0</v>
      </c>
      <c r="E62" s="262">
        <f>E63+E66+E67+E70</f>
        <v>0</v>
      </c>
      <c r="F62" s="262">
        <f t="shared" si="2"/>
        <v>0</v>
      </c>
      <c r="G62" s="291"/>
      <c r="H62" s="437"/>
    </row>
    <row r="63" spans="1:8" ht="18.75">
      <c r="A63" s="74"/>
      <c r="B63" s="123" t="s">
        <v>71</v>
      </c>
      <c r="C63" s="268"/>
      <c r="D63" s="291"/>
      <c r="E63" s="291"/>
      <c r="F63" s="262">
        <f t="shared" si="2"/>
        <v>0</v>
      </c>
      <c r="G63" s="291"/>
      <c r="H63" s="437"/>
    </row>
    <row r="64" spans="1:8" ht="54">
      <c r="A64" s="74"/>
      <c r="B64" s="287" t="s">
        <v>226</v>
      </c>
      <c r="C64" s="268"/>
      <c r="D64" s="291"/>
      <c r="E64" s="291"/>
      <c r="F64" s="262">
        <f t="shared" si="2"/>
        <v>0</v>
      </c>
      <c r="G64" s="291"/>
      <c r="H64" s="437"/>
    </row>
    <row r="65" spans="1:8" ht="54">
      <c r="A65" s="74"/>
      <c r="B65" s="287" t="s">
        <v>227</v>
      </c>
      <c r="C65" s="268"/>
      <c r="D65" s="291"/>
      <c r="E65" s="291"/>
      <c r="F65" s="262">
        <f t="shared" si="2"/>
        <v>0</v>
      </c>
      <c r="G65" s="291"/>
      <c r="H65" s="437"/>
    </row>
    <row r="66" spans="1:8" ht="18.75">
      <c r="A66" s="68"/>
      <c r="B66" s="287" t="s">
        <v>74</v>
      </c>
      <c r="C66" s="268"/>
      <c r="D66" s="291"/>
      <c r="E66" s="291"/>
      <c r="F66" s="262">
        <f t="shared" si="2"/>
        <v>0</v>
      </c>
      <c r="G66" s="291"/>
      <c r="H66" s="437"/>
    </row>
    <row r="67" spans="1:8" ht="18.75">
      <c r="A67" s="68"/>
      <c r="B67" s="287" t="s">
        <v>96</v>
      </c>
      <c r="C67" s="268"/>
      <c r="D67" s="291"/>
      <c r="E67" s="291"/>
      <c r="F67" s="262">
        <f t="shared" si="2"/>
        <v>0</v>
      </c>
      <c r="G67" s="291"/>
      <c r="H67" s="437"/>
    </row>
    <row r="68" spans="1:8" ht="36">
      <c r="A68" s="68"/>
      <c r="B68" s="287" t="s">
        <v>76</v>
      </c>
      <c r="C68" s="268"/>
      <c r="D68" s="291"/>
      <c r="E68" s="291"/>
      <c r="F68" s="262">
        <f t="shared" si="2"/>
        <v>0</v>
      </c>
      <c r="G68" s="291"/>
      <c r="H68" s="437"/>
    </row>
    <row r="69" spans="1:8" ht="36">
      <c r="A69" s="68"/>
      <c r="B69" s="287" t="s">
        <v>77</v>
      </c>
      <c r="C69" s="268"/>
      <c r="D69" s="291"/>
      <c r="E69" s="291"/>
      <c r="F69" s="262">
        <f t="shared" si="2"/>
        <v>0</v>
      </c>
      <c r="G69" s="291"/>
      <c r="H69" s="437"/>
    </row>
    <row r="70" spans="1:8" ht="18.75">
      <c r="A70" s="68"/>
      <c r="B70" s="287" t="s">
        <v>78</v>
      </c>
      <c r="C70" s="268"/>
      <c r="D70" s="291"/>
      <c r="E70" s="291"/>
      <c r="F70" s="262">
        <f t="shared" si="2"/>
        <v>0</v>
      </c>
      <c r="G70" s="291"/>
      <c r="H70" s="437"/>
    </row>
    <row r="71" spans="1:8" ht="18.75">
      <c r="A71" s="85"/>
      <c r="B71" s="131"/>
      <c r="C71" s="129"/>
      <c r="D71" s="291"/>
      <c r="E71" s="291"/>
      <c r="F71" s="262">
        <f t="shared" si="2"/>
        <v>0</v>
      </c>
      <c r="G71" s="291"/>
      <c r="H71" s="437"/>
    </row>
    <row r="72" spans="1:8" ht="18.75">
      <c r="A72" s="66"/>
      <c r="B72" s="292" t="s">
        <v>79</v>
      </c>
      <c r="C72" s="262">
        <f>C50+C62</f>
        <v>15954</v>
      </c>
      <c r="D72" s="262">
        <f>D50+D62</f>
        <v>16437</v>
      </c>
      <c r="E72" s="262">
        <f>E50+E62</f>
        <v>132</v>
      </c>
      <c r="F72" s="262">
        <f>F50+F62</f>
        <v>16569</v>
      </c>
      <c r="G72" s="262">
        <f>G50+G62</f>
        <v>6823</v>
      </c>
      <c r="H72" s="441">
        <f>G72/F72</f>
        <v>0.4117931076105981</v>
      </c>
    </row>
    <row r="73" spans="1:8" ht="18.75">
      <c r="A73" s="66"/>
      <c r="B73" s="292"/>
      <c r="C73" s="293"/>
      <c r="D73" s="291"/>
      <c r="E73" s="291"/>
      <c r="F73" s="262">
        <f t="shared" si="2"/>
        <v>0</v>
      </c>
      <c r="G73" s="291"/>
      <c r="H73" s="437"/>
    </row>
    <row r="74" spans="1:8" ht="18.75">
      <c r="A74" s="66" t="s">
        <v>21</v>
      </c>
      <c r="B74" s="285" t="s">
        <v>80</v>
      </c>
      <c r="C74" s="262">
        <f>C75+C76</f>
        <v>0</v>
      </c>
      <c r="D74" s="262">
        <f>D75+D76</f>
        <v>0</v>
      </c>
      <c r="E74" s="262">
        <f>E75+E76</f>
        <v>0</v>
      </c>
      <c r="F74" s="262">
        <f t="shared" si="2"/>
        <v>0</v>
      </c>
      <c r="G74" s="291"/>
      <c r="H74" s="437"/>
    </row>
    <row r="75" spans="1:8" ht="18.75">
      <c r="A75" s="74"/>
      <c r="B75" s="286" t="s">
        <v>251</v>
      </c>
      <c r="C75" s="262"/>
      <c r="D75" s="291"/>
      <c r="E75" s="291"/>
      <c r="F75" s="262">
        <f t="shared" si="2"/>
        <v>0</v>
      </c>
      <c r="G75" s="291"/>
      <c r="H75" s="437"/>
    </row>
    <row r="76" spans="1:8" ht="36">
      <c r="A76" s="68"/>
      <c r="B76" s="286" t="s">
        <v>56</v>
      </c>
      <c r="C76" s="270"/>
      <c r="D76" s="291"/>
      <c r="E76" s="291"/>
      <c r="F76" s="262">
        <f t="shared" si="2"/>
        <v>0</v>
      </c>
      <c r="G76" s="291"/>
      <c r="H76" s="437"/>
    </row>
    <row r="77" spans="1:8" ht="18.75">
      <c r="A77" s="79"/>
      <c r="B77" s="294" t="s">
        <v>82</v>
      </c>
      <c r="C77" s="262">
        <f>C50+C62+C74</f>
        <v>15954</v>
      </c>
      <c r="D77" s="262">
        <f>D50+D62+D74</f>
        <v>16437</v>
      </c>
      <c r="E77" s="262">
        <f>E50+E62+E74</f>
        <v>132</v>
      </c>
      <c r="F77" s="262">
        <f>F50+F62+F74</f>
        <v>16569</v>
      </c>
      <c r="G77" s="262">
        <f>G50+G62+G74</f>
        <v>6823</v>
      </c>
      <c r="H77" s="441">
        <f>G77/F77</f>
        <v>0.4117931076105981</v>
      </c>
    </row>
    <row r="78" spans="1:8" ht="18.75">
      <c r="A78" s="81"/>
      <c r="B78" s="295"/>
      <c r="C78" s="265"/>
      <c r="D78" s="291"/>
      <c r="E78" s="291"/>
      <c r="F78" s="262">
        <f t="shared" si="2"/>
        <v>0</v>
      </c>
      <c r="G78" s="291"/>
      <c r="H78" s="437"/>
    </row>
    <row r="79" spans="1:8" ht="18.75">
      <c r="A79" s="83"/>
      <c r="B79" s="296" t="s">
        <v>84</v>
      </c>
      <c r="C79" s="297">
        <v>3</v>
      </c>
      <c r="D79" s="297">
        <v>3</v>
      </c>
      <c r="E79" s="291"/>
      <c r="F79" s="297">
        <f t="shared" si="2"/>
        <v>3</v>
      </c>
      <c r="G79" s="291"/>
      <c r="H79" s="437"/>
    </row>
    <row r="80" spans="1:8" ht="18.75">
      <c r="A80" s="83"/>
      <c r="B80" s="296" t="s">
        <v>85</v>
      </c>
      <c r="C80" s="297">
        <v>0</v>
      </c>
      <c r="D80" s="297">
        <v>0</v>
      </c>
      <c r="E80" s="291"/>
      <c r="F80" s="297">
        <f t="shared" si="2"/>
        <v>0</v>
      </c>
      <c r="G80" s="291"/>
      <c r="H80" s="437"/>
    </row>
    <row r="83" spans="2:3" ht="18">
      <c r="B83" s="290" t="s">
        <v>229</v>
      </c>
      <c r="C83" s="246" t="s">
        <v>2</v>
      </c>
    </row>
    <row r="84" spans="1:2" ht="18">
      <c r="A84" s="246" t="s">
        <v>230</v>
      </c>
      <c r="B84" s="290"/>
    </row>
    <row r="85" spans="1:3" ht="18">
      <c r="A85" s="313">
        <f>C79</f>
        <v>3</v>
      </c>
      <c r="B85" s="246" t="s">
        <v>267</v>
      </c>
      <c r="C85" s="246">
        <f>A85*6*12</f>
        <v>216</v>
      </c>
    </row>
    <row r="86" spans="2:3" ht="18">
      <c r="B86" s="246" t="s">
        <v>258</v>
      </c>
      <c r="C86" s="298">
        <f>C85*0.3422</f>
        <v>73.9152</v>
      </c>
    </row>
    <row r="88" spans="2:3" ht="18">
      <c r="B88" s="301" t="s">
        <v>210</v>
      </c>
      <c r="C88" s="301">
        <f>SUM(C85:C87)</f>
        <v>289.9152</v>
      </c>
    </row>
  </sheetData>
  <sheetProtection selectLockedCells="1" selectUnlockedCells="1"/>
  <mergeCells count="2">
    <mergeCell ref="C6:H6"/>
    <mergeCell ref="C48:H48"/>
  </mergeCells>
  <printOptions/>
  <pageMargins left="0.75" right="0.75" top="1" bottom="1" header="0.5118055555555555" footer="0.5118055555555555"/>
  <pageSetup horizontalDpi="300" verticalDpi="300" orientation="portrait" paperSize="9" scale="47" r:id="rId1"/>
  <rowBreaks count="1" manualBreakCount="1">
    <brk id="4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95"/>
  <sheetViews>
    <sheetView view="pageBreakPreview" zoomScale="50" zoomScaleNormal="65" zoomScaleSheetLayoutView="50" zoomScalePageLayoutView="0" workbookViewId="0" topLeftCell="A43">
      <selection activeCell="E52" sqref="E52"/>
    </sheetView>
  </sheetViews>
  <sheetFormatPr defaultColWidth="9.140625" defaultRowHeight="12.75"/>
  <cols>
    <col min="1" max="1" width="11.421875" style="246" customWidth="1"/>
    <col min="2" max="2" width="61.7109375" style="246" customWidth="1"/>
    <col min="3" max="3" width="21.421875" style="246" customWidth="1"/>
    <col min="4" max="4" width="20.28125" style="246" customWidth="1"/>
    <col min="5" max="5" width="18.421875" style="246" customWidth="1"/>
    <col min="6" max="6" width="19.57421875" style="246" customWidth="1"/>
    <col min="7" max="7" width="16.57421875" style="246" customWidth="1"/>
    <col min="8" max="8" width="24.7109375" style="246" customWidth="1"/>
    <col min="9" max="16384" width="9.140625" style="246" customWidth="1"/>
  </cols>
  <sheetData>
    <row r="1" spans="1:3" s="305" customFormat="1" ht="21" customHeight="1">
      <c r="A1" s="248"/>
      <c r="B1" s="304"/>
      <c r="C1" s="249" t="s">
        <v>359</v>
      </c>
    </row>
    <row r="2" spans="1:3" s="308" customFormat="1" ht="25.5" customHeight="1">
      <c r="A2" s="251"/>
      <c r="B2" s="252" t="s">
        <v>254</v>
      </c>
      <c r="C2" s="306" t="s">
        <v>270</v>
      </c>
    </row>
    <row r="3" spans="1:3" s="308" customFormat="1" ht="18">
      <c r="A3" s="254"/>
      <c r="B3" s="252" t="s">
        <v>271</v>
      </c>
      <c r="C3" s="309"/>
    </row>
    <row r="4" spans="1:8" s="308" customFormat="1" ht="15.75" customHeight="1">
      <c r="A4" s="256"/>
      <c r="B4" s="256"/>
      <c r="C4" s="257" t="s">
        <v>110</v>
      </c>
      <c r="D4" s="307"/>
      <c r="E4" s="307"/>
      <c r="F4" s="307"/>
      <c r="G4" s="310"/>
      <c r="H4" s="310"/>
    </row>
    <row r="5" spans="1:8" ht="36">
      <c r="A5" s="251"/>
      <c r="B5" s="258" t="s">
        <v>217</v>
      </c>
      <c r="C5" s="258" t="s">
        <v>218</v>
      </c>
      <c r="D5" s="307"/>
      <c r="E5" s="307"/>
      <c r="F5" s="307"/>
      <c r="G5" s="307"/>
      <c r="H5" s="307"/>
    </row>
    <row r="6" spans="1:8" s="310" customFormat="1" ht="19.5" customHeight="1">
      <c r="A6" s="251"/>
      <c r="B6" s="251"/>
      <c r="C6" s="471" t="s">
        <v>362</v>
      </c>
      <c r="D6" s="472"/>
      <c r="E6" s="472"/>
      <c r="F6" s="472"/>
      <c r="G6" s="472"/>
      <c r="H6" s="474"/>
    </row>
    <row r="7" spans="1:8" s="310" customFormat="1" ht="76.5" customHeight="1">
      <c r="A7" s="260"/>
      <c r="B7" s="260" t="s">
        <v>219</v>
      </c>
      <c r="C7" s="379" t="s">
        <v>361</v>
      </c>
      <c r="D7" s="379" t="s">
        <v>397</v>
      </c>
      <c r="E7" s="379" t="s">
        <v>360</v>
      </c>
      <c r="F7" s="379" t="s">
        <v>363</v>
      </c>
      <c r="G7" s="379" t="s">
        <v>395</v>
      </c>
      <c r="H7" s="379" t="s">
        <v>398</v>
      </c>
    </row>
    <row r="8" spans="1:8" s="307" customFormat="1" ht="18.75">
      <c r="A8" s="251" t="s">
        <v>7</v>
      </c>
      <c r="B8" s="261" t="s">
        <v>8</v>
      </c>
      <c r="C8" s="262">
        <f>C9+C10+C11+C12+C13+C14</f>
        <v>0</v>
      </c>
      <c r="D8" s="262">
        <f>D9+D10+D11+D12+D13+D14</f>
        <v>0</v>
      </c>
      <c r="E8" s="262">
        <f>E9+E10+E11+E12+E13+E14</f>
        <v>0</v>
      </c>
      <c r="F8" s="262">
        <f aca="true" t="shared" si="0" ref="F8:F26">C8+D8+E8</f>
        <v>0</v>
      </c>
      <c r="G8" s="312"/>
      <c r="H8" s="312"/>
    </row>
    <row r="9" spans="1:8" s="307" customFormat="1" ht="36">
      <c r="A9" s="264"/>
      <c r="B9" s="265" t="s">
        <v>9</v>
      </c>
      <c r="C9" s="262"/>
      <c r="D9" s="291"/>
      <c r="E9" s="291"/>
      <c r="F9" s="262">
        <f t="shared" si="0"/>
        <v>0</v>
      </c>
      <c r="G9" s="312"/>
      <c r="H9" s="312"/>
    </row>
    <row r="10" spans="1:8" s="307" customFormat="1" ht="36">
      <c r="A10" s="64"/>
      <c r="B10" s="265" t="s">
        <v>10</v>
      </c>
      <c r="C10" s="268"/>
      <c r="D10" s="291"/>
      <c r="E10" s="291"/>
      <c r="F10" s="262">
        <f t="shared" si="0"/>
        <v>0</v>
      </c>
      <c r="G10" s="312"/>
      <c r="H10" s="312"/>
    </row>
    <row r="11" spans="1:8" s="307" customFormat="1" ht="36">
      <c r="A11" s="64"/>
      <c r="B11" s="265" t="s">
        <v>11</v>
      </c>
      <c r="C11" s="268"/>
      <c r="D11" s="312"/>
      <c r="E11" s="312"/>
      <c r="F11" s="262">
        <f t="shared" si="0"/>
        <v>0</v>
      </c>
      <c r="G11" s="312"/>
      <c r="H11" s="312"/>
    </row>
    <row r="12" spans="1:8" s="307" customFormat="1" ht="36">
      <c r="A12" s="64"/>
      <c r="B12" s="265" t="s">
        <v>12</v>
      </c>
      <c r="C12" s="268"/>
      <c r="D12" s="291"/>
      <c r="E12" s="291"/>
      <c r="F12" s="262">
        <f t="shared" si="0"/>
        <v>0</v>
      </c>
      <c r="G12" s="312"/>
      <c r="H12" s="312"/>
    </row>
    <row r="13" spans="1:8" s="307" customFormat="1" ht="18.75">
      <c r="A13" s="64"/>
      <c r="B13" s="265" t="s">
        <v>86</v>
      </c>
      <c r="C13" s="268"/>
      <c r="D13" s="291"/>
      <c r="E13" s="291"/>
      <c r="F13" s="262">
        <f t="shared" si="0"/>
        <v>0</v>
      </c>
      <c r="G13" s="312"/>
      <c r="H13" s="312"/>
    </row>
    <row r="14" spans="1:8" s="307" customFormat="1" ht="18.75">
      <c r="A14" s="64"/>
      <c r="B14" s="265" t="s">
        <v>14</v>
      </c>
      <c r="C14" s="268"/>
      <c r="D14" s="291"/>
      <c r="E14" s="291"/>
      <c r="F14" s="262">
        <f t="shared" si="0"/>
        <v>0</v>
      </c>
      <c r="G14" s="312"/>
      <c r="H14" s="312"/>
    </row>
    <row r="15" spans="1:8" ht="36">
      <c r="A15" s="64" t="s">
        <v>15</v>
      </c>
      <c r="B15" s="261" t="s">
        <v>16</v>
      </c>
      <c r="C15" s="268">
        <f>C16+C17+C18+C19</f>
        <v>0</v>
      </c>
      <c r="D15" s="268">
        <f>D16+D17+D18+D19</f>
        <v>0</v>
      </c>
      <c r="E15" s="268">
        <f>E16+E17+E18+E19</f>
        <v>0</v>
      </c>
      <c r="F15" s="262">
        <f t="shared" si="0"/>
        <v>0</v>
      </c>
      <c r="G15" s="291"/>
      <c r="H15" s="291"/>
    </row>
    <row r="16" spans="1:8" ht="36">
      <c r="A16" s="264"/>
      <c r="B16" s="265" t="s">
        <v>17</v>
      </c>
      <c r="C16" s="262"/>
      <c r="D16" s="312"/>
      <c r="E16" s="312"/>
      <c r="F16" s="262">
        <f t="shared" si="0"/>
        <v>0</v>
      </c>
      <c r="G16" s="291"/>
      <c r="H16" s="291"/>
    </row>
    <row r="17" spans="1:8" s="307" customFormat="1" ht="36">
      <c r="A17" s="64"/>
      <c r="B17" s="265" t="s">
        <v>18</v>
      </c>
      <c r="C17" s="268"/>
      <c r="D17" s="312"/>
      <c r="E17" s="312"/>
      <c r="F17" s="262">
        <f t="shared" si="0"/>
        <v>0</v>
      </c>
      <c r="G17" s="312"/>
      <c r="H17" s="312"/>
    </row>
    <row r="18" spans="1:8" ht="36">
      <c r="A18" s="64"/>
      <c r="B18" s="265" t="s">
        <v>19</v>
      </c>
      <c r="C18" s="268"/>
      <c r="D18" s="312"/>
      <c r="E18" s="312"/>
      <c r="F18" s="262">
        <f t="shared" si="0"/>
        <v>0</v>
      </c>
      <c r="G18" s="291"/>
      <c r="H18" s="291"/>
    </row>
    <row r="19" spans="1:8" ht="36">
      <c r="A19" s="64"/>
      <c r="B19" s="265" t="s">
        <v>20</v>
      </c>
      <c r="C19" s="268"/>
      <c r="D19" s="312"/>
      <c r="E19" s="312"/>
      <c r="F19" s="262">
        <f t="shared" si="0"/>
        <v>0</v>
      </c>
      <c r="G19" s="291"/>
      <c r="H19" s="291"/>
    </row>
    <row r="20" spans="1:8" ht="36">
      <c r="A20" s="64" t="s">
        <v>21</v>
      </c>
      <c r="B20" s="271" t="s">
        <v>22</v>
      </c>
      <c r="C20" s="268">
        <f>C21</f>
        <v>0</v>
      </c>
      <c r="D20" s="268">
        <f>D21</f>
        <v>0</v>
      </c>
      <c r="E20" s="268">
        <f>E21</f>
        <v>0</v>
      </c>
      <c r="F20" s="262">
        <f t="shared" si="0"/>
        <v>0</v>
      </c>
      <c r="G20" s="291"/>
      <c r="H20" s="291"/>
    </row>
    <row r="21" spans="1:8" ht="36">
      <c r="A21" s="64"/>
      <c r="B21" s="272" t="s">
        <v>246</v>
      </c>
      <c r="C21" s="268"/>
      <c r="D21" s="291"/>
      <c r="E21" s="291"/>
      <c r="F21" s="262">
        <f t="shared" si="0"/>
        <v>0</v>
      </c>
      <c r="G21" s="291"/>
      <c r="H21" s="291"/>
    </row>
    <row r="22" spans="1:8" ht="18">
      <c r="A22" s="275" t="s">
        <v>24</v>
      </c>
      <c r="B22" s="271" t="s">
        <v>25</v>
      </c>
      <c r="C22" s="268">
        <f>C23+C24+C25+C26</f>
        <v>0</v>
      </c>
      <c r="D22" s="268">
        <f>D23+D24+D25+D26</f>
        <v>0</v>
      </c>
      <c r="E22" s="268">
        <f>E23+E24+E25+E26</f>
        <v>0</v>
      </c>
      <c r="F22" s="262">
        <f t="shared" si="0"/>
        <v>0</v>
      </c>
      <c r="G22" s="291"/>
      <c r="H22" s="291"/>
    </row>
    <row r="23" spans="1:8" s="307" customFormat="1" ht="36">
      <c r="A23" s="64"/>
      <c r="B23" s="276" t="s">
        <v>26</v>
      </c>
      <c r="C23" s="268"/>
      <c r="D23" s="312"/>
      <c r="E23" s="312"/>
      <c r="F23" s="262">
        <f t="shared" si="0"/>
        <v>0</v>
      </c>
      <c r="G23" s="312"/>
      <c r="H23" s="312"/>
    </row>
    <row r="24" spans="1:8" s="307" customFormat="1" ht="18.75">
      <c r="A24" s="65"/>
      <c r="B24" s="276" t="s">
        <v>27</v>
      </c>
      <c r="C24" s="268"/>
      <c r="D24" s="291"/>
      <c r="E24" s="291"/>
      <c r="F24" s="262">
        <f t="shared" si="0"/>
        <v>0</v>
      </c>
      <c r="G24" s="312"/>
      <c r="H24" s="312"/>
    </row>
    <row r="25" spans="1:8" s="307" customFormat="1" ht="18.75">
      <c r="A25" s="64"/>
      <c r="B25" s="276" t="s">
        <v>28</v>
      </c>
      <c r="C25" s="270"/>
      <c r="D25" s="291"/>
      <c r="E25" s="291"/>
      <c r="F25" s="262">
        <f t="shared" si="0"/>
        <v>0</v>
      </c>
      <c r="G25" s="312"/>
      <c r="H25" s="312"/>
    </row>
    <row r="26" spans="1:8" s="307" customFormat="1" ht="90">
      <c r="A26" s="264"/>
      <c r="B26" s="276" t="s">
        <v>29</v>
      </c>
      <c r="C26" s="262"/>
      <c r="D26" s="291"/>
      <c r="E26" s="291"/>
      <c r="F26" s="262">
        <f t="shared" si="0"/>
        <v>0</v>
      </c>
      <c r="G26" s="312"/>
      <c r="H26" s="312"/>
    </row>
    <row r="27" spans="1:8" ht="18.75">
      <c r="A27" s="275" t="s">
        <v>30</v>
      </c>
      <c r="B27" s="278" t="s">
        <v>31</v>
      </c>
      <c r="C27" s="270">
        <f>C28+C29+C30+C31+C32</f>
        <v>8084</v>
      </c>
      <c r="D27" s="270">
        <f>D28+D29+D30+D31+D32</f>
        <v>8084</v>
      </c>
      <c r="E27" s="270">
        <f>E28+E29+E30+E31+E32</f>
        <v>0</v>
      </c>
      <c r="F27" s="270">
        <f>F28+F29+F30+F31+F32</f>
        <v>8084</v>
      </c>
      <c r="G27" s="270">
        <f>G28+G29+G30+G31+G32</f>
        <v>2073</v>
      </c>
      <c r="H27" s="437">
        <f>G27/F27</f>
        <v>0.25643245917862445</v>
      </c>
    </row>
    <row r="28" spans="1:8" ht="54">
      <c r="A28" s="64"/>
      <c r="B28" s="265" t="s">
        <v>32</v>
      </c>
      <c r="C28" s="268">
        <v>8084</v>
      </c>
      <c r="D28" s="268">
        <v>8084</v>
      </c>
      <c r="E28" s="312"/>
      <c r="F28" s="262">
        <f aca="true" t="shared" si="1" ref="F28:F44">D28+E28</f>
        <v>8084</v>
      </c>
      <c r="G28" s="268">
        <v>2073</v>
      </c>
      <c r="H28" s="437">
        <f>G28/F28</f>
        <v>0.25643245917862445</v>
      </c>
    </row>
    <row r="29" spans="1:8" ht="18.75">
      <c r="A29" s="64"/>
      <c r="B29" s="265" t="s">
        <v>33</v>
      </c>
      <c r="C29" s="268"/>
      <c r="D29" s="268"/>
      <c r="E29" s="312"/>
      <c r="F29" s="262">
        <f t="shared" si="1"/>
        <v>0</v>
      </c>
      <c r="G29" s="291"/>
      <c r="H29" s="437"/>
    </row>
    <row r="30" spans="1:8" ht="18.75">
      <c r="A30" s="64"/>
      <c r="B30" s="265" t="s">
        <v>34</v>
      </c>
      <c r="C30" s="268"/>
      <c r="D30" s="312"/>
      <c r="E30" s="312"/>
      <c r="F30" s="262">
        <f t="shared" si="1"/>
        <v>0</v>
      </c>
      <c r="G30" s="291"/>
      <c r="H30" s="437"/>
    </row>
    <row r="31" spans="1:8" s="310" customFormat="1" ht="18.75">
      <c r="A31" s="64"/>
      <c r="B31" s="265" t="s">
        <v>35</v>
      </c>
      <c r="C31" s="268"/>
      <c r="D31" s="312"/>
      <c r="E31" s="312"/>
      <c r="F31" s="262">
        <f t="shared" si="1"/>
        <v>0</v>
      </c>
      <c r="G31" s="311"/>
      <c r="H31" s="437"/>
    </row>
    <row r="32" spans="1:8" s="307" customFormat="1" ht="18.75">
      <c r="A32" s="64"/>
      <c r="B32" s="265" t="s">
        <v>36</v>
      </c>
      <c r="C32" s="268"/>
      <c r="D32" s="312"/>
      <c r="E32" s="312"/>
      <c r="F32" s="262">
        <f t="shared" si="1"/>
        <v>0</v>
      </c>
      <c r="G32" s="312"/>
      <c r="H32" s="437"/>
    </row>
    <row r="33" spans="1:8" ht="18.75">
      <c r="A33" s="275" t="s">
        <v>37</v>
      </c>
      <c r="B33" s="271" t="s">
        <v>38</v>
      </c>
      <c r="C33" s="268">
        <f>C34+C35</f>
        <v>0</v>
      </c>
      <c r="D33" s="268">
        <f>D34+D35</f>
        <v>0</v>
      </c>
      <c r="E33" s="268">
        <f>E34+E35</f>
        <v>0</v>
      </c>
      <c r="F33" s="262">
        <f t="shared" si="1"/>
        <v>0</v>
      </c>
      <c r="G33" s="291"/>
      <c r="H33" s="437"/>
    </row>
    <row r="34" spans="1:8" ht="18.75">
      <c r="A34" s="65"/>
      <c r="B34" s="265" t="s">
        <v>39</v>
      </c>
      <c r="C34" s="268"/>
      <c r="D34" s="291"/>
      <c r="E34" s="291"/>
      <c r="F34" s="262">
        <f t="shared" si="1"/>
        <v>0</v>
      </c>
      <c r="G34" s="291"/>
      <c r="H34" s="437"/>
    </row>
    <row r="35" spans="1:8" ht="18.75">
      <c r="A35" s="66"/>
      <c r="B35" s="265" t="s">
        <v>107</v>
      </c>
      <c r="C35" s="262"/>
      <c r="D35" s="312"/>
      <c r="E35" s="312"/>
      <c r="F35" s="262">
        <f t="shared" si="1"/>
        <v>0</v>
      </c>
      <c r="G35" s="291"/>
      <c r="H35" s="437"/>
    </row>
    <row r="36" spans="1:8" ht="18.75">
      <c r="A36" s="279" t="s">
        <v>40</v>
      </c>
      <c r="B36" s="271" t="s">
        <v>41</v>
      </c>
      <c r="C36" s="266">
        <f>C37</f>
        <v>0</v>
      </c>
      <c r="D36" s="266">
        <f>D37</f>
        <v>0</v>
      </c>
      <c r="E36" s="266">
        <f>E37</f>
        <v>0</v>
      </c>
      <c r="F36" s="262">
        <f t="shared" si="1"/>
        <v>0</v>
      </c>
      <c r="G36" s="291"/>
      <c r="H36" s="437"/>
    </row>
    <row r="37" spans="1:8" ht="18.75">
      <c r="A37" s="68"/>
      <c r="B37" s="265" t="s">
        <v>221</v>
      </c>
      <c r="C37" s="268"/>
      <c r="D37" s="291"/>
      <c r="E37" s="291"/>
      <c r="F37" s="262">
        <f t="shared" si="1"/>
        <v>0</v>
      </c>
      <c r="G37" s="291"/>
      <c r="H37" s="437"/>
    </row>
    <row r="38" spans="1:8" ht="18.75">
      <c r="A38" s="279" t="s">
        <v>43</v>
      </c>
      <c r="B38" s="271" t="s">
        <v>44</v>
      </c>
      <c r="C38" s="268">
        <f>C39+C40</f>
        <v>0</v>
      </c>
      <c r="D38" s="268">
        <f>D39+D40</f>
        <v>0</v>
      </c>
      <c r="E38" s="268">
        <f>E39+E40</f>
        <v>0</v>
      </c>
      <c r="F38" s="262">
        <f t="shared" si="1"/>
        <v>0</v>
      </c>
      <c r="G38" s="291"/>
      <c r="H38" s="437"/>
    </row>
    <row r="39" spans="1:8" s="307" customFormat="1" ht="54">
      <c r="A39" s="68"/>
      <c r="B39" s="276" t="s">
        <v>247</v>
      </c>
      <c r="C39" s="268"/>
      <c r="D39" s="291"/>
      <c r="E39" s="291"/>
      <c r="F39" s="262">
        <f t="shared" si="1"/>
        <v>0</v>
      </c>
      <c r="G39" s="312"/>
      <c r="H39" s="437"/>
    </row>
    <row r="40" spans="1:8" ht="36">
      <c r="A40" s="68"/>
      <c r="B40" s="276" t="s">
        <v>248</v>
      </c>
      <c r="C40" s="268"/>
      <c r="D40" s="312"/>
      <c r="E40" s="312"/>
      <c r="F40" s="262">
        <f t="shared" si="1"/>
        <v>0</v>
      </c>
      <c r="G40" s="291"/>
      <c r="H40" s="437"/>
    </row>
    <row r="41" spans="1:8" ht="41.25" customHeight="1">
      <c r="A41" s="68"/>
      <c r="B41" s="271" t="s">
        <v>47</v>
      </c>
      <c r="C41" s="270">
        <f>C8+C15+C20+C22+C27+C33+C36+C38</f>
        <v>8084</v>
      </c>
      <c r="D41" s="270">
        <f>D8+D15+D20+D22+D27+D33+D36+D38</f>
        <v>8084</v>
      </c>
      <c r="E41" s="270">
        <f>E8+E15+E20+E22+E27+E33+E36+E38</f>
        <v>0</v>
      </c>
      <c r="F41" s="262">
        <f t="shared" si="1"/>
        <v>8084</v>
      </c>
      <c r="G41" s="270">
        <v>2073</v>
      </c>
      <c r="H41" s="437">
        <f>G41/F41</f>
        <v>0.25643245917862445</v>
      </c>
    </row>
    <row r="42" spans="1:8" ht="18.75">
      <c r="A42" s="279" t="s">
        <v>48</v>
      </c>
      <c r="B42" s="271" t="s">
        <v>249</v>
      </c>
      <c r="C42" s="262">
        <f>C77-C41-C43</f>
        <v>127097</v>
      </c>
      <c r="D42" s="262">
        <f>D77-D41-D43</f>
        <v>127800</v>
      </c>
      <c r="E42" s="262">
        <f>E77-E41-E43</f>
        <v>-6466</v>
      </c>
      <c r="F42" s="262">
        <f>F77-F41-F43</f>
        <v>121334</v>
      </c>
      <c r="G42" s="262">
        <v>61048</v>
      </c>
      <c r="H42" s="441">
        <f>G42/F42</f>
        <v>0.5031400926368537</v>
      </c>
    </row>
    <row r="43" spans="1:8" ht="36">
      <c r="A43" s="279" t="s">
        <v>50</v>
      </c>
      <c r="B43" s="271" t="s">
        <v>51</v>
      </c>
      <c r="C43" s="268"/>
      <c r="D43" s="268">
        <v>6981</v>
      </c>
      <c r="E43" s="312"/>
      <c r="F43" s="262">
        <f t="shared" si="1"/>
        <v>6981</v>
      </c>
      <c r="G43" s="268">
        <v>6981</v>
      </c>
      <c r="H43" s="437">
        <f>G43/F43</f>
        <v>1</v>
      </c>
    </row>
    <row r="44" spans="1:8" ht="36">
      <c r="A44" s="279" t="s">
        <v>52</v>
      </c>
      <c r="B44" s="271" t="s">
        <v>53</v>
      </c>
      <c r="C44" s="268"/>
      <c r="D44" s="312"/>
      <c r="E44" s="312"/>
      <c r="F44" s="262">
        <f t="shared" si="1"/>
        <v>0</v>
      </c>
      <c r="G44" s="291"/>
      <c r="H44" s="437"/>
    </row>
    <row r="45" spans="1:8" ht="18.75">
      <c r="A45" s="68"/>
      <c r="B45" s="271" t="s">
        <v>54</v>
      </c>
      <c r="C45" s="270">
        <f>C42+C43+C44</f>
        <v>127097</v>
      </c>
      <c r="D45" s="270">
        <f>D42+D43+D44</f>
        <v>134781</v>
      </c>
      <c r="E45" s="270">
        <f>E42+E43+E44</f>
        <v>-6466</v>
      </c>
      <c r="F45" s="270">
        <f>F42+F43+F44</f>
        <v>128315</v>
      </c>
      <c r="G45" s="270">
        <f>G42+G43+G44</f>
        <v>68029</v>
      </c>
      <c r="H45" s="441">
        <f>G45/F45</f>
        <v>0.5301718427307798</v>
      </c>
    </row>
    <row r="46" spans="1:8" ht="31.5" customHeight="1">
      <c r="A46" s="68"/>
      <c r="B46" s="261" t="s">
        <v>57</v>
      </c>
      <c r="C46" s="270">
        <f>C41+C45</f>
        <v>135181</v>
      </c>
      <c r="D46" s="270">
        <f>D41+D45</f>
        <v>142865</v>
      </c>
      <c r="E46" s="270">
        <f>E41+E45</f>
        <v>-6466</v>
      </c>
      <c r="F46" s="270">
        <f>F41+F45</f>
        <v>136399</v>
      </c>
      <c r="G46" s="270">
        <f>G41+G45</f>
        <v>70102</v>
      </c>
      <c r="H46" s="441">
        <f>G46/F46</f>
        <v>0.5139480494725035</v>
      </c>
    </row>
    <row r="47" spans="1:8" ht="14.25" customHeight="1">
      <c r="A47" s="281"/>
      <c r="B47" s="282"/>
      <c r="C47" s="283"/>
      <c r="D47" s="307"/>
      <c r="E47" s="307"/>
      <c r="F47" s="307"/>
      <c r="H47" s="437"/>
    </row>
    <row r="48" spans="1:8" ht="20.25">
      <c r="A48" s="81"/>
      <c r="B48" s="81"/>
      <c r="C48" s="471" t="s">
        <v>362</v>
      </c>
      <c r="D48" s="472"/>
      <c r="E48" s="472"/>
      <c r="F48" s="472"/>
      <c r="G48" s="472"/>
      <c r="H48" s="474"/>
    </row>
    <row r="49" spans="1:8" ht="65.25" customHeight="1">
      <c r="A49" s="284"/>
      <c r="B49" s="284" t="s">
        <v>225</v>
      </c>
      <c r="C49" s="379" t="s">
        <v>361</v>
      </c>
      <c r="D49" s="379" t="s">
        <v>397</v>
      </c>
      <c r="E49" s="379" t="s">
        <v>360</v>
      </c>
      <c r="F49" s="379" t="s">
        <v>363</v>
      </c>
      <c r="G49" s="379" t="s">
        <v>395</v>
      </c>
      <c r="H49" s="379" t="s">
        <v>398</v>
      </c>
    </row>
    <row r="50" spans="1:8" ht="18.75">
      <c r="A50" s="66" t="s">
        <v>7</v>
      </c>
      <c r="B50" s="285" t="s">
        <v>59</v>
      </c>
      <c r="C50" s="262">
        <f>C51+C52+C53+C56+C57</f>
        <v>135181</v>
      </c>
      <c r="D50" s="262">
        <f>D51+D52+D53+D56+D57</f>
        <v>142865</v>
      </c>
      <c r="E50" s="262">
        <f>E51+E52+E53+E56+E57</f>
        <v>-6466</v>
      </c>
      <c r="F50" s="262">
        <f>F51+F52+F53+F56+F57</f>
        <v>136399</v>
      </c>
      <c r="G50" s="262">
        <f>G51+G52+G53+G56+G57</f>
        <v>59326</v>
      </c>
      <c r="H50" s="441">
        <f>G50/F50</f>
        <v>0.43494453771655217</v>
      </c>
    </row>
    <row r="51" spans="1:8" ht="18.75">
      <c r="A51" s="74"/>
      <c r="B51" s="286" t="s">
        <v>60</v>
      </c>
      <c r="C51" s="268">
        <v>60320</v>
      </c>
      <c r="D51" s="268">
        <v>66792</v>
      </c>
      <c r="E51" s="268">
        <v>196</v>
      </c>
      <c r="F51" s="262">
        <f aca="true" t="shared" si="2" ref="F51:F78">D51+E51</f>
        <v>66988</v>
      </c>
      <c r="G51" s="268">
        <v>30370</v>
      </c>
      <c r="H51" s="437">
        <f>G51/F51</f>
        <v>0.45336478175195555</v>
      </c>
    </row>
    <row r="52" spans="1:8" ht="36">
      <c r="A52" s="68"/>
      <c r="B52" s="287" t="s">
        <v>61</v>
      </c>
      <c r="C52" s="268">
        <v>12387</v>
      </c>
      <c r="D52" s="268">
        <v>13599</v>
      </c>
      <c r="E52" s="268">
        <v>38</v>
      </c>
      <c r="F52" s="262">
        <f t="shared" si="2"/>
        <v>13637</v>
      </c>
      <c r="G52" s="268">
        <v>7193</v>
      </c>
      <c r="H52" s="437">
        <f>G52/F52</f>
        <v>0.5274620517709173</v>
      </c>
    </row>
    <row r="53" spans="1:8" ht="18.75">
      <c r="A53" s="68"/>
      <c r="B53" s="287" t="s">
        <v>62</v>
      </c>
      <c r="C53" s="268">
        <v>62474</v>
      </c>
      <c r="D53" s="268">
        <v>62474</v>
      </c>
      <c r="E53" s="268">
        <v>-6700</v>
      </c>
      <c r="F53" s="262">
        <f t="shared" si="2"/>
        <v>55774</v>
      </c>
      <c r="G53" s="268">
        <v>21763</v>
      </c>
      <c r="H53" s="437">
        <f>G53/F53</f>
        <v>0.3901997346433822</v>
      </c>
    </row>
    <row r="54" spans="1:8" ht="54">
      <c r="A54" s="68"/>
      <c r="B54" s="287" t="s">
        <v>250</v>
      </c>
      <c r="C54" s="268"/>
      <c r="D54" s="291"/>
      <c r="E54" s="291"/>
      <c r="F54" s="262">
        <f t="shared" si="2"/>
        <v>0</v>
      </c>
      <c r="G54" s="291"/>
      <c r="H54" s="437"/>
    </row>
    <row r="55" spans="1:8" ht="18.75">
      <c r="A55" s="68"/>
      <c r="B55" s="287" t="s">
        <v>64</v>
      </c>
      <c r="C55" s="268"/>
      <c r="D55" s="291"/>
      <c r="E55" s="291"/>
      <c r="F55" s="262">
        <f t="shared" si="2"/>
        <v>0</v>
      </c>
      <c r="G55" s="291"/>
      <c r="H55" s="437"/>
    </row>
    <row r="56" spans="1:8" ht="18.75">
      <c r="A56" s="68"/>
      <c r="B56" s="287" t="s">
        <v>65</v>
      </c>
      <c r="C56" s="268"/>
      <c r="D56" s="268"/>
      <c r="E56" s="291"/>
      <c r="F56" s="262">
        <f t="shared" si="2"/>
        <v>0</v>
      </c>
      <c r="G56" s="291"/>
      <c r="H56" s="437"/>
    </row>
    <row r="57" spans="1:8" ht="18.75">
      <c r="A57" s="68"/>
      <c r="B57" s="287" t="s">
        <v>66</v>
      </c>
      <c r="C57" s="268">
        <f>SUM(C58:C61)</f>
        <v>0</v>
      </c>
      <c r="D57" s="291"/>
      <c r="E57" s="291"/>
      <c r="F57" s="262">
        <f t="shared" si="2"/>
        <v>0</v>
      </c>
      <c r="G57" s="291"/>
      <c r="H57" s="437"/>
    </row>
    <row r="58" spans="1:8" ht="18.75">
      <c r="A58" s="68"/>
      <c r="B58" s="287" t="s">
        <v>67</v>
      </c>
      <c r="C58" s="268"/>
      <c r="D58" s="291"/>
      <c r="E58" s="291"/>
      <c r="F58" s="262">
        <f t="shared" si="2"/>
        <v>0</v>
      </c>
      <c r="G58" s="291"/>
      <c r="H58" s="437"/>
    </row>
    <row r="59" spans="1:8" ht="36">
      <c r="A59" s="68"/>
      <c r="B59" s="287" t="s">
        <v>68</v>
      </c>
      <c r="C59" s="268"/>
      <c r="D59" s="291"/>
      <c r="E59" s="291"/>
      <c r="F59" s="262">
        <f t="shared" si="2"/>
        <v>0</v>
      </c>
      <c r="G59" s="291"/>
      <c r="H59" s="437"/>
    </row>
    <row r="60" spans="1:8" ht="36">
      <c r="A60" s="68"/>
      <c r="B60" s="287" t="s">
        <v>69</v>
      </c>
      <c r="C60" s="268"/>
      <c r="D60" s="291"/>
      <c r="E60" s="291"/>
      <c r="F60" s="262">
        <f t="shared" si="2"/>
        <v>0</v>
      </c>
      <c r="G60" s="291"/>
      <c r="H60" s="437"/>
    </row>
    <row r="61" spans="1:8" ht="18.75">
      <c r="A61" s="68"/>
      <c r="B61" s="288"/>
      <c r="C61" s="268"/>
      <c r="D61" s="291"/>
      <c r="E61" s="291"/>
      <c r="F61" s="262">
        <f t="shared" si="2"/>
        <v>0</v>
      </c>
      <c r="G61" s="291"/>
      <c r="H61" s="437"/>
    </row>
    <row r="62" spans="1:8" ht="18.75">
      <c r="A62" s="66" t="s">
        <v>15</v>
      </c>
      <c r="B62" s="285" t="s">
        <v>70</v>
      </c>
      <c r="C62" s="262">
        <f>C63+C66+C67+C70</f>
        <v>0</v>
      </c>
      <c r="D62" s="262">
        <f>D63+D66+D67+D70</f>
        <v>0</v>
      </c>
      <c r="E62" s="262">
        <f>E63+E66+E67+E70</f>
        <v>0</v>
      </c>
      <c r="F62" s="262">
        <f t="shared" si="2"/>
        <v>0</v>
      </c>
      <c r="G62" s="291"/>
      <c r="H62" s="437"/>
    </row>
    <row r="63" spans="1:8" ht="18.75">
      <c r="A63" s="74"/>
      <c r="B63" s="123" t="s">
        <v>71</v>
      </c>
      <c r="C63" s="268"/>
      <c r="D63" s="291"/>
      <c r="E63" s="291"/>
      <c r="F63" s="262">
        <f t="shared" si="2"/>
        <v>0</v>
      </c>
      <c r="G63" s="291"/>
      <c r="H63" s="437"/>
    </row>
    <row r="64" spans="1:8" ht="54">
      <c r="A64" s="74"/>
      <c r="B64" s="287" t="s">
        <v>226</v>
      </c>
      <c r="C64" s="268"/>
      <c r="D64" s="291"/>
      <c r="E64" s="291"/>
      <c r="F64" s="262">
        <f t="shared" si="2"/>
        <v>0</v>
      </c>
      <c r="G64" s="291"/>
      <c r="H64" s="437"/>
    </row>
    <row r="65" spans="1:8" ht="54">
      <c r="A65" s="74"/>
      <c r="B65" s="287" t="s">
        <v>227</v>
      </c>
      <c r="C65" s="268"/>
      <c r="D65" s="291"/>
      <c r="E65" s="291"/>
      <c r="F65" s="262">
        <f t="shared" si="2"/>
        <v>0</v>
      </c>
      <c r="G65" s="291"/>
      <c r="H65" s="437"/>
    </row>
    <row r="66" spans="1:8" ht="18.75">
      <c r="A66" s="68"/>
      <c r="B66" s="287" t="s">
        <v>74</v>
      </c>
      <c r="C66" s="268"/>
      <c r="D66" s="291"/>
      <c r="E66" s="291"/>
      <c r="F66" s="262">
        <f t="shared" si="2"/>
        <v>0</v>
      </c>
      <c r="G66" s="291"/>
      <c r="H66" s="437"/>
    </row>
    <row r="67" spans="1:8" ht="18.75">
      <c r="A67" s="68"/>
      <c r="B67" s="287" t="s">
        <v>96</v>
      </c>
      <c r="C67" s="268"/>
      <c r="D67" s="291"/>
      <c r="E67" s="291"/>
      <c r="F67" s="262">
        <f t="shared" si="2"/>
        <v>0</v>
      </c>
      <c r="G67" s="291"/>
      <c r="H67" s="437"/>
    </row>
    <row r="68" spans="1:8" ht="36">
      <c r="A68" s="68"/>
      <c r="B68" s="287" t="s">
        <v>76</v>
      </c>
      <c r="C68" s="268"/>
      <c r="D68" s="291"/>
      <c r="E68" s="291"/>
      <c r="F68" s="262">
        <f t="shared" si="2"/>
        <v>0</v>
      </c>
      <c r="G68" s="291"/>
      <c r="H68" s="437"/>
    </row>
    <row r="69" spans="1:8" ht="36">
      <c r="A69" s="68"/>
      <c r="B69" s="287" t="s">
        <v>77</v>
      </c>
      <c r="C69" s="268"/>
      <c r="D69" s="291"/>
      <c r="E69" s="291"/>
      <c r="F69" s="262">
        <f t="shared" si="2"/>
        <v>0</v>
      </c>
      <c r="G69" s="291"/>
      <c r="H69" s="437"/>
    </row>
    <row r="70" spans="1:8" ht="18.75">
      <c r="A70" s="68"/>
      <c r="B70" s="287" t="s">
        <v>78</v>
      </c>
      <c r="C70" s="268"/>
      <c r="D70" s="291"/>
      <c r="E70" s="291"/>
      <c r="F70" s="262">
        <f t="shared" si="2"/>
        <v>0</v>
      </c>
      <c r="G70" s="291"/>
      <c r="H70" s="437"/>
    </row>
    <row r="71" spans="1:8" ht="18.75">
      <c r="A71" s="85"/>
      <c r="B71" s="131"/>
      <c r="C71" s="129"/>
      <c r="D71" s="291"/>
      <c r="E71" s="291"/>
      <c r="F71" s="262">
        <f t="shared" si="2"/>
        <v>0</v>
      </c>
      <c r="G71" s="291"/>
      <c r="H71" s="437"/>
    </row>
    <row r="72" spans="1:8" ht="18.75">
      <c r="A72" s="66"/>
      <c r="B72" s="292" t="s">
        <v>79</v>
      </c>
      <c r="C72" s="262">
        <f>C50+C62</f>
        <v>135181</v>
      </c>
      <c r="D72" s="262">
        <f>D50+D62</f>
        <v>142865</v>
      </c>
      <c r="E72" s="262">
        <f>E50+E62</f>
        <v>-6466</v>
      </c>
      <c r="F72" s="262">
        <f>F50+F62</f>
        <v>136399</v>
      </c>
      <c r="G72" s="262">
        <f>G50+G62</f>
        <v>59326</v>
      </c>
      <c r="H72" s="441">
        <f>G72/F72</f>
        <v>0.43494453771655217</v>
      </c>
    </row>
    <row r="73" spans="1:8" ht="18.75">
      <c r="A73" s="66"/>
      <c r="B73" s="292"/>
      <c r="C73" s="293"/>
      <c r="D73" s="291"/>
      <c r="E73" s="291"/>
      <c r="F73" s="262">
        <f t="shared" si="2"/>
        <v>0</v>
      </c>
      <c r="G73" s="291"/>
      <c r="H73" s="437"/>
    </row>
    <row r="74" spans="1:8" ht="18.75">
      <c r="A74" s="66" t="s">
        <v>21</v>
      </c>
      <c r="B74" s="285" t="s">
        <v>80</v>
      </c>
      <c r="C74" s="262">
        <f>C75+C76</f>
        <v>0</v>
      </c>
      <c r="D74" s="262">
        <f>D75+D76</f>
        <v>0</v>
      </c>
      <c r="E74" s="262">
        <f>E75+E76</f>
        <v>0</v>
      </c>
      <c r="F74" s="262">
        <f t="shared" si="2"/>
        <v>0</v>
      </c>
      <c r="G74" s="291"/>
      <c r="H74" s="437"/>
    </row>
    <row r="75" spans="1:8" ht="18.75">
      <c r="A75" s="74"/>
      <c r="B75" s="286" t="s">
        <v>251</v>
      </c>
      <c r="C75" s="262"/>
      <c r="D75" s="291"/>
      <c r="E75" s="291"/>
      <c r="F75" s="262">
        <f t="shared" si="2"/>
        <v>0</v>
      </c>
      <c r="G75" s="291"/>
      <c r="H75" s="437"/>
    </row>
    <row r="76" spans="1:8" ht="36">
      <c r="A76" s="68"/>
      <c r="B76" s="286" t="s">
        <v>56</v>
      </c>
      <c r="C76" s="270"/>
      <c r="D76" s="291"/>
      <c r="E76" s="291"/>
      <c r="F76" s="262">
        <f t="shared" si="2"/>
        <v>0</v>
      </c>
      <c r="G76" s="291"/>
      <c r="H76" s="437"/>
    </row>
    <row r="77" spans="1:8" ht="18.75">
      <c r="A77" s="79"/>
      <c r="B77" s="294" t="s">
        <v>82</v>
      </c>
      <c r="C77" s="262">
        <f>C50+C62+C74</f>
        <v>135181</v>
      </c>
      <c r="D77" s="262">
        <f>D50+D62+D74</f>
        <v>142865</v>
      </c>
      <c r="E77" s="262">
        <f>E50+E62+E74</f>
        <v>-6466</v>
      </c>
      <c r="F77" s="262">
        <f>F50+F62+F74</f>
        <v>136399</v>
      </c>
      <c r="G77" s="262">
        <f>G50+G62+G74</f>
        <v>59326</v>
      </c>
      <c r="H77" s="441">
        <f>G77/F77</f>
        <v>0.43494453771655217</v>
      </c>
    </row>
    <row r="78" spans="1:8" ht="18.75">
      <c r="A78" s="81"/>
      <c r="B78" s="295"/>
      <c r="C78" s="265"/>
      <c r="D78" s="291"/>
      <c r="E78" s="291"/>
      <c r="F78" s="262">
        <f t="shared" si="2"/>
        <v>0</v>
      </c>
      <c r="G78" s="291"/>
      <c r="H78" s="437"/>
    </row>
    <row r="79" spans="1:8" ht="18.75">
      <c r="A79" s="83"/>
      <c r="B79" s="296" t="s">
        <v>84</v>
      </c>
      <c r="C79" s="297">
        <v>23.75</v>
      </c>
      <c r="D79" s="297">
        <v>23.75</v>
      </c>
      <c r="E79" s="297"/>
      <c r="F79" s="297">
        <v>23.75</v>
      </c>
      <c r="G79" s="291"/>
      <c r="H79" s="437"/>
    </row>
    <row r="80" spans="1:8" ht="18.75">
      <c r="A80" s="83"/>
      <c r="B80" s="296" t="s">
        <v>85</v>
      </c>
      <c r="C80" s="297">
        <v>0</v>
      </c>
      <c r="D80" s="297">
        <v>0</v>
      </c>
      <c r="E80" s="297"/>
      <c r="F80" s="297">
        <v>0</v>
      </c>
      <c r="G80" s="291"/>
      <c r="H80" s="437"/>
    </row>
    <row r="84" spans="2:3" ht="18">
      <c r="B84" s="290" t="s">
        <v>229</v>
      </c>
      <c r="C84" s="246" t="s">
        <v>2</v>
      </c>
    </row>
    <row r="85" spans="1:2" ht="18">
      <c r="A85" s="246" t="s">
        <v>230</v>
      </c>
      <c r="B85" s="290"/>
    </row>
    <row r="86" spans="1:6" ht="18">
      <c r="A86" s="300" t="s">
        <v>233</v>
      </c>
      <c r="B86" s="246" t="s">
        <v>272</v>
      </c>
      <c r="C86" s="298">
        <f>2*149000/1000</f>
        <v>298</v>
      </c>
      <c r="F86" s="246">
        <f>25-23.75</f>
        <v>1.25</v>
      </c>
    </row>
    <row r="87" spans="2:6" ht="18">
      <c r="B87" s="246" t="s">
        <v>258</v>
      </c>
      <c r="C87" s="298">
        <f>C86*0.3422</f>
        <v>101.9756</v>
      </c>
      <c r="F87" s="246">
        <f>10-1.25</f>
        <v>8.75</v>
      </c>
    </row>
    <row r="88" spans="1:3" ht="18">
      <c r="A88" s="300" t="s">
        <v>273</v>
      </c>
      <c r="B88" s="246" t="s">
        <v>274</v>
      </c>
      <c r="C88" s="298">
        <f>13*96860/1000</f>
        <v>1259.18</v>
      </c>
    </row>
    <row r="89" spans="2:3" ht="18">
      <c r="B89" s="246" t="s">
        <v>258</v>
      </c>
      <c r="C89" s="298">
        <f>C88*0.3422</f>
        <v>430.89139600000004</v>
      </c>
    </row>
    <row r="90" spans="1:3" ht="18">
      <c r="A90" s="246">
        <v>8.75</v>
      </c>
      <c r="B90" s="246" t="s">
        <v>275</v>
      </c>
      <c r="C90" s="246">
        <f>8.75*72</f>
        <v>630</v>
      </c>
    </row>
    <row r="91" spans="2:3" ht="18">
      <c r="B91" s="246" t="s">
        <v>258</v>
      </c>
      <c r="C91" s="298">
        <f>C90*0.3422</f>
        <v>215.586</v>
      </c>
    </row>
    <row r="92" ht="18">
      <c r="C92" s="298">
        <f>SUM(C86:C91)</f>
        <v>2935.6329960000003</v>
      </c>
    </row>
    <row r="93" spans="2:3" ht="36">
      <c r="B93" s="290" t="s">
        <v>276</v>
      </c>
      <c r="C93" s="303">
        <f>C86+C88+C90</f>
        <v>2187.1800000000003</v>
      </c>
    </row>
    <row r="94" spans="2:3" ht="36">
      <c r="B94" s="290" t="s">
        <v>277</v>
      </c>
      <c r="C94" s="303">
        <f>C87+C89+C91</f>
        <v>748.4529960000001</v>
      </c>
    </row>
    <row r="95" spans="2:3" ht="18">
      <c r="B95" s="302" t="s">
        <v>240</v>
      </c>
      <c r="C95" s="303">
        <f>SUM(C93:C94)</f>
        <v>2935.6329960000003</v>
      </c>
    </row>
  </sheetData>
  <sheetProtection selectLockedCells="1" selectUnlockedCells="1"/>
  <mergeCells count="2">
    <mergeCell ref="C6:H6"/>
    <mergeCell ref="C48:H48"/>
  </mergeCells>
  <printOptions/>
  <pageMargins left="0.7875" right="0.7875" top="0.8861111111111111" bottom="0.8861111111111111" header="0.5118055555555555" footer="0.7875"/>
  <pageSetup horizontalDpi="300" verticalDpi="300" orientation="portrait" paperSize="9" scale="44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="60" zoomScalePageLayoutView="0" workbookViewId="0" topLeftCell="A13">
      <selection activeCell="D8" sqref="D8"/>
    </sheetView>
  </sheetViews>
  <sheetFormatPr defaultColWidth="9.140625" defaultRowHeight="12.75"/>
  <cols>
    <col min="2" max="2" width="69.7109375" style="0" customWidth="1"/>
    <col min="3" max="3" width="42.00390625" style="0" customWidth="1"/>
    <col min="4" max="4" width="18.7109375" style="0" customWidth="1"/>
    <col min="5" max="5" width="12.00390625" style="0" customWidth="1"/>
    <col min="6" max="6" width="10.00390625" style="0" customWidth="1"/>
    <col min="9" max="9" width="11.00390625" style="0" customWidth="1"/>
    <col min="10" max="10" width="10.00390625" style="0" customWidth="1"/>
  </cols>
  <sheetData>
    <row r="1" spans="1:5" ht="51.75" customHeight="1">
      <c r="A1" s="129"/>
      <c r="B1" s="381" t="s">
        <v>399</v>
      </c>
      <c r="C1" s="409"/>
      <c r="D1" s="384" t="s">
        <v>400</v>
      </c>
      <c r="E1" s="85" t="s">
        <v>378</v>
      </c>
    </row>
    <row r="2" spans="1:5" ht="18.75">
      <c r="A2" s="129"/>
      <c r="B2" s="410"/>
      <c r="C2" s="383" t="s">
        <v>365</v>
      </c>
      <c r="D2" s="159"/>
      <c r="E2" s="85"/>
    </row>
    <row r="3" spans="1:9" ht="18.75">
      <c r="A3" s="129"/>
      <c r="B3" s="185" t="s">
        <v>379</v>
      </c>
      <c r="C3" s="385"/>
      <c r="D3" s="159"/>
      <c r="E3" s="205"/>
      <c r="F3" s="391"/>
      <c r="G3" s="391"/>
      <c r="H3" s="391"/>
      <c r="I3" s="391"/>
    </row>
    <row r="4" spans="1:5" ht="18">
      <c r="A4" s="129"/>
      <c r="B4" s="159" t="s">
        <v>370</v>
      </c>
      <c r="C4" s="159"/>
      <c r="D4" s="390">
        <v>179</v>
      </c>
      <c r="E4" s="85"/>
    </row>
    <row r="5" spans="1:5" ht="18">
      <c r="A5" s="129"/>
      <c r="B5" s="159" t="s">
        <v>372</v>
      </c>
      <c r="C5" s="159"/>
      <c r="D5" s="390">
        <v>35</v>
      </c>
      <c r="E5" s="85"/>
    </row>
    <row r="6" spans="1:5" ht="18">
      <c r="A6" s="129"/>
      <c r="B6" s="159" t="s">
        <v>428</v>
      </c>
      <c r="C6" s="159"/>
      <c r="D6" s="390">
        <v>938</v>
      </c>
      <c r="E6" s="85"/>
    </row>
    <row r="7" spans="1:5" ht="18">
      <c r="A7" s="129"/>
      <c r="B7" s="159" t="s">
        <v>429</v>
      </c>
      <c r="C7" s="159"/>
      <c r="D7" s="390">
        <v>165</v>
      </c>
      <c r="E7" s="85"/>
    </row>
    <row r="8" spans="1:5" ht="18">
      <c r="A8" s="129"/>
      <c r="B8" s="159"/>
      <c r="C8" s="159"/>
      <c r="D8" s="390"/>
      <c r="E8" s="85"/>
    </row>
    <row r="9" spans="1:5" ht="18">
      <c r="A9" s="129"/>
      <c r="B9" s="159" t="s">
        <v>380</v>
      </c>
      <c r="C9" s="159"/>
      <c r="D9" s="390">
        <f>-SUM(D4:D8)</f>
        <v>-1317</v>
      </c>
      <c r="E9" s="85"/>
    </row>
    <row r="10" spans="1:5" ht="18">
      <c r="A10" s="129"/>
      <c r="B10" s="411" t="s">
        <v>381</v>
      </c>
      <c r="C10" s="159"/>
      <c r="D10" s="390"/>
      <c r="E10" s="85"/>
    </row>
    <row r="11" spans="1:5" ht="18">
      <c r="A11" s="129"/>
      <c r="B11" s="159" t="s">
        <v>370</v>
      </c>
      <c r="C11" s="159"/>
      <c r="D11" s="390">
        <v>22</v>
      </c>
      <c r="E11" s="85"/>
    </row>
    <row r="12" spans="1:5" ht="18">
      <c r="A12" s="129"/>
      <c r="B12" s="159" t="s">
        <v>372</v>
      </c>
      <c r="C12" s="159"/>
      <c r="D12" s="390">
        <v>4</v>
      </c>
      <c r="E12" s="85"/>
    </row>
    <row r="13" spans="1:5" ht="18">
      <c r="A13" s="129"/>
      <c r="B13" s="159" t="s">
        <v>382</v>
      </c>
      <c r="C13" s="159"/>
      <c r="D13" s="390">
        <v>233</v>
      </c>
      <c r="E13" s="85"/>
    </row>
    <row r="14" spans="1:5" ht="18">
      <c r="A14" s="129"/>
      <c r="B14" s="159" t="s">
        <v>383</v>
      </c>
      <c r="C14" s="159"/>
      <c r="D14" s="390">
        <v>46</v>
      </c>
      <c r="E14" s="85"/>
    </row>
    <row r="15" spans="1:5" ht="18">
      <c r="A15" s="129"/>
      <c r="B15" s="159" t="s">
        <v>426</v>
      </c>
      <c r="C15" s="159"/>
      <c r="D15" s="390">
        <v>-50</v>
      </c>
      <c r="E15" s="85"/>
    </row>
    <row r="16" spans="1:5" ht="36">
      <c r="A16" s="129"/>
      <c r="B16" s="159" t="s">
        <v>427</v>
      </c>
      <c r="C16" s="159"/>
      <c r="D16" s="390">
        <v>50</v>
      </c>
      <c r="E16" s="85"/>
    </row>
    <row r="17" spans="1:5" ht="18">
      <c r="A17" s="129"/>
      <c r="B17" s="390"/>
      <c r="C17" s="390"/>
      <c r="D17" s="390"/>
      <c r="E17" s="85"/>
    </row>
    <row r="18" spans="1:5" ht="18">
      <c r="A18" s="129"/>
      <c r="B18" s="159" t="s">
        <v>380</v>
      </c>
      <c r="C18" s="159"/>
      <c r="D18" s="390">
        <f>-SUM(D11:D17)</f>
        <v>-305</v>
      </c>
      <c r="E18" s="85"/>
    </row>
    <row r="19" spans="1:5" ht="18">
      <c r="A19" s="129"/>
      <c r="B19" s="276"/>
      <c r="C19" s="159"/>
      <c r="D19" s="390"/>
      <c r="E19" s="85"/>
    </row>
    <row r="20" spans="1:5" ht="18">
      <c r="A20" s="129"/>
      <c r="B20" s="411" t="s">
        <v>384</v>
      </c>
      <c r="C20" s="159"/>
      <c r="D20" s="390"/>
      <c r="E20" s="85"/>
    </row>
    <row r="21" spans="1:5" ht="18">
      <c r="A21" s="129"/>
      <c r="B21" s="159" t="s">
        <v>370</v>
      </c>
      <c r="C21" s="159"/>
      <c r="D21" s="390">
        <v>32</v>
      </c>
      <c r="E21" s="85"/>
    </row>
    <row r="22" spans="1:5" ht="18">
      <c r="A22" s="129"/>
      <c r="B22" s="159" t="s">
        <v>372</v>
      </c>
      <c r="C22" s="159"/>
      <c r="D22" s="390">
        <v>6</v>
      </c>
      <c r="E22" s="85"/>
    </row>
    <row r="23" spans="1:5" ht="18">
      <c r="A23" s="129"/>
      <c r="B23" s="159" t="s">
        <v>380</v>
      </c>
      <c r="C23" s="159"/>
      <c r="D23" s="390">
        <f>-SUM(D21:D22)</f>
        <v>-38</v>
      </c>
      <c r="E23" s="85"/>
    </row>
    <row r="24" spans="1:5" ht="18">
      <c r="A24" s="129"/>
      <c r="B24" s="159"/>
      <c r="C24" s="159"/>
      <c r="D24" s="390"/>
      <c r="E24" s="85"/>
    </row>
    <row r="25" spans="1:5" ht="18">
      <c r="A25" s="129"/>
      <c r="B25" s="411" t="s">
        <v>385</v>
      </c>
      <c r="C25" s="159"/>
      <c r="D25" s="390"/>
      <c r="E25" s="85"/>
    </row>
    <row r="26" spans="1:5" ht="18">
      <c r="A26" s="129"/>
      <c r="B26" s="159" t="s">
        <v>370</v>
      </c>
      <c r="C26" s="159"/>
      <c r="D26" s="390">
        <v>17</v>
      </c>
      <c r="E26" s="85"/>
    </row>
    <row r="27" spans="1:5" ht="18">
      <c r="A27" s="129"/>
      <c r="B27" s="159" t="s">
        <v>372</v>
      </c>
      <c r="C27" s="159"/>
      <c r="D27" s="390">
        <v>4</v>
      </c>
      <c r="E27" s="85"/>
    </row>
    <row r="28" spans="1:5" ht="18">
      <c r="A28" s="129"/>
      <c r="B28" s="159" t="s">
        <v>380</v>
      </c>
      <c r="C28" s="159"/>
      <c r="D28" s="390">
        <f>-SUM(D26:D27)</f>
        <v>-21</v>
      </c>
      <c r="E28" s="412"/>
    </row>
    <row r="29" spans="1:5" ht="18">
      <c r="A29" s="129"/>
      <c r="B29" s="159"/>
      <c r="C29" s="159"/>
      <c r="D29" s="390"/>
      <c r="E29" s="85"/>
    </row>
    <row r="30" spans="1:5" ht="18">
      <c r="A30" s="129"/>
      <c r="B30" s="411" t="s">
        <v>263</v>
      </c>
      <c r="C30" s="159"/>
      <c r="D30" s="390"/>
      <c r="E30" s="85"/>
    </row>
    <row r="31" spans="1:5" ht="18">
      <c r="A31" s="129"/>
      <c r="B31" s="159" t="s">
        <v>370</v>
      </c>
      <c r="C31" s="159"/>
      <c r="D31" s="390">
        <v>91</v>
      </c>
      <c r="E31" s="85"/>
    </row>
    <row r="32" spans="1:5" ht="18">
      <c r="A32" s="129"/>
      <c r="B32" s="159" t="s">
        <v>372</v>
      </c>
      <c r="C32" s="159"/>
      <c r="D32" s="390">
        <v>17</v>
      </c>
      <c r="E32" s="85"/>
    </row>
    <row r="33" spans="1:5" ht="18">
      <c r="A33" s="129"/>
      <c r="B33" s="159" t="s">
        <v>386</v>
      </c>
      <c r="C33" s="159"/>
      <c r="D33" s="390">
        <v>778</v>
      </c>
      <c r="E33" s="85"/>
    </row>
    <row r="34" spans="1:5" ht="18">
      <c r="A34" s="129"/>
      <c r="B34" s="159" t="s">
        <v>387</v>
      </c>
      <c r="C34" s="159"/>
      <c r="D34" s="390">
        <f>930-778</f>
        <v>152</v>
      </c>
      <c r="E34" s="85"/>
    </row>
    <row r="35" spans="1:5" ht="18">
      <c r="A35" s="129"/>
      <c r="C35" s="159"/>
      <c r="D35" s="390"/>
      <c r="E35" s="85"/>
    </row>
    <row r="36" spans="1:5" ht="18">
      <c r="A36" s="129"/>
      <c r="B36" s="159" t="s">
        <v>380</v>
      </c>
      <c r="C36" s="159"/>
      <c r="D36" s="390">
        <f>-SUM(D31:D35)</f>
        <v>-1038</v>
      </c>
      <c r="E36" s="85"/>
    </row>
    <row r="37" spans="1:5" ht="18">
      <c r="A37" s="129"/>
      <c r="B37" s="411" t="s">
        <v>271</v>
      </c>
      <c r="C37" s="159"/>
      <c r="D37" s="390"/>
      <c r="E37" s="85"/>
    </row>
    <row r="38" spans="1:5" ht="36">
      <c r="A38" s="129"/>
      <c r="B38" s="415" t="s">
        <v>412</v>
      </c>
      <c r="C38" s="159" t="s">
        <v>413</v>
      </c>
      <c r="D38" s="390">
        <v>-6700</v>
      </c>
      <c r="E38" s="85"/>
    </row>
    <row r="39" spans="1:5" ht="18">
      <c r="A39" s="129"/>
      <c r="B39" s="159" t="s">
        <v>372</v>
      </c>
      <c r="C39" s="159"/>
      <c r="D39" s="390">
        <v>38</v>
      </c>
      <c r="E39" s="85"/>
    </row>
    <row r="40" spans="1:5" ht="18">
      <c r="A40" s="411"/>
      <c r="B40" s="396" t="s">
        <v>370</v>
      </c>
      <c r="C40" s="159"/>
      <c r="D40" s="390">
        <v>196</v>
      </c>
      <c r="E40" s="85"/>
    </row>
    <row r="41" spans="1:5" ht="18">
      <c r="A41" s="159"/>
      <c r="B41" s="159" t="s">
        <v>380</v>
      </c>
      <c r="C41" s="159"/>
      <c r="D41" s="390">
        <f>-SUM(D38:D40)</f>
        <v>6466</v>
      </c>
      <c r="E41" s="85"/>
    </row>
    <row r="42" spans="1:5" ht="18">
      <c r="A42" s="159"/>
      <c r="B42" s="159"/>
      <c r="C42" s="159"/>
      <c r="D42" s="390"/>
      <c r="E42" s="85"/>
    </row>
    <row r="43" spans="1:5" ht="18">
      <c r="A43" s="159"/>
      <c r="B43" s="397" t="s">
        <v>269</v>
      </c>
      <c r="C43" s="159"/>
      <c r="D43" s="390"/>
      <c r="E43" s="85"/>
    </row>
    <row r="44" spans="1:5" ht="18">
      <c r="A44" s="159"/>
      <c r="B44" s="159"/>
      <c r="C44" s="159"/>
      <c r="D44" s="390"/>
      <c r="E44" s="85"/>
    </row>
    <row r="45" spans="1:5" ht="18">
      <c r="A45" s="159"/>
      <c r="B45" s="159" t="s">
        <v>382</v>
      </c>
      <c r="C45" s="159"/>
      <c r="D45" s="390">
        <v>110</v>
      </c>
      <c r="E45" s="85"/>
    </row>
    <row r="46" spans="1:5" ht="18">
      <c r="A46" s="159"/>
      <c r="B46" s="159" t="s">
        <v>383</v>
      </c>
      <c r="C46" s="159"/>
      <c r="D46" s="390">
        <v>22</v>
      </c>
      <c r="E46" s="85"/>
    </row>
    <row r="47" spans="1:5" ht="18.75">
      <c r="A47" s="159"/>
      <c r="B47" s="399"/>
      <c r="C47" s="159"/>
      <c r="D47" s="390"/>
      <c r="E47" s="85"/>
    </row>
    <row r="48" spans="1:5" ht="18">
      <c r="A48" s="159"/>
      <c r="B48" s="159"/>
      <c r="C48" s="159"/>
      <c r="D48" s="390"/>
      <c r="E48" s="85"/>
    </row>
    <row r="49" spans="1:5" ht="18">
      <c r="A49" s="413"/>
      <c r="B49" s="159" t="s">
        <v>380</v>
      </c>
      <c r="C49" s="159"/>
      <c r="D49" s="390">
        <f>-SUM(D44:D48)</f>
        <v>-132</v>
      </c>
      <c r="E49" s="85"/>
    </row>
  </sheetData>
  <sheetProtection/>
  <printOptions/>
  <pageMargins left="0.7" right="0.7" top="0.75" bottom="0.75" header="0.3" footer="0.3"/>
  <pageSetup horizontalDpi="600" verticalDpi="600" orientation="portrait" paperSize="8" scale="4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view="pageBreakPreview" zoomScale="50" zoomScaleNormal="65" zoomScaleSheetLayoutView="50" workbookViewId="0" topLeftCell="A1">
      <selection activeCell="F18" sqref="F18"/>
    </sheetView>
  </sheetViews>
  <sheetFormatPr defaultColWidth="9.00390625" defaultRowHeight="12.75"/>
  <cols>
    <col min="1" max="1" width="57.57421875" style="85" customWidth="1"/>
    <col min="2" max="2" width="13.00390625" style="85" customWidth="1"/>
    <col min="3" max="3" width="23.57421875" style="85" customWidth="1"/>
    <col min="4" max="4" width="21.421875" style="85" customWidth="1"/>
    <col min="5" max="5" width="15.28125" style="85" customWidth="1"/>
    <col min="6" max="6" width="16.140625" style="85" customWidth="1"/>
    <col min="7" max="7" width="18.00390625" style="85" customWidth="1"/>
    <col min="8" max="16384" width="9.00390625" style="85" customWidth="1"/>
  </cols>
  <sheetData>
    <row r="1" ht="18.75">
      <c r="A1" s="314" t="s">
        <v>278</v>
      </c>
    </row>
    <row r="2" ht="18.75">
      <c r="A2" s="315" t="s">
        <v>279</v>
      </c>
    </row>
    <row r="3" ht="18.75">
      <c r="A3" s="315"/>
    </row>
    <row r="4" ht="18.75">
      <c r="A4" s="316"/>
    </row>
    <row r="5" spans="1:7" ht="83.25" customHeight="1">
      <c r="A5" s="317" t="s">
        <v>280</v>
      </c>
      <c r="B5" s="379" t="s">
        <v>361</v>
      </c>
      <c r="C5" s="379" t="s">
        <v>397</v>
      </c>
      <c r="D5" s="379" t="s">
        <v>360</v>
      </c>
      <c r="E5" s="379" t="s">
        <v>363</v>
      </c>
      <c r="F5" s="379" t="s">
        <v>395</v>
      </c>
      <c r="G5" s="379" t="s">
        <v>398</v>
      </c>
    </row>
    <row r="6" spans="1:7" ht="18.75">
      <c r="A6" s="318" t="s">
        <v>281</v>
      </c>
      <c r="B6" s="129">
        <v>400</v>
      </c>
      <c r="C6" s="129">
        <v>400</v>
      </c>
      <c r="D6" s="129"/>
      <c r="E6" s="129">
        <f>C6+D6</f>
        <v>400</v>
      </c>
      <c r="F6" s="129">
        <v>80</v>
      </c>
      <c r="G6" s="417">
        <f>F6/E6*100</f>
        <v>20</v>
      </c>
    </row>
    <row r="7" spans="1:7" ht="18.75">
      <c r="A7" s="318" t="s">
        <v>282</v>
      </c>
      <c r="B7" s="129">
        <v>2000</v>
      </c>
      <c r="C7" s="129">
        <v>2000</v>
      </c>
      <c r="D7" s="129"/>
      <c r="E7" s="129">
        <f aca="true" t="shared" si="0" ref="E7:E25">C7+D7</f>
        <v>2000</v>
      </c>
      <c r="F7" s="129">
        <v>1000</v>
      </c>
      <c r="G7" s="417">
        <f aca="true" t="shared" si="1" ref="G7:G25">F7/E7*100</f>
        <v>50</v>
      </c>
    </row>
    <row r="8" spans="1:7" ht="18.75">
      <c r="A8" s="318" t="s">
        <v>283</v>
      </c>
      <c r="B8" s="129">
        <v>250</v>
      </c>
      <c r="C8" s="129">
        <v>250</v>
      </c>
      <c r="D8" s="129"/>
      <c r="E8" s="129">
        <f t="shared" si="0"/>
        <v>250</v>
      </c>
      <c r="F8" s="129"/>
      <c r="G8" s="417">
        <f t="shared" si="1"/>
        <v>0</v>
      </c>
    </row>
    <row r="9" spans="1:7" ht="18.75">
      <c r="A9" s="318" t="s">
        <v>284</v>
      </c>
      <c r="B9" s="129">
        <v>50</v>
      </c>
      <c r="C9" s="129">
        <v>50</v>
      </c>
      <c r="D9" s="129"/>
      <c r="E9" s="129">
        <f t="shared" si="0"/>
        <v>50</v>
      </c>
      <c r="F9" s="129"/>
      <c r="G9" s="417">
        <f t="shared" si="1"/>
        <v>0</v>
      </c>
    </row>
    <row r="10" spans="1:7" ht="18.75">
      <c r="A10" s="318" t="s">
        <v>285</v>
      </c>
      <c r="B10" s="129">
        <v>300</v>
      </c>
      <c r="C10" s="129">
        <v>300</v>
      </c>
      <c r="D10" s="129"/>
      <c r="E10" s="129">
        <f t="shared" si="0"/>
        <v>300</v>
      </c>
      <c r="F10" s="129"/>
      <c r="G10" s="417">
        <f t="shared" si="1"/>
        <v>0</v>
      </c>
    </row>
    <row r="11" spans="1:7" ht="18.75">
      <c r="A11" s="318" t="s">
        <v>286</v>
      </c>
      <c r="B11" s="129">
        <v>2500</v>
      </c>
      <c r="C11" s="129">
        <v>2500</v>
      </c>
      <c r="D11" s="129"/>
      <c r="E11" s="129">
        <f t="shared" si="0"/>
        <v>2500</v>
      </c>
      <c r="F11" s="129">
        <v>2500</v>
      </c>
      <c r="G11" s="417">
        <f t="shared" si="1"/>
        <v>100</v>
      </c>
    </row>
    <row r="12" spans="1:7" ht="18.75">
      <c r="A12" s="318" t="s">
        <v>287</v>
      </c>
      <c r="B12" s="129">
        <v>500</v>
      </c>
      <c r="C12" s="129">
        <v>500</v>
      </c>
      <c r="D12" s="129"/>
      <c r="E12" s="129">
        <f t="shared" si="0"/>
        <v>500</v>
      </c>
      <c r="F12" s="129">
        <v>500</v>
      </c>
      <c r="G12" s="417">
        <f t="shared" si="1"/>
        <v>100</v>
      </c>
    </row>
    <row r="13" spans="1:7" ht="18.75">
      <c r="A13" s="318" t="s">
        <v>288</v>
      </c>
      <c r="B13" s="129">
        <v>1500</v>
      </c>
      <c r="C13" s="129">
        <v>1500</v>
      </c>
      <c r="D13" s="129"/>
      <c r="E13" s="129">
        <f t="shared" si="0"/>
        <v>1500</v>
      </c>
      <c r="F13" s="129">
        <f>940+200+100+120+60</f>
        <v>1420</v>
      </c>
      <c r="G13" s="417">
        <f t="shared" si="1"/>
        <v>94.66666666666667</v>
      </c>
    </row>
    <row r="14" spans="1:7" ht="18.75">
      <c r="A14" s="318" t="s">
        <v>289</v>
      </c>
      <c r="B14" s="129">
        <v>200</v>
      </c>
      <c r="C14" s="129">
        <v>200</v>
      </c>
      <c r="D14" s="129"/>
      <c r="E14" s="129">
        <f t="shared" si="0"/>
        <v>200</v>
      </c>
      <c r="F14" s="129">
        <f>70+30</f>
        <v>100</v>
      </c>
      <c r="G14" s="417">
        <f t="shared" si="1"/>
        <v>50</v>
      </c>
    </row>
    <row r="15" spans="1:7" ht="37.5">
      <c r="A15" s="319" t="s">
        <v>290</v>
      </c>
      <c r="B15" s="129">
        <v>100</v>
      </c>
      <c r="C15" s="129">
        <v>100</v>
      </c>
      <c r="D15" s="129"/>
      <c r="E15" s="129">
        <f t="shared" si="0"/>
        <v>100</v>
      </c>
      <c r="F15" s="129"/>
      <c r="G15" s="417">
        <f t="shared" si="1"/>
        <v>0</v>
      </c>
    </row>
    <row r="16" spans="1:7" ht="18.75">
      <c r="A16" s="318" t="s">
        <v>291</v>
      </c>
      <c r="B16" s="129">
        <v>1000</v>
      </c>
      <c r="C16" s="129">
        <v>1000</v>
      </c>
      <c r="D16" s="129"/>
      <c r="E16" s="129">
        <f t="shared" si="0"/>
        <v>1000</v>
      </c>
      <c r="F16" s="129">
        <v>500</v>
      </c>
      <c r="G16" s="417">
        <f t="shared" si="1"/>
        <v>50</v>
      </c>
    </row>
    <row r="17" spans="1:7" ht="18.75">
      <c r="A17" s="318" t="s">
        <v>292</v>
      </c>
      <c r="B17" s="129">
        <v>200</v>
      </c>
      <c r="C17" s="129">
        <v>200</v>
      </c>
      <c r="D17" s="129"/>
      <c r="E17" s="129">
        <f t="shared" si="0"/>
        <v>200</v>
      </c>
      <c r="F17" s="129"/>
      <c r="G17" s="417">
        <f t="shared" si="1"/>
        <v>0</v>
      </c>
    </row>
    <row r="18" spans="1:7" ht="18.75">
      <c r="A18" s="318" t="s">
        <v>293</v>
      </c>
      <c r="B18" s="129">
        <v>3000</v>
      </c>
      <c r="C18" s="129">
        <v>3000</v>
      </c>
      <c r="D18" s="129"/>
      <c r="E18" s="129">
        <f t="shared" si="0"/>
        <v>3000</v>
      </c>
      <c r="F18" s="129">
        <f>100+124</f>
        <v>224</v>
      </c>
      <c r="G18" s="417">
        <f t="shared" si="1"/>
        <v>7.466666666666668</v>
      </c>
    </row>
    <row r="19" spans="1:7" ht="18.75">
      <c r="A19" s="318" t="s">
        <v>294</v>
      </c>
      <c r="B19" s="234">
        <f>1584+3000</f>
        <v>4584</v>
      </c>
      <c r="C19" s="129">
        <v>4584</v>
      </c>
      <c r="D19" s="129"/>
      <c r="E19" s="129">
        <f t="shared" si="0"/>
        <v>4584</v>
      </c>
      <c r="F19" s="129">
        <v>766</v>
      </c>
      <c r="G19" s="417">
        <f t="shared" si="1"/>
        <v>16.71029668411867</v>
      </c>
    </row>
    <row r="20" spans="1:7" ht="18.75">
      <c r="A20" s="318" t="s">
        <v>350</v>
      </c>
      <c r="B20" s="234">
        <v>11454</v>
      </c>
      <c r="C20" s="129">
        <v>11454</v>
      </c>
      <c r="D20" s="129"/>
      <c r="E20" s="129">
        <f t="shared" si="0"/>
        <v>11454</v>
      </c>
      <c r="F20" s="129"/>
      <c r="G20" s="417">
        <f t="shared" si="1"/>
        <v>0</v>
      </c>
    </row>
    <row r="21" spans="1:7" ht="37.5">
      <c r="A21" s="319" t="s">
        <v>351</v>
      </c>
      <c r="B21" s="234">
        <v>3000</v>
      </c>
      <c r="C21" s="129">
        <v>3000</v>
      </c>
      <c r="D21" s="129"/>
      <c r="E21" s="129">
        <f t="shared" si="0"/>
        <v>3000</v>
      </c>
      <c r="F21" s="129"/>
      <c r="G21" s="417">
        <f t="shared" si="1"/>
        <v>0</v>
      </c>
    </row>
    <row r="22" spans="1:7" ht="18.75">
      <c r="A22" s="318" t="s">
        <v>349</v>
      </c>
      <c r="B22" s="234">
        <v>1500</v>
      </c>
      <c r="C22" s="129">
        <v>1500</v>
      </c>
      <c r="D22" s="129"/>
      <c r="E22" s="129">
        <f t="shared" si="0"/>
        <v>1500</v>
      </c>
      <c r="F22" s="129">
        <v>1500</v>
      </c>
      <c r="G22" s="417">
        <f t="shared" si="1"/>
        <v>100</v>
      </c>
    </row>
    <row r="23" spans="1:7" ht="18.75">
      <c r="A23" s="318" t="s">
        <v>295</v>
      </c>
      <c r="B23" s="129">
        <v>50</v>
      </c>
      <c r="C23" s="129">
        <v>50</v>
      </c>
      <c r="D23" s="129"/>
      <c r="E23" s="129">
        <f t="shared" si="0"/>
        <v>50</v>
      </c>
      <c r="F23" s="129"/>
      <c r="G23" s="417">
        <f t="shared" si="1"/>
        <v>0</v>
      </c>
    </row>
    <row r="24" spans="1:7" ht="18.75">
      <c r="A24" s="320" t="s">
        <v>407</v>
      </c>
      <c r="B24" s="158"/>
      <c r="C24" s="129"/>
      <c r="D24" s="130"/>
      <c r="E24" s="129"/>
      <c r="F24" s="129">
        <v>3465</v>
      </c>
      <c r="G24" s="417"/>
    </row>
    <row r="25" spans="1:7" ht="18.75">
      <c r="A25" s="320" t="s">
        <v>296</v>
      </c>
      <c r="B25" s="158">
        <v>50</v>
      </c>
      <c r="C25" s="129">
        <v>50</v>
      </c>
      <c r="E25" s="129">
        <f t="shared" si="0"/>
        <v>50</v>
      </c>
      <c r="F25" s="129"/>
      <c r="G25" s="417">
        <f t="shared" si="1"/>
        <v>0</v>
      </c>
    </row>
    <row r="26" spans="1:7" ht="18.75">
      <c r="A26" s="321" t="s">
        <v>297</v>
      </c>
      <c r="B26" s="321">
        <f aca="true" t="shared" si="2" ref="B26:G26">SUM(B6:B25)</f>
        <v>32638</v>
      </c>
      <c r="C26" s="321">
        <f t="shared" si="2"/>
        <v>32638</v>
      </c>
      <c r="D26" s="321">
        <f t="shared" si="2"/>
        <v>0</v>
      </c>
      <c r="E26" s="321">
        <f t="shared" si="2"/>
        <v>32638</v>
      </c>
      <c r="F26" s="321">
        <f t="shared" si="2"/>
        <v>12055</v>
      </c>
      <c r="G26" s="321">
        <f t="shared" si="2"/>
        <v>588.8436300174519</v>
      </c>
    </row>
    <row r="27" spans="1:2" ht="18">
      <c r="A27" s="322"/>
      <c r="B27" s="323"/>
    </row>
    <row r="28" ht="18">
      <c r="A28" s="85" t="s">
        <v>298</v>
      </c>
    </row>
  </sheetData>
  <sheetProtection selectLockedCells="1" selectUnlockedCells="1"/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9" r:id="rId1"/>
  <headerFooter alignWithMargins="0">
    <oddHeader>&amp;R16.sz. melléklet a 3/2018.(II.21.)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50" zoomScaleNormal="65" zoomScaleSheetLayoutView="50" workbookViewId="0" topLeftCell="A1">
      <selection activeCell="A1" sqref="A1"/>
    </sheetView>
  </sheetViews>
  <sheetFormatPr defaultColWidth="9.140625" defaultRowHeight="12.75"/>
  <cols>
    <col min="1" max="1" width="4.7109375" style="324" customWidth="1"/>
    <col min="2" max="2" width="34.421875" style="324" customWidth="1"/>
    <col min="3" max="3" width="12.8515625" style="324" customWidth="1"/>
    <col min="4" max="4" width="11.7109375" style="324" customWidth="1"/>
    <col min="5" max="5" width="12.8515625" style="324" customWidth="1"/>
    <col min="6" max="6" width="14.00390625" style="324" customWidth="1"/>
    <col min="7" max="7" width="12.28125" style="324" customWidth="1"/>
    <col min="8" max="16384" width="9.140625" style="324" customWidth="1"/>
  </cols>
  <sheetData>
    <row r="1" spans="1:7" ht="18.75">
      <c r="A1" s="325"/>
      <c r="B1" s="325" t="s">
        <v>299</v>
      </c>
      <c r="C1" s="325"/>
      <c r="D1" s="325"/>
      <c r="E1" s="325"/>
      <c r="F1" s="325"/>
      <c r="G1" s="325"/>
    </row>
    <row r="2" spans="1:7" s="328" customFormat="1" ht="27" customHeight="1">
      <c r="A2" s="326" t="s">
        <v>300</v>
      </c>
      <c r="B2" s="327"/>
      <c r="C2" s="500" t="s">
        <v>301</v>
      </c>
      <c r="D2" s="500"/>
      <c r="E2" s="500"/>
      <c r="F2" s="500"/>
      <c r="G2" s="500"/>
    </row>
    <row r="3" spans="1:7" s="328" customFormat="1" ht="18.75">
      <c r="A3" s="327"/>
      <c r="B3" s="327"/>
      <c r="C3" s="327"/>
      <c r="D3" s="327"/>
      <c r="E3" s="327"/>
      <c r="F3" s="327"/>
      <c r="G3" s="327"/>
    </row>
    <row r="4" spans="1:7" s="328" customFormat="1" ht="24.75" customHeight="1">
      <c r="A4" s="326" t="s">
        <v>302</v>
      </c>
      <c r="B4" s="327"/>
      <c r="C4" s="500" t="s">
        <v>301</v>
      </c>
      <c r="D4" s="500"/>
      <c r="E4" s="500"/>
      <c r="F4" s="500"/>
      <c r="G4" s="327"/>
    </row>
    <row r="5" spans="1:7" s="329" customFormat="1" ht="18.75">
      <c r="A5" s="327"/>
      <c r="B5" s="327"/>
      <c r="C5" s="327"/>
      <c r="D5" s="327"/>
      <c r="E5" s="327"/>
      <c r="F5" s="327"/>
      <c r="G5" s="327"/>
    </row>
    <row r="6" spans="1:7" s="332" customFormat="1" ht="35.25" customHeight="1">
      <c r="A6" s="330" t="s">
        <v>303</v>
      </c>
      <c r="B6" s="331"/>
      <c r="C6" s="331"/>
      <c r="D6" s="327"/>
      <c r="E6" s="327"/>
      <c r="F6" s="327"/>
      <c r="G6" s="327"/>
    </row>
    <row r="7" spans="1:7" s="332" customFormat="1" ht="32.25" customHeight="1">
      <c r="A7" s="330" t="s">
        <v>304</v>
      </c>
      <c r="B7" s="327"/>
      <c r="C7" s="327"/>
      <c r="D7" s="327"/>
      <c r="E7" s="327"/>
      <c r="F7" s="327"/>
      <c r="G7" s="327"/>
    </row>
    <row r="8" spans="1:7" s="334" customFormat="1" ht="102" customHeight="1">
      <c r="A8" s="333" t="s">
        <v>111</v>
      </c>
      <c r="B8" s="333" t="s">
        <v>305</v>
      </c>
      <c r="C8" s="333" t="s">
        <v>306</v>
      </c>
      <c r="D8" s="333" t="s">
        <v>307</v>
      </c>
      <c r="E8" s="333" t="s">
        <v>308</v>
      </c>
      <c r="F8" s="333" t="s">
        <v>309</v>
      </c>
      <c r="G8" s="333" t="s">
        <v>310</v>
      </c>
    </row>
    <row r="9" spans="1:7" ht="24" customHeight="1">
      <c r="A9" s="335" t="s">
        <v>123</v>
      </c>
      <c r="B9" s="336" t="s">
        <v>311</v>
      </c>
      <c r="C9" s="337"/>
      <c r="D9" s="337"/>
      <c r="E9" s="337"/>
      <c r="F9" s="337"/>
      <c r="G9" s="338">
        <f aca="true" t="shared" si="0" ref="G9:G15">SUM(C9:F9)</f>
        <v>0</v>
      </c>
    </row>
    <row r="10" spans="1:7" ht="47.25" customHeight="1">
      <c r="A10" s="339" t="s">
        <v>125</v>
      </c>
      <c r="B10" s="340" t="s">
        <v>312</v>
      </c>
      <c r="C10" s="341"/>
      <c r="D10" s="341"/>
      <c r="E10" s="341"/>
      <c r="F10" s="341"/>
      <c r="G10" s="342">
        <f t="shared" si="0"/>
        <v>0</v>
      </c>
    </row>
    <row r="11" spans="1:7" ht="60" customHeight="1">
      <c r="A11" s="339" t="s">
        <v>126</v>
      </c>
      <c r="B11" s="340" t="s">
        <v>313</v>
      </c>
      <c r="C11" s="341"/>
      <c r="D11" s="341"/>
      <c r="E11" s="341"/>
      <c r="F11" s="341"/>
      <c r="G11" s="342">
        <f t="shared" si="0"/>
        <v>0</v>
      </c>
    </row>
    <row r="12" spans="1:7" ht="37.5" customHeight="1">
      <c r="A12" s="339" t="s">
        <v>127</v>
      </c>
      <c r="B12" s="340" t="s">
        <v>314</v>
      </c>
      <c r="C12" s="341"/>
      <c r="D12" s="341"/>
      <c r="E12" s="341"/>
      <c r="F12" s="341"/>
      <c r="G12" s="342">
        <f t="shared" si="0"/>
        <v>0</v>
      </c>
    </row>
    <row r="13" spans="1:7" ht="50.25" customHeight="1">
      <c r="A13" s="339" t="s">
        <v>128</v>
      </c>
      <c r="B13" s="340" t="s">
        <v>315</v>
      </c>
      <c r="C13" s="341"/>
      <c r="D13" s="341"/>
      <c r="E13" s="341"/>
      <c r="F13" s="341"/>
      <c r="G13" s="342">
        <f t="shared" si="0"/>
        <v>0</v>
      </c>
    </row>
    <row r="14" spans="1:7" ht="24" customHeight="1">
      <c r="A14" s="343" t="s">
        <v>129</v>
      </c>
      <c r="B14" s="344" t="s">
        <v>316</v>
      </c>
      <c r="C14" s="345"/>
      <c r="D14" s="345"/>
      <c r="E14" s="345"/>
      <c r="F14" s="345"/>
      <c r="G14" s="346">
        <f t="shared" si="0"/>
        <v>0</v>
      </c>
    </row>
    <row r="15" spans="1:7" s="349" customFormat="1" ht="24" customHeight="1">
      <c r="A15" s="347" t="s">
        <v>317</v>
      </c>
      <c r="B15" s="348" t="s">
        <v>310</v>
      </c>
      <c r="C15" s="342">
        <f>SUM(C9:C14)</f>
        <v>0</v>
      </c>
      <c r="D15" s="342">
        <f>SUM(D9:D14)</f>
        <v>0</v>
      </c>
      <c r="E15" s="342">
        <f>SUM(E9:E14)</f>
        <v>0</v>
      </c>
      <c r="F15" s="342">
        <f>SUM(F9:F14)</f>
        <v>0</v>
      </c>
      <c r="G15" s="342">
        <f t="shared" si="0"/>
        <v>0</v>
      </c>
    </row>
    <row r="16" spans="1:7" s="329" customFormat="1" ht="18.75">
      <c r="A16" s="327"/>
      <c r="B16" s="327"/>
      <c r="C16" s="327"/>
      <c r="D16" s="327"/>
      <c r="E16" s="327"/>
      <c r="F16" s="327"/>
      <c r="G16" s="327"/>
    </row>
    <row r="17" spans="1:7" s="329" customFormat="1" ht="12.75">
      <c r="A17" s="350"/>
      <c r="B17" s="350"/>
      <c r="C17" s="350"/>
      <c r="D17" s="350"/>
      <c r="E17" s="350"/>
      <c r="F17" s="350"/>
      <c r="G17" s="350"/>
    </row>
    <row r="18" spans="1:7" s="329" customFormat="1" ht="12.75">
      <c r="A18" s="350"/>
      <c r="B18" s="350"/>
      <c r="C18" s="350"/>
      <c r="D18" s="350"/>
      <c r="E18" s="350"/>
      <c r="F18" s="350"/>
      <c r="G18" s="350"/>
    </row>
    <row r="19" spans="1:7" s="329" customFormat="1" ht="18">
      <c r="A19" s="351" t="s">
        <v>318</v>
      </c>
      <c r="B19" s="350"/>
      <c r="C19" s="350"/>
      <c r="D19" s="350"/>
      <c r="E19" s="350"/>
      <c r="F19" s="350"/>
      <c r="G19" s="352"/>
    </row>
    <row r="20" spans="1:7" s="329" customFormat="1" ht="12.75">
      <c r="A20" s="350"/>
      <c r="B20" s="350"/>
      <c r="C20" s="350"/>
      <c r="D20" s="350"/>
      <c r="E20" s="350"/>
      <c r="F20" s="350"/>
      <c r="G20" s="350"/>
    </row>
    <row r="21" spans="1:7" ht="12.75">
      <c r="A21" s="350"/>
      <c r="B21" s="350"/>
      <c r="C21" s="350"/>
      <c r="D21" s="350"/>
      <c r="E21" s="350"/>
      <c r="F21" s="350"/>
      <c r="G21" s="350"/>
    </row>
    <row r="22" spans="1:7" ht="12.75">
      <c r="A22" s="350"/>
      <c r="B22" s="350"/>
      <c r="C22" s="351"/>
      <c r="D22" s="351"/>
      <c r="E22" s="351"/>
      <c r="F22" s="351"/>
      <c r="G22" s="350"/>
    </row>
    <row r="23" spans="1:7" ht="12.75">
      <c r="A23" s="350"/>
      <c r="B23" s="350"/>
      <c r="C23" s="353"/>
      <c r="D23" s="354" t="s">
        <v>319</v>
      </c>
      <c r="E23" s="354"/>
      <c r="F23" s="353"/>
      <c r="G23" s="350"/>
    </row>
  </sheetData>
  <sheetProtection selectLockedCells="1" selectUnlockedCells="1"/>
  <mergeCells count="2">
    <mergeCell ref="C2:G2"/>
    <mergeCell ref="C4:F4"/>
  </mergeCells>
  <printOptions/>
  <pageMargins left="0.75" right="0.75" top="1" bottom="1" header="0.5" footer="0.5118055555555555"/>
  <pageSetup horizontalDpi="300" verticalDpi="300" orientation="portrait" paperSize="9" scale="85" r:id="rId1"/>
  <headerFooter alignWithMargins="0">
    <oddHeader>&amp;R17. melléklet a 3/2017.(II.21.)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="50" zoomScaleNormal="65" zoomScaleSheetLayoutView="50" zoomScalePageLayoutView="0" workbookViewId="0" topLeftCell="A1">
      <selection activeCell="M31" sqref="M31"/>
    </sheetView>
  </sheetViews>
  <sheetFormatPr defaultColWidth="9.140625" defaultRowHeight="12.75"/>
  <cols>
    <col min="1" max="1" width="37.7109375" style="0" customWidth="1"/>
    <col min="2" max="3" width="15.7109375" style="0" customWidth="1"/>
    <col min="4" max="4" width="16.00390625" style="0" customWidth="1"/>
    <col min="5" max="5" width="15.7109375" style="0" customWidth="1"/>
    <col min="6" max="6" width="18.8515625" style="0" customWidth="1"/>
    <col min="7" max="7" width="17.00390625" style="0" customWidth="1"/>
  </cols>
  <sheetData>
    <row r="1" spans="1:7" ht="15.75">
      <c r="A1" s="501" t="s">
        <v>320</v>
      </c>
      <c r="B1" s="501"/>
      <c r="C1" s="501"/>
      <c r="D1" s="501"/>
      <c r="E1" s="501"/>
      <c r="F1" s="501"/>
      <c r="G1" s="501"/>
    </row>
    <row r="3" spans="1:7" ht="15.75">
      <c r="A3" s="355" t="s">
        <v>321</v>
      </c>
      <c r="B3" s="355" t="s">
        <v>322</v>
      </c>
      <c r="C3" s="355" t="s">
        <v>323</v>
      </c>
      <c r="D3" s="355" t="s">
        <v>324</v>
      </c>
      <c r="E3" s="355" t="s">
        <v>240</v>
      </c>
      <c r="F3" s="356" t="s">
        <v>325</v>
      </c>
      <c r="G3" s="356" t="s">
        <v>326</v>
      </c>
    </row>
    <row r="4" spans="1:7" ht="15">
      <c r="A4" s="357" t="s">
        <v>213</v>
      </c>
      <c r="B4" s="358">
        <f>13171-B6-B7-B16</f>
        <v>11906</v>
      </c>
      <c r="C4" s="358">
        <f>11952-C5-C6-C7-C16</f>
        <v>1330</v>
      </c>
      <c r="D4" s="358">
        <f>797-D6-D7-D16</f>
        <v>597</v>
      </c>
      <c r="E4" s="358">
        <f aca="true" t="shared" si="0" ref="E4:E16">SUM(B4:D4)</f>
        <v>13833</v>
      </c>
      <c r="F4" s="359">
        <f aca="true" t="shared" si="1" ref="F4:F16">E4*0.27</f>
        <v>3734.9100000000003</v>
      </c>
      <c r="G4" s="359">
        <f aca="true" t="shared" si="2" ref="G4:G16">SUM(E4:F4)</f>
        <v>17567.91</v>
      </c>
    </row>
    <row r="5" spans="1:7" ht="15">
      <c r="A5" s="357" t="s">
        <v>327</v>
      </c>
      <c r="B5" s="358"/>
      <c r="C5" s="358">
        <v>9973</v>
      </c>
      <c r="D5" s="358"/>
      <c r="E5" s="358">
        <f t="shared" si="0"/>
        <v>9973</v>
      </c>
      <c r="F5" s="359">
        <f t="shared" si="1"/>
        <v>2692.71</v>
      </c>
      <c r="G5" s="359">
        <f t="shared" si="2"/>
        <v>12665.71</v>
      </c>
    </row>
    <row r="6" spans="1:7" ht="15">
      <c r="A6" s="357" t="s">
        <v>328</v>
      </c>
      <c r="B6" s="357">
        <v>440</v>
      </c>
      <c r="C6" s="357">
        <v>127</v>
      </c>
      <c r="D6" s="357">
        <v>40</v>
      </c>
      <c r="E6" s="358">
        <f t="shared" si="0"/>
        <v>607</v>
      </c>
      <c r="F6" s="359">
        <f t="shared" si="1"/>
        <v>163.89000000000001</v>
      </c>
      <c r="G6" s="360">
        <f t="shared" si="2"/>
        <v>770.89</v>
      </c>
    </row>
    <row r="7" spans="1:7" ht="15">
      <c r="A7" s="357" t="s">
        <v>329</v>
      </c>
      <c r="B7" s="357">
        <v>83</v>
      </c>
      <c r="C7" s="357">
        <v>260</v>
      </c>
      <c r="D7" s="357">
        <v>29</v>
      </c>
      <c r="E7" s="358">
        <f t="shared" si="0"/>
        <v>372</v>
      </c>
      <c r="F7" s="359">
        <f t="shared" si="1"/>
        <v>100.44000000000001</v>
      </c>
      <c r="G7" s="360">
        <f t="shared" si="2"/>
        <v>472.44</v>
      </c>
    </row>
    <row r="8" spans="1:7" ht="15">
      <c r="A8" s="357" t="s">
        <v>330</v>
      </c>
      <c r="B8" s="357">
        <v>2369</v>
      </c>
      <c r="C8" s="357">
        <v>624</v>
      </c>
      <c r="D8" s="357">
        <v>130</v>
      </c>
      <c r="E8" s="358">
        <f t="shared" si="0"/>
        <v>3123</v>
      </c>
      <c r="F8" s="359">
        <f t="shared" si="1"/>
        <v>843.21</v>
      </c>
      <c r="G8" s="360">
        <f t="shared" si="2"/>
        <v>3966.21</v>
      </c>
    </row>
    <row r="9" spans="1:7" ht="15">
      <c r="A9" s="357" t="s">
        <v>331</v>
      </c>
      <c r="B9" s="357">
        <v>2539</v>
      </c>
      <c r="C9" s="357">
        <v>506</v>
      </c>
      <c r="D9" s="357">
        <v>187</v>
      </c>
      <c r="E9" s="358">
        <f t="shared" si="0"/>
        <v>3232</v>
      </c>
      <c r="F9" s="359">
        <f t="shared" si="1"/>
        <v>872.6400000000001</v>
      </c>
      <c r="G9" s="360">
        <f t="shared" si="2"/>
        <v>4104.64</v>
      </c>
    </row>
    <row r="10" spans="1:7" ht="15">
      <c r="A10" s="357" t="s">
        <v>332</v>
      </c>
      <c r="B10" s="357">
        <v>1137</v>
      </c>
      <c r="C10" s="357">
        <v>277</v>
      </c>
      <c r="D10" s="357">
        <v>10</v>
      </c>
      <c r="E10" s="358">
        <f t="shared" si="0"/>
        <v>1424</v>
      </c>
      <c r="F10" s="359">
        <f t="shared" si="1"/>
        <v>384.48</v>
      </c>
      <c r="G10" s="360">
        <f t="shared" si="2"/>
        <v>1808.48</v>
      </c>
    </row>
    <row r="11" spans="1:7" ht="15">
      <c r="A11" s="357" t="s">
        <v>333</v>
      </c>
      <c r="B11" s="357">
        <v>1093</v>
      </c>
      <c r="C11" s="357">
        <v>380</v>
      </c>
      <c r="D11" s="357">
        <v>68</v>
      </c>
      <c r="E11" s="358">
        <f t="shared" si="0"/>
        <v>1541</v>
      </c>
      <c r="F11" s="359">
        <f t="shared" si="1"/>
        <v>416.07000000000005</v>
      </c>
      <c r="G11" s="360">
        <f t="shared" si="2"/>
        <v>1957.0700000000002</v>
      </c>
    </row>
    <row r="12" spans="1:7" ht="15">
      <c r="A12" s="357" t="s">
        <v>256</v>
      </c>
      <c r="B12" s="357">
        <v>2263</v>
      </c>
      <c r="C12" s="357">
        <v>482</v>
      </c>
      <c r="D12" s="357">
        <v>450</v>
      </c>
      <c r="E12" s="358">
        <f t="shared" si="0"/>
        <v>3195</v>
      </c>
      <c r="F12" s="359">
        <f t="shared" si="1"/>
        <v>862.6500000000001</v>
      </c>
      <c r="G12" s="360">
        <f t="shared" si="2"/>
        <v>4057.65</v>
      </c>
    </row>
    <row r="13" spans="1:7" ht="15">
      <c r="A13" s="357" t="s">
        <v>260</v>
      </c>
      <c r="B13" s="357">
        <v>1123</v>
      </c>
      <c r="C13" s="357">
        <v>377</v>
      </c>
      <c r="D13" s="357">
        <v>289</v>
      </c>
      <c r="E13" s="358">
        <f t="shared" si="0"/>
        <v>1789</v>
      </c>
      <c r="F13" s="359">
        <f t="shared" si="1"/>
        <v>483.03000000000003</v>
      </c>
      <c r="G13" s="360">
        <f t="shared" si="2"/>
        <v>2272.03</v>
      </c>
    </row>
    <row r="14" spans="1:7" ht="15">
      <c r="A14" s="357" t="s">
        <v>334</v>
      </c>
      <c r="B14" s="357">
        <v>966</v>
      </c>
      <c r="C14" s="357">
        <v>138</v>
      </c>
      <c r="D14" s="357">
        <v>77</v>
      </c>
      <c r="E14" s="358">
        <f t="shared" si="0"/>
        <v>1181</v>
      </c>
      <c r="F14" s="359">
        <f t="shared" si="1"/>
        <v>318.87</v>
      </c>
      <c r="G14" s="360">
        <f t="shared" si="2"/>
        <v>1499.87</v>
      </c>
    </row>
    <row r="15" spans="1:7" ht="15">
      <c r="A15" s="358" t="s">
        <v>263</v>
      </c>
      <c r="B15" s="357">
        <v>931</v>
      </c>
      <c r="C15" s="357">
        <v>149</v>
      </c>
      <c r="D15" s="357">
        <v>69</v>
      </c>
      <c r="E15" s="358">
        <f t="shared" si="0"/>
        <v>1149</v>
      </c>
      <c r="F15" s="359">
        <f t="shared" si="1"/>
        <v>310.23</v>
      </c>
      <c r="G15" s="360">
        <f t="shared" si="2"/>
        <v>1459.23</v>
      </c>
    </row>
    <row r="16" spans="1:7" ht="15">
      <c r="A16" s="357" t="s">
        <v>282</v>
      </c>
      <c r="B16" s="357">
        <v>742</v>
      </c>
      <c r="C16" s="357">
        <v>262</v>
      </c>
      <c r="D16" s="357">
        <v>131</v>
      </c>
      <c r="E16" s="358">
        <f t="shared" si="0"/>
        <v>1135</v>
      </c>
      <c r="F16" s="359">
        <f t="shared" si="1"/>
        <v>306.45000000000005</v>
      </c>
      <c r="G16" s="360">
        <f t="shared" si="2"/>
        <v>1441.45</v>
      </c>
    </row>
    <row r="17" spans="1:7" ht="15.75">
      <c r="A17" s="361" t="s">
        <v>240</v>
      </c>
      <c r="B17" s="361">
        <f aca="true" t="shared" si="3" ref="B17:G17">SUM(B4:B16)</f>
        <v>25592</v>
      </c>
      <c r="C17" s="361">
        <f t="shared" si="3"/>
        <v>14885</v>
      </c>
      <c r="D17" s="361">
        <f t="shared" si="3"/>
        <v>2077</v>
      </c>
      <c r="E17" s="361">
        <f t="shared" si="3"/>
        <v>42554</v>
      </c>
      <c r="F17" s="362">
        <f t="shared" si="3"/>
        <v>11489.580000000002</v>
      </c>
      <c r="G17" s="362">
        <f t="shared" si="3"/>
        <v>54043.58</v>
      </c>
    </row>
  </sheetData>
  <sheetProtection selectLockedCells="1" selectUnlockedCells="1"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 scale="57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11"/>
  <sheetViews>
    <sheetView view="pageBreakPreview" zoomScale="50" zoomScaleNormal="65" zoomScaleSheetLayoutView="50" workbookViewId="0" topLeftCell="A1">
      <selection activeCell="D9" sqref="D9"/>
    </sheetView>
  </sheetViews>
  <sheetFormatPr defaultColWidth="8.00390625" defaultRowHeight="25.5" customHeight="1"/>
  <cols>
    <col min="1" max="1" width="8.140625" style="363" customWidth="1"/>
    <col min="2" max="2" width="63.8515625" style="364" customWidth="1"/>
    <col min="3" max="3" width="16.28125" style="364" customWidth="1"/>
    <col min="4" max="4" width="18.57421875" style="364" customWidth="1"/>
    <col min="5" max="16384" width="8.00390625" style="364" customWidth="1"/>
  </cols>
  <sheetData>
    <row r="1" spans="1:5" ht="25.5" customHeight="1">
      <c r="A1" s="502" t="s">
        <v>335</v>
      </c>
      <c r="B1" s="502"/>
      <c r="C1" s="502"/>
      <c r="D1" s="502"/>
      <c r="E1" s="365" t="s">
        <v>2</v>
      </c>
    </row>
    <row r="2" spans="1:4" s="369" customFormat="1" ht="69.75" customHeight="1">
      <c r="A2" s="366" t="s">
        <v>111</v>
      </c>
      <c r="B2" s="367" t="s">
        <v>336</v>
      </c>
      <c r="C2" s="367" t="s">
        <v>337</v>
      </c>
      <c r="D2" s="368" t="s">
        <v>338</v>
      </c>
    </row>
    <row r="3" spans="1:4" s="369" customFormat="1" ht="41.25" customHeight="1">
      <c r="A3" s="366"/>
      <c r="B3" s="370" t="s">
        <v>339</v>
      </c>
      <c r="C3" s="371"/>
      <c r="D3" s="368"/>
    </row>
    <row r="4" spans="1:4" s="369" customFormat="1" ht="38.25" customHeight="1">
      <c r="A4" s="366"/>
      <c r="B4" s="370" t="s">
        <v>340</v>
      </c>
      <c r="C4" s="367"/>
      <c r="D4" s="368"/>
    </row>
    <row r="5" spans="1:4" ht="33" customHeight="1">
      <c r="A5" s="372" t="s">
        <v>123</v>
      </c>
      <c r="B5" s="370" t="s">
        <v>341</v>
      </c>
      <c r="C5" s="371">
        <v>147500</v>
      </c>
      <c r="D5" s="373">
        <v>0</v>
      </c>
    </row>
    <row r="6" spans="1:4" ht="25.5" customHeight="1">
      <c r="A6" s="372" t="s">
        <v>125</v>
      </c>
      <c r="B6" s="370" t="s">
        <v>342</v>
      </c>
      <c r="C6" s="371">
        <v>61300</v>
      </c>
      <c r="D6" s="374">
        <v>72</v>
      </c>
    </row>
    <row r="7" spans="1:4" ht="25.5" customHeight="1">
      <c r="A7" s="372" t="s">
        <v>126</v>
      </c>
      <c r="B7" s="370" t="s">
        <v>343</v>
      </c>
      <c r="C7" s="371">
        <v>1549</v>
      </c>
      <c r="D7" s="373">
        <v>0</v>
      </c>
    </row>
    <row r="8" spans="1:4" ht="25.5" customHeight="1">
      <c r="A8" s="372" t="s">
        <v>127</v>
      </c>
      <c r="B8" s="370" t="s">
        <v>344</v>
      </c>
      <c r="C8" s="371">
        <v>29728</v>
      </c>
      <c r="D8" s="374">
        <v>2774</v>
      </c>
    </row>
    <row r="9" spans="1:4" ht="30.75" customHeight="1">
      <c r="A9" s="372"/>
      <c r="B9" s="375" t="s">
        <v>345</v>
      </c>
      <c r="C9" s="371"/>
      <c r="D9" s="374"/>
    </row>
    <row r="10" spans="1:4" ht="30.75" customHeight="1">
      <c r="A10" s="372"/>
      <c r="B10" s="370" t="s">
        <v>346</v>
      </c>
      <c r="C10" s="371"/>
      <c r="D10" s="374"/>
    </row>
    <row r="11" spans="1:4" ht="21.75" customHeight="1">
      <c r="A11" s="376" t="s">
        <v>128</v>
      </c>
      <c r="B11" s="377" t="s">
        <v>310</v>
      </c>
      <c r="C11" s="378">
        <f>SUM(C5:C8)</f>
        <v>240077</v>
      </c>
      <c r="D11" s="378">
        <f>SUM(D5:D8)</f>
        <v>2846</v>
      </c>
    </row>
  </sheetData>
  <sheetProtection selectLockedCells="1" selectUnlockedCells="1"/>
  <mergeCells count="1">
    <mergeCell ref="A1:D1"/>
  </mergeCells>
  <printOptions/>
  <pageMargins left="0.75" right="0.75" top="1" bottom="1" header="0.5" footer="0.5118055555555555"/>
  <pageSetup horizontalDpi="300" verticalDpi="300" orientation="portrait" paperSize="9" scale="75" r:id="rId1"/>
  <headerFooter alignWithMargins="0">
    <oddHeader>&amp;R19. melléklet a 3/2017(II.21.)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zoomScaleSheetLayoutView="50" zoomScalePageLayoutView="0" workbookViewId="0" topLeftCell="A1">
      <selection activeCell="C45" sqref="C45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7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82"/>
  <sheetViews>
    <sheetView view="pageBreakPreview" zoomScale="50" zoomScaleNormal="65" zoomScaleSheetLayoutView="50" zoomScalePageLayoutView="62" workbookViewId="0" topLeftCell="A22">
      <selection activeCell="F44" sqref="F44"/>
    </sheetView>
  </sheetViews>
  <sheetFormatPr defaultColWidth="9.00390625" defaultRowHeight="12.75"/>
  <cols>
    <col min="1" max="1" width="13.7109375" style="1" customWidth="1"/>
    <col min="2" max="2" width="124.7109375" style="1" customWidth="1"/>
    <col min="3" max="3" width="23.00390625" style="2" customWidth="1"/>
    <col min="4" max="4" width="21.140625" style="1" customWidth="1"/>
    <col min="5" max="5" width="21.7109375" style="1" customWidth="1"/>
    <col min="6" max="6" width="18.28125" style="1" customWidth="1"/>
    <col min="7" max="7" width="19.421875" style="1" customWidth="1"/>
    <col min="8" max="8" width="21.8515625" style="1" customWidth="1"/>
    <col min="9" max="9" width="9.00390625" style="1" customWidth="1"/>
    <col min="10" max="10" width="15.8515625" style="1" bestFit="1" customWidth="1"/>
    <col min="11" max="16384" width="9.00390625" style="1" customWidth="1"/>
  </cols>
  <sheetData>
    <row r="1" spans="1:6" s="5" customFormat="1" ht="20.25">
      <c r="A1" s="3"/>
      <c r="B1" s="470" t="s">
        <v>0</v>
      </c>
      <c r="C1" s="470"/>
      <c r="D1" s="3"/>
      <c r="E1" s="3"/>
      <c r="F1" s="3"/>
    </row>
    <row r="2" spans="1:6" s="5" customFormat="1" ht="20.25">
      <c r="A2" s="4"/>
      <c r="B2" s="470" t="s">
        <v>1</v>
      </c>
      <c r="C2" s="470"/>
      <c r="D2" s="3"/>
      <c r="E2" s="3"/>
      <c r="F2" s="3"/>
    </row>
    <row r="3" s="5" customFormat="1" ht="20.25">
      <c r="C3" s="6" t="s">
        <v>2</v>
      </c>
    </row>
    <row r="4" spans="1:249" s="5" customFormat="1" ht="39" customHeight="1">
      <c r="A4" s="7" t="s">
        <v>3</v>
      </c>
      <c r="B4" s="7" t="s">
        <v>4</v>
      </c>
      <c r="C4" s="471" t="s">
        <v>362</v>
      </c>
      <c r="D4" s="472"/>
      <c r="E4" s="472"/>
      <c r="F4" s="472"/>
      <c r="G4" s="472"/>
      <c r="H4" s="473"/>
      <c r="IO4" s="1"/>
    </row>
    <row r="5" spans="1:249" s="5" customFormat="1" ht="78.75" customHeight="1">
      <c r="A5" s="9"/>
      <c r="B5" s="10" t="s">
        <v>6</v>
      </c>
      <c r="C5" s="433" t="s">
        <v>361</v>
      </c>
      <c r="D5" s="433" t="s">
        <v>397</v>
      </c>
      <c r="E5" s="433" t="s">
        <v>360</v>
      </c>
      <c r="F5" s="434" t="s">
        <v>363</v>
      </c>
      <c r="G5" s="435" t="s">
        <v>395</v>
      </c>
      <c r="H5" s="435" t="s">
        <v>398</v>
      </c>
      <c r="IO5" s="1"/>
    </row>
    <row r="6" spans="1:249" s="5" customFormat="1" ht="20.25">
      <c r="A6" s="12" t="s">
        <v>7</v>
      </c>
      <c r="B6" s="13" t="s">
        <v>8</v>
      </c>
      <c r="C6" s="14">
        <f>C7+C8+C9+C10+C11+C12</f>
        <v>654552</v>
      </c>
      <c r="D6" s="14">
        <f>D7+D8+D9+D10+D11+D12</f>
        <v>660730</v>
      </c>
      <c r="E6" s="14">
        <f>E7+E8+E9+E10+E11+E12</f>
        <v>2906</v>
      </c>
      <c r="F6" s="14">
        <f>F7+F8+F9+F10+F11+F12</f>
        <v>663636</v>
      </c>
      <c r="G6" s="14">
        <f>G7+G8+G9+G10+G11+G12</f>
        <v>347557</v>
      </c>
      <c r="H6" s="447">
        <f>G6/F6</f>
        <v>0.5237163143651038</v>
      </c>
      <c r="IO6" s="1"/>
    </row>
    <row r="7" spans="1:249" s="5" customFormat="1" ht="20.25">
      <c r="A7" s="15"/>
      <c r="B7" s="16" t="s">
        <v>9</v>
      </c>
      <c r="C7" s="17">
        <v>258888</v>
      </c>
      <c r="D7" s="17">
        <v>258888</v>
      </c>
      <c r="E7" s="18">
        <f>'8. melléklet Önkormányzat'!E10+'9.  melléklet Hivatal'!E9+'10. melléklet Isaszegi Héts'!E9+'11.  melléklet Isaszegi Bóbi'!E9+'12. mell. Isaszegi Humánszol'!E9+'13.  mellékletMűvelődési ház'!E9+'14. melléklet Könyvtár'!E9+'15.melléklet IVÜSZ'!E9</f>
        <v>475</v>
      </c>
      <c r="F7" s="419">
        <f>D7+E7</f>
        <v>259363</v>
      </c>
      <c r="G7" s="420">
        <f>'8. melléklet Önkormányzat'!G10+'9.  melléklet Hivatal'!G9+'10. melléklet Isaszegi Héts'!G9+'11.  melléklet Isaszegi Bóbi'!G9+'12. mell. Isaszegi Humánszol'!G9+'13.  mellékletMűvelődési ház'!G9+'14. melléklet Könyvtár'!G9+'15.melléklet IVÜSZ'!G9</f>
        <v>135097</v>
      </c>
      <c r="H7" s="438">
        <f aca="true" t="shared" si="0" ref="H7:H46">G7/F7</f>
        <v>0.520880002159136</v>
      </c>
      <c r="IO7" s="1"/>
    </row>
    <row r="8" spans="1:249" s="5" customFormat="1" ht="20.25">
      <c r="A8" s="19"/>
      <c r="B8" s="16" t="s">
        <v>10</v>
      </c>
      <c r="C8" s="17">
        <v>189021</v>
      </c>
      <c r="D8" s="17">
        <v>189021</v>
      </c>
      <c r="E8" s="18">
        <f>'8. melléklet Önkormányzat'!E11+'9.  melléklet Hivatal'!E10+'10. melléklet Isaszegi Héts'!E10+'11.  melléklet Isaszegi Bóbi'!E10+'12. mell. Isaszegi Humánszol'!E10+'13.  mellékletMűvelődési ház'!E10+'14. melléklet Könyvtár'!E10+'15.melléklet IVÜSZ'!E10</f>
        <v>0</v>
      </c>
      <c r="F8" s="419">
        <f>D8+E8</f>
        <v>189021</v>
      </c>
      <c r="G8" s="420">
        <f>'8. melléklet Önkormányzat'!G11+'9.  melléklet Hivatal'!G10+'10. melléklet Isaszegi Héts'!G10+'11.  melléklet Isaszegi Bóbi'!G10+'12. mell. Isaszegi Humánszol'!G10+'13.  mellékletMűvelődési ház'!G10+'14. melléklet Könyvtár'!G10+'15.melléklet IVÜSZ'!G10</f>
        <v>97119</v>
      </c>
      <c r="H8" s="438">
        <f t="shared" si="0"/>
        <v>0.5138000539622581</v>
      </c>
      <c r="IO8" s="1"/>
    </row>
    <row r="9" spans="1:249" s="5" customFormat="1" ht="20.25">
      <c r="A9" s="19"/>
      <c r="B9" s="16" t="s">
        <v>11</v>
      </c>
      <c r="C9" s="17">
        <v>192784</v>
      </c>
      <c r="D9" s="17">
        <v>194536</v>
      </c>
      <c r="E9" s="18">
        <f>'8. melléklet Önkormányzat'!E12+'9.  melléklet Hivatal'!E11+'10. melléklet Isaszegi Héts'!E11+'11.  melléklet Isaszegi Bóbi'!E11+'12. mell. Isaszegi Humánszol'!E11+'13.  mellékletMűvelődési ház'!E11+'14. melléklet Könyvtár'!E11+'15.melléklet IVÜSZ'!E11</f>
        <v>930</v>
      </c>
      <c r="F9" s="419">
        <f>D9+E9</f>
        <v>195466</v>
      </c>
      <c r="G9" s="420">
        <f>'8. melléklet Önkormányzat'!G12+'9.  melléklet Hivatal'!G11+'10. melléklet Isaszegi Héts'!G11+'11.  melléklet Isaszegi Bóbi'!G11+'12. mell. Isaszegi Humánszol'!G11+'13.  mellékletMűvelődési ház'!G11+'14. melléklet Könyvtár'!G11+'15.melléklet IVÜSZ'!G11</f>
        <v>103067</v>
      </c>
      <c r="H9" s="438">
        <f t="shared" si="0"/>
        <v>0.5272886333173032</v>
      </c>
      <c r="IO9" s="1"/>
    </row>
    <row r="10" spans="1:249" s="5" customFormat="1" ht="20.25">
      <c r="A10" s="19"/>
      <c r="B10" s="16" t="s">
        <v>12</v>
      </c>
      <c r="C10" s="17">
        <v>13859</v>
      </c>
      <c r="D10" s="17">
        <v>14894</v>
      </c>
      <c r="E10" s="18">
        <f>'8. melléklet Önkormányzat'!E13+'9.  melléklet Hivatal'!E12+'10. melléklet Isaszegi Héts'!E12+'11.  melléklet Isaszegi Bóbi'!E12+'12. mell. Isaszegi Humánszol'!E12+'13.  mellékletMűvelődési ház'!E12+'14. melléklet Könyvtár'!E12+'15.melléklet IVÜSZ'!E12</f>
        <v>1271</v>
      </c>
      <c r="F10" s="419">
        <f>D10+E10</f>
        <v>16165</v>
      </c>
      <c r="G10" s="420">
        <f>'8. melléklet Önkormányzat'!G13+'9.  melléklet Hivatal'!G12+'10. melléklet Isaszegi Héts'!G12+'11.  melléklet Isaszegi Bóbi'!G12+'12. mell. Isaszegi Humánszol'!G12+'13.  mellékletMűvelődési ház'!G12+'14. melléklet Könyvtár'!G12+'15.melléklet IVÜSZ'!G12</f>
        <v>8652</v>
      </c>
      <c r="H10" s="438">
        <f t="shared" si="0"/>
        <v>0.5352304361274358</v>
      </c>
      <c r="IO10" s="1"/>
    </row>
    <row r="11" spans="1:249" s="5" customFormat="1" ht="20.25">
      <c r="A11" s="19"/>
      <c r="B11" s="16" t="s">
        <v>13</v>
      </c>
      <c r="C11" s="17">
        <f>'8. melléklet Önkormányzat'!C14</f>
        <v>0</v>
      </c>
      <c r="D11" s="17">
        <f>'8. melléklet Önkormányzat'!D14</f>
        <v>3391</v>
      </c>
      <c r="E11" s="17">
        <f>'8. melléklet Önkormányzat'!E14</f>
        <v>230</v>
      </c>
      <c r="F11" s="419">
        <f>D11+E11</f>
        <v>3621</v>
      </c>
      <c r="G11" s="420">
        <f>'8. melléklet Önkormányzat'!G14+'9.  melléklet Hivatal'!G13+'10. melléklet Isaszegi Héts'!G13+'11.  melléklet Isaszegi Bóbi'!G13+'12. mell. Isaszegi Humánszol'!G13+'13.  mellékletMűvelődési ház'!G13+'14. melléklet Könyvtár'!G13+'15.melléklet IVÜSZ'!G13</f>
        <v>3622</v>
      </c>
      <c r="H11" s="438">
        <f t="shared" si="0"/>
        <v>1.0002761668047502</v>
      </c>
      <c r="IO11" s="1"/>
    </row>
    <row r="12" spans="1:249" s="5" customFormat="1" ht="20.25">
      <c r="A12" s="19"/>
      <c r="B12" s="16" t="s">
        <v>14</v>
      </c>
      <c r="C12" s="17">
        <f>'8. melléklet Önkormányzat'!C15</f>
        <v>0</v>
      </c>
      <c r="D12" s="17">
        <f>'8. melléklet Önkormányzat'!D15</f>
        <v>0</v>
      </c>
      <c r="E12" s="17">
        <f>'8. melléklet Önkormányzat'!E15</f>
        <v>0</v>
      </c>
      <c r="F12" s="419">
        <f>C12+D12+E12</f>
        <v>0</v>
      </c>
      <c r="G12" s="420">
        <f>'8. melléklet Önkormányzat'!G15+'9.  melléklet Hivatal'!G14+'10. melléklet Isaszegi Héts'!G14+'11.  melléklet Isaszegi Bóbi'!G14+'12. mell. Isaszegi Humánszol'!G14+'13.  mellékletMűvelődési ház'!G14+'14. melléklet Könyvtár'!G14+'15.melléklet IVÜSZ'!G14</f>
        <v>0</v>
      </c>
      <c r="H12" s="438"/>
      <c r="IO12" s="1"/>
    </row>
    <row r="13" spans="1:249" s="5" customFormat="1" ht="20.25">
      <c r="A13" s="20" t="s">
        <v>15</v>
      </c>
      <c r="B13" s="13" t="s">
        <v>16</v>
      </c>
      <c r="C13" s="14">
        <f>C14+C15+C16+C17</f>
        <v>61940</v>
      </c>
      <c r="D13" s="14">
        <f>D14+D15+D16+D17</f>
        <v>70240</v>
      </c>
      <c r="E13" s="14">
        <f>E14+E15+E16+E17</f>
        <v>1190</v>
      </c>
      <c r="F13" s="14">
        <f>F14+F15+F16+F17</f>
        <v>71430</v>
      </c>
      <c r="G13" s="14">
        <f>G14+G15+G16+G17</f>
        <v>36925</v>
      </c>
      <c r="H13" s="447">
        <f t="shared" si="0"/>
        <v>0.5169396612067758</v>
      </c>
      <c r="IO13" s="1"/>
    </row>
    <row r="14" spans="1:249" s="5" customFormat="1" ht="20.25">
      <c r="A14" s="15"/>
      <c r="B14" s="16" t="s">
        <v>17</v>
      </c>
      <c r="C14" s="17">
        <f>'8. melléklet Önkormányzat'!C17+'9.  melléklet Hivatal'!C16+'10. melléklet Isaszegi Héts'!C16+'11.  melléklet Isaszegi Bóbi'!C16+'12. mell. Isaszegi Humánszol'!C16+'13.  mellékletMűvelődési ház'!C16+'14. melléklet Könyvtár'!C16+'15.melléklet IVÜSZ'!C16</f>
        <v>2160</v>
      </c>
      <c r="D14" s="17">
        <f>'8. melléklet Önkormányzat'!D17+'9.  melléklet Hivatal'!D16+'10. melléklet Isaszegi Héts'!D16+'11.  melléklet Isaszegi Bóbi'!D16+'12. mell. Isaszegi Humánszol'!D16+'13.  mellékletMűvelődési ház'!D16+'14. melléklet Könyvtár'!D16+'15.melléklet IVÜSZ'!D16</f>
        <v>2160</v>
      </c>
      <c r="E14" s="17">
        <f>'8. melléklet Önkormányzat'!E17+'9.  melléklet Hivatal'!E16+'10. melléklet Isaszegi Héts'!E16+'11.  melléklet Isaszegi Bóbi'!E16+'12. mell. Isaszegi Humánszol'!E16+'13.  mellékletMűvelődési ház'!E16+'14. melléklet Könyvtár'!E16+'15.melléklet IVÜSZ'!E16</f>
        <v>0</v>
      </c>
      <c r="F14" s="419">
        <f>D14+E14</f>
        <v>2160</v>
      </c>
      <c r="G14" s="420">
        <f>'8. melléklet Önkormányzat'!G17+'9.  melléklet Hivatal'!G16+'10. melléklet Isaszegi Héts'!G16+'11.  melléklet Isaszegi Bóbi'!G16+'12. mell. Isaszegi Humánszol'!G16+'13.  mellékletMűvelődési ház'!G16+'14. melléklet Könyvtár'!G16+'15.melléklet IVÜSZ'!G16</f>
        <v>640</v>
      </c>
      <c r="H14" s="438">
        <f t="shared" si="0"/>
        <v>0.2962962962962963</v>
      </c>
      <c r="IO14" s="1"/>
    </row>
    <row r="15" spans="1:249" s="5" customFormat="1" ht="20.25">
      <c r="A15" s="19"/>
      <c r="B15" s="16" t="s">
        <v>18</v>
      </c>
      <c r="C15" s="17">
        <f>'8. melléklet Önkormányzat'!C18+'9.  melléklet Hivatal'!C17+'10. melléklet Isaszegi Héts'!C17+'11.  melléklet Isaszegi Bóbi'!C17+'12. mell. Isaszegi Humánszol'!C17+'13.  mellékletMűvelődési ház'!C17+'14. melléklet Könyvtár'!C17+'15.melléklet IVÜSZ'!C17</f>
        <v>0</v>
      </c>
      <c r="D15" s="17">
        <f>'8. melléklet Önkormányzat'!D18+'9.  melléklet Hivatal'!D17+'10. melléklet Isaszegi Héts'!D17+'11.  melléklet Isaszegi Bóbi'!D17+'12. mell. Isaszegi Humánszol'!D17+'13.  mellékletMűvelődési ház'!D17+'14. melléklet Könyvtár'!D17+'15.melléklet IVÜSZ'!D17</f>
        <v>2300</v>
      </c>
      <c r="E15" s="17">
        <f>'8. melléklet Önkormányzat'!E18+'9.  melléklet Hivatal'!E17+'10. melléklet Isaszegi Héts'!E17+'11.  melléklet Isaszegi Bóbi'!E17+'12. mell. Isaszegi Humánszol'!E17+'13.  mellékletMűvelődési ház'!E17+'14. melléklet Könyvtár'!E17+'15.melléklet IVÜSZ'!E17</f>
        <v>1190</v>
      </c>
      <c r="F15" s="419">
        <f>D15+E15</f>
        <v>3490</v>
      </c>
      <c r="G15" s="420">
        <f>'8. melléklet Önkormányzat'!G18+'9.  melléklet Hivatal'!G17+'10. melléklet Isaszegi Héts'!G17+'11.  melléklet Isaszegi Bóbi'!G17+'12. mell. Isaszegi Humánszol'!G17+'13.  mellékletMűvelődési ház'!G17+'14. melléklet Könyvtár'!G17+'15.melléklet IVÜSZ'!G17</f>
        <v>3543</v>
      </c>
      <c r="H15" s="438">
        <f t="shared" si="0"/>
        <v>1.015186246418338</v>
      </c>
      <c r="IO15" s="1"/>
    </row>
    <row r="16" spans="1:249" s="5" customFormat="1" ht="20.25">
      <c r="A16" s="19"/>
      <c r="B16" s="16" t="s">
        <v>19</v>
      </c>
      <c r="C16" s="17">
        <f>'8. melléklet Önkormányzat'!C19+'9.  melléklet Hivatal'!C18+'10. melléklet Isaszegi Héts'!C18+'11.  melléklet Isaszegi Bóbi'!C18+'12. mell. Isaszegi Humánszol'!C18+'13.  mellékletMűvelődési ház'!C18+'14. melléklet Könyvtár'!C18+'15.melléklet IVÜSZ'!C18</f>
        <v>47682</v>
      </c>
      <c r="D16" s="17">
        <f>'8. melléklet Önkormányzat'!D19+'9.  melléklet Hivatal'!D18+'10. melléklet Isaszegi Héts'!D18+'11.  melléklet Isaszegi Bóbi'!D18+'12. mell. Isaszegi Humánszol'!D18+'13.  mellékletMűvelődési ház'!D18+'14. melléklet Könyvtár'!D18+'15.melléklet IVÜSZ'!D18</f>
        <v>53682</v>
      </c>
      <c r="E16" s="17">
        <f>'8. melléklet Önkormányzat'!E19+'9.  melléklet Hivatal'!E18+'10. melléklet Isaszegi Héts'!E18+'11.  melléklet Isaszegi Bóbi'!E18+'12. mell. Isaszegi Humánszol'!E18+'13.  mellékletMűvelődési ház'!E18+'14. melléklet Könyvtár'!E18+'15.melléklet IVÜSZ'!E18</f>
        <v>0</v>
      </c>
      <c r="F16" s="419">
        <f>D16+E16</f>
        <v>53682</v>
      </c>
      <c r="G16" s="420">
        <f>'8. melléklet Önkormányzat'!G19+'9.  melléklet Hivatal'!G18+'10. melléklet Isaszegi Héts'!G18+'11.  melléklet Isaszegi Bóbi'!G18+'12. mell. Isaszegi Humánszol'!G18+'13.  mellékletMűvelődési ház'!G18+'14. melléklet Könyvtár'!G18+'15.melléklet IVÜSZ'!G18</f>
        <v>29375</v>
      </c>
      <c r="H16" s="438">
        <f t="shared" si="0"/>
        <v>0.547203904474498</v>
      </c>
      <c r="IO16" s="1"/>
    </row>
    <row r="17" spans="1:249" s="5" customFormat="1" ht="20.25">
      <c r="A17" s="19"/>
      <c r="B17" s="16" t="s">
        <v>20</v>
      </c>
      <c r="C17" s="17">
        <f>'8. melléklet Önkormányzat'!C20+'9.  melléklet Hivatal'!C19+'10. melléklet Isaszegi Héts'!C19+'11.  melléklet Isaszegi Bóbi'!C19+'12. mell. Isaszegi Humánszol'!C19+'13.  mellékletMűvelődési ház'!C19+'14. melléklet Könyvtár'!C19+'15.melléklet IVÜSZ'!C19</f>
        <v>12098</v>
      </c>
      <c r="D17" s="17">
        <f>'8. melléklet Önkormányzat'!D20+'9.  melléklet Hivatal'!D19+'10. melléklet Isaszegi Héts'!D19+'11.  melléklet Isaszegi Bóbi'!D19+'12. mell. Isaszegi Humánszol'!D19+'13.  mellékletMűvelődési ház'!D19+'14. melléklet Könyvtár'!D19+'15.melléklet IVÜSZ'!D19</f>
        <v>12098</v>
      </c>
      <c r="E17" s="17">
        <f>'8. melléklet Önkormányzat'!E20+'9.  melléklet Hivatal'!E19+'10. melléklet Isaszegi Héts'!E19+'11.  melléklet Isaszegi Bóbi'!E19+'12. mell. Isaszegi Humánszol'!E19+'13.  mellékletMűvelődési ház'!E19+'14. melléklet Könyvtár'!E19+'15.melléklet IVÜSZ'!E19</f>
        <v>0</v>
      </c>
      <c r="F17" s="419">
        <f>D17+E17</f>
        <v>12098</v>
      </c>
      <c r="G17" s="420">
        <f>'8. melléklet Önkormányzat'!G20+'9.  melléklet Hivatal'!G19+'10. melléklet Isaszegi Héts'!G19+'11.  melléklet Isaszegi Bóbi'!G19+'12. mell. Isaszegi Humánszol'!G19+'13.  mellékletMűvelődési ház'!G19+'14. melléklet Könyvtár'!G19+'15.melléklet IVÜSZ'!G19</f>
        <v>3367</v>
      </c>
      <c r="H17" s="438">
        <f t="shared" si="0"/>
        <v>0.2783104645395933</v>
      </c>
      <c r="IO17" s="1"/>
    </row>
    <row r="18" spans="1:249" s="5" customFormat="1" ht="20.25">
      <c r="A18" s="20" t="s">
        <v>21</v>
      </c>
      <c r="B18" s="21" t="s">
        <v>22</v>
      </c>
      <c r="C18" s="14">
        <f>C19</f>
        <v>0</v>
      </c>
      <c r="D18" s="14">
        <f>D19</f>
        <v>0</v>
      </c>
      <c r="E18" s="14">
        <f>E19</f>
        <v>0</v>
      </c>
      <c r="F18" s="14">
        <f>F19</f>
        <v>0</v>
      </c>
      <c r="G18" s="14">
        <f>G19</f>
        <v>0</v>
      </c>
      <c r="H18" s="446"/>
      <c r="IO18" s="1"/>
    </row>
    <row r="19" spans="1:249" s="5" customFormat="1" ht="20.25">
      <c r="A19" s="22"/>
      <c r="B19" s="23" t="s">
        <v>23</v>
      </c>
      <c r="C19" s="18">
        <f>'8. melléklet Önkormányzat'!C22</f>
        <v>0</v>
      </c>
      <c r="D19" s="18">
        <f>'8. melléklet Önkormányzat'!D22+'9.  melléklet Hivatal'!D21+'10. melléklet Isaszegi Héts'!D21+'11.  melléklet Isaszegi Bóbi'!D21+'12. mell. Isaszegi Humánszol'!D21+'13.  mellékletMűvelődési ház'!D21+'14. melléklet Könyvtár'!D21+'15.melléklet IVÜSZ'!D21</f>
        <v>0</v>
      </c>
      <c r="E19" s="18">
        <f>'8. melléklet Önkormányzat'!E22+'9.  melléklet Hivatal'!E21+'10. melléklet Isaszegi Héts'!E21+'11.  melléklet Isaszegi Bóbi'!E21+'12. mell. Isaszegi Humánszol'!E21+'13.  mellékletMűvelődési ház'!E21+'14. melléklet Könyvtár'!E21+'15.melléklet IVÜSZ'!E21</f>
        <v>0</v>
      </c>
      <c r="F19" s="419">
        <f>C19+D19+E19</f>
        <v>0</v>
      </c>
      <c r="G19" s="420">
        <f>'8. melléklet Önkormányzat'!G22+'9.  melléklet Hivatal'!G21+'10. melléklet Isaszegi Héts'!G21+'11.  melléklet Isaszegi Bóbi'!G21+'12. mell. Isaszegi Humánszol'!G21+'13.  mellékletMűvelődési ház'!G21+'14. melléklet Könyvtár'!G21+'15.melléklet IVÜSZ'!G21</f>
        <v>0</v>
      </c>
      <c r="H19" s="438"/>
      <c r="IO19" s="1"/>
    </row>
    <row r="20" spans="1:249" s="5" customFormat="1" ht="22.5" customHeight="1">
      <c r="A20" s="20" t="s">
        <v>24</v>
      </c>
      <c r="B20" s="21" t="s">
        <v>25</v>
      </c>
      <c r="C20" s="14">
        <f>C21+C22+C23+C24</f>
        <v>254210</v>
      </c>
      <c r="D20" s="14">
        <f>D21+D22+D23+D24</f>
        <v>254210</v>
      </c>
      <c r="E20" s="14">
        <f>E21+E22+E23+E24</f>
        <v>30000</v>
      </c>
      <c r="F20" s="14">
        <f>F21+F22+F23+F24</f>
        <v>284210</v>
      </c>
      <c r="G20" s="14">
        <f>G21+G22+G23+G24</f>
        <v>143796</v>
      </c>
      <c r="H20" s="447">
        <f t="shared" si="0"/>
        <v>0.5059498258330108</v>
      </c>
      <c r="IO20" s="1"/>
    </row>
    <row r="21" spans="1:249" s="5" customFormat="1" ht="60.75" customHeight="1">
      <c r="A21" s="22"/>
      <c r="B21" s="16" t="s">
        <v>26</v>
      </c>
      <c r="C21" s="17">
        <f>'8. melléklet Önkormányzat'!C24+'9.  melléklet Hivatal'!C23+'10. melléklet Isaszegi Héts'!C23+'11.  melléklet Isaszegi Bóbi'!C23+'12. mell. Isaszegi Humánszol'!C23+'13.  mellékletMűvelődési ház'!C23+'14. melléklet Könyvtár'!C23+'15.melléklet IVÜSZ'!C23</f>
        <v>221700</v>
      </c>
      <c r="D21" s="17">
        <f>'8. melléklet Önkormányzat'!D24+'9.  melléklet Hivatal'!D23+'10. melléklet Isaszegi Héts'!D23+'11.  melléklet Isaszegi Bóbi'!D23+'12. mell. Isaszegi Humánszol'!D23+'13.  mellékletMűvelődési ház'!D23+'14. melléklet Könyvtár'!D23+'15.melléklet IVÜSZ'!D23</f>
        <v>221700</v>
      </c>
      <c r="E21" s="17">
        <f>'8. melléklet Önkormányzat'!E24+'9.  melléklet Hivatal'!E23+'10. melléklet Isaszegi Héts'!E23+'11.  melléklet Isaszegi Bóbi'!E23+'12. mell. Isaszegi Humánszol'!E23+'13.  mellékletMűvelődési ház'!E23+'14. melléklet Könyvtár'!E23+'15.melléklet IVÜSZ'!E23</f>
        <v>30000</v>
      </c>
      <c r="F21" s="419">
        <f>D21+E21</f>
        <v>251700</v>
      </c>
      <c r="G21" s="420">
        <f>'8. melléklet Önkormányzat'!G24+'9.  melléklet Hivatal'!G23+'10. melléklet Isaszegi Héts'!G23+'11.  melléklet Isaszegi Bóbi'!G23+'12. mell. Isaszegi Humánszol'!G23+'13.  mellékletMűvelődési ház'!G23+'14. melléklet Könyvtár'!G23+'15.melléklet IVÜSZ'!G23</f>
        <v>122380</v>
      </c>
      <c r="H21" s="438">
        <f t="shared" si="0"/>
        <v>0.48621374652363925</v>
      </c>
      <c r="IO21" s="1"/>
    </row>
    <row r="22" spans="1:249" s="5" customFormat="1" ht="21" customHeight="1">
      <c r="A22" s="24"/>
      <c r="B22" s="25" t="s">
        <v>27</v>
      </c>
      <c r="C22" s="17">
        <f>'8. melléklet Önkormányzat'!C25+'9.  melléklet Hivatal'!C24+'10. melléklet Isaszegi Héts'!C24+'11.  melléklet Isaszegi Bóbi'!C24+'12. mell. Isaszegi Humánszol'!C24+'13.  mellékletMűvelődési ház'!C24+'14. melléklet Könyvtár'!C24+'15.melléklet IVÜSZ'!C24</f>
        <v>26000</v>
      </c>
      <c r="D22" s="17">
        <f>'8. melléklet Önkormányzat'!D25+'9.  melléklet Hivatal'!D24+'10. melléklet Isaszegi Héts'!D24+'11.  melléklet Isaszegi Bóbi'!D24+'12. mell. Isaszegi Humánszol'!D24+'13.  mellékletMűvelődési ház'!D24+'14. melléklet Könyvtár'!D24+'15.melléklet IVÜSZ'!D24</f>
        <v>26000</v>
      </c>
      <c r="E22" s="17">
        <f>'8. melléklet Önkormányzat'!E25+'9.  melléklet Hivatal'!E24+'10. melléklet Isaszegi Héts'!E24+'11.  melléklet Isaszegi Bóbi'!E24+'12. mell. Isaszegi Humánszol'!E24+'13.  mellékletMűvelődési ház'!E24+'14. melléklet Könyvtár'!E24+'15.melléklet IVÜSZ'!E24</f>
        <v>0</v>
      </c>
      <c r="F22" s="419">
        <f>D22+E22</f>
        <v>26000</v>
      </c>
      <c r="G22" s="420">
        <f>'8. melléklet Önkormányzat'!G25+'9.  melléklet Hivatal'!G24+'10. melléklet Isaszegi Héts'!G24+'11.  melléklet Isaszegi Bóbi'!G24+'12. mell. Isaszegi Humánszol'!G24+'13.  mellékletMűvelődési ház'!G24+'14. melléklet Könyvtár'!G24+'15.melléklet IVÜSZ'!G24</f>
        <v>16982</v>
      </c>
      <c r="H22" s="438">
        <f t="shared" si="0"/>
        <v>0.6531538461538462</v>
      </c>
      <c r="IO22" s="1"/>
    </row>
    <row r="23" spans="1:249" s="5" customFormat="1" ht="20.25">
      <c r="A23" s="22"/>
      <c r="B23" s="25" t="s">
        <v>28</v>
      </c>
      <c r="C23" s="17">
        <f>'8. melléklet Önkormányzat'!C26+'9.  melléklet Hivatal'!C25+'10. melléklet Isaszegi Héts'!C25+'11.  melléklet Isaszegi Bóbi'!C25+'12. mell. Isaszegi Humánszol'!C25+'13.  mellékletMűvelődési ház'!C25+'14. melléklet Könyvtár'!C25+'15.melléklet IVÜSZ'!C25</f>
        <v>3000</v>
      </c>
      <c r="D23" s="17">
        <f>'8. melléklet Önkormányzat'!D26+'9.  melléklet Hivatal'!D25+'10. melléklet Isaszegi Héts'!D25+'11.  melléklet Isaszegi Bóbi'!D25+'12. mell. Isaszegi Humánszol'!D25+'13.  mellékletMűvelődési ház'!D25+'14. melléklet Könyvtár'!D25+'15.melléklet IVÜSZ'!D25</f>
        <v>3000</v>
      </c>
      <c r="E23" s="17">
        <f>'8. melléklet Önkormányzat'!E26+'9.  melléklet Hivatal'!E25+'10. melléklet Isaszegi Héts'!E25+'11.  melléklet Isaszegi Bóbi'!E25+'12. mell. Isaszegi Humánszol'!E25+'13.  mellékletMűvelődési ház'!E25+'14. melléklet Könyvtár'!E25+'15.melléklet IVÜSZ'!E25</f>
        <v>0</v>
      </c>
      <c r="F23" s="419">
        <f>D23+E23</f>
        <v>3000</v>
      </c>
      <c r="G23" s="420">
        <f>'8. melléklet Önkormányzat'!G26+'9.  melléklet Hivatal'!G25+'10. melléklet Isaszegi Héts'!G25+'11.  melléklet Isaszegi Bóbi'!G25+'12. mell. Isaszegi Humánszol'!G25+'13.  mellékletMűvelődési ház'!G25+'14. melléklet Könyvtár'!G25+'15.melléklet IVÜSZ'!G25</f>
        <v>2595</v>
      </c>
      <c r="H23" s="438">
        <f t="shared" si="0"/>
        <v>0.865</v>
      </c>
      <c r="IO23" s="1"/>
    </row>
    <row r="24" spans="1:249" s="5" customFormat="1" ht="78.75" customHeight="1">
      <c r="A24" s="15"/>
      <c r="B24" s="25" t="s">
        <v>29</v>
      </c>
      <c r="C24" s="17">
        <f>'8. melléklet Önkormányzat'!C27+'9.  melléklet Hivatal'!C26+'10. melléklet Isaszegi Héts'!C26+'11.  melléklet Isaszegi Bóbi'!C26+'12. mell. Isaszegi Humánszol'!C26+'13.  mellékletMűvelődési ház'!C26+'14. melléklet Könyvtár'!C26+'15.melléklet IVÜSZ'!C26</f>
        <v>3510</v>
      </c>
      <c r="D24" s="17">
        <f>'8. melléklet Önkormányzat'!D27+'9.  melléklet Hivatal'!D26+'10. melléklet Isaszegi Héts'!D26+'11.  melléklet Isaszegi Bóbi'!D26+'12. mell. Isaszegi Humánszol'!D26+'13.  mellékletMűvelődési ház'!D26+'14. melléklet Könyvtár'!D26+'15.melléklet IVÜSZ'!D26</f>
        <v>3510</v>
      </c>
      <c r="E24" s="17">
        <f>'8. melléklet Önkormányzat'!E27+'9.  melléklet Hivatal'!E26+'10. melléklet Isaszegi Héts'!E26+'11.  melléklet Isaszegi Bóbi'!E26+'12. mell. Isaszegi Humánszol'!E26+'13.  mellékletMűvelődési ház'!E26+'14. melléklet Könyvtár'!E26+'15.melléklet IVÜSZ'!E26</f>
        <v>0</v>
      </c>
      <c r="F24" s="419">
        <f>D24+E24</f>
        <v>3510</v>
      </c>
      <c r="G24" s="420">
        <f>'8. melléklet Önkormányzat'!G27+'9.  melléklet Hivatal'!G26+'10. melléklet Isaszegi Héts'!G26+'11.  melléklet Isaszegi Bóbi'!G26+'12. mell. Isaszegi Humánszol'!G26+'13.  mellékletMűvelődési ház'!G26+'14. melléklet Könyvtár'!G26+'15.melléklet IVÜSZ'!G26</f>
        <v>1839</v>
      </c>
      <c r="H24" s="438">
        <f t="shared" si="0"/>
        <v>0.523931623931624</v>
      </c>
      <c r="IO24" s="1"/>
    </row>
    <row r="25" spans="1:249" s="5" customFormat="1" ht="20.25">
      <c r="A25" s="20" t="s">
        <v>30</v>
      </c>
      <c r="B25" s="26" t="s">
        <v>31</v>
      </c>
      <c r="C25" s="14">
        <f>C26+C27+C28+C29+C30</f>
        <v>150092</v>
      </c>
      <c r="D25" s="14">
        <f>D26+D27+D28+D29+D30</f>
        <v>150092</v>
      </c>
      <c r="E25" s="14">
        <f>E26+E27+E28+E29+E30</f>
        <v>0</v>
      </c>
      <c r="F25" s="14">
        <f>F26+F27+F28+F29+F30</f>
        <v>150092</v>
      </c>
      <c r="G25" s="14">
        <f>G26+G27+G28+G29+G30</f>
        <v>35114</v>
      </c>
      <c r="H25" s="447">
        <f t="shared" si="0"/>
        <v>0.23394984409562136</v>
      </c>
      <c r="IO25" s="1"/>
    </row>
    <row r="26" spans="1:249" s="5" customFormat="1" ht="40.5">
      <c r="A26" s="22"/>
      <c r="B26" s="25" t="s">
        <v>32</v>
      </c>
      <c r="C26" s="17">
        <f>'8. melléklet Önkormányzat'!C29+'9.  melléklet Hivatal'!C28+'10. melléklet Isaszegi Héts'!C28+'11.  melléklet Isaszegi Bóbi'!C28+'12. mell. Isaszegi Humánszol'!C28+'13.  mellékletMűvelődési ház'!C28+'14. melléklet Könyvtár'!C28+'15.melléklet IVÜSZ'!C28</f>
        <v>133724</v>
      </c>
      <c r="D26" s="17">
        <f>'8. melléklet Önkormányzat'!D29+'9.  melléklet Hivatal'!D28+'10. melléklet Isaszegi Héts'!D28+'11.  melléklet Isaszegi Bóbi'!D28+'12. mell. Isaszegi Humánszol'!D28+'13.  mellékletMűvelődési ház'!D28+'14. melléklet Könyvtár'!D28+'15.melléklet IVÜSZ'!D28</f>
        <v>133724</v>
      </c>
      <c r="E26" s="17">
        <f>'8. melléklet Önkormányzat'!E29+'9.  melléklet Hivatal'!E28+'10. melléklet Isaszegi Héts'!E28+'11.  melléklet Isaszegi Bóbi'!E28+'12. mell. Isaszegi Humánszol'!E28+'13.  mellékletMűvelődési ház'!E28+'14. melléklet Könyvtár'!E28+'15.melléklet IVÜSZ'!E28</f>
        <v>0</v>
      </c>
      <c r="F26" s="419">
        <f>D26+E26</f>
        <v>133724</v>
      </c>
      <c r="G26" s="420">
        <f>'8. melléklet Önkormányzat'!G29+'9.  melléklet Hivatal'!G28+'10. melléklet Isaszegi Héts'!G28+'11.  melléklet Isaszegi Bóbi'!G28+'12. mell. Isaszegi Humánszol'!G28+'13.  mellékletMűvelődési ház'!G28+'14. melléklet Könyvtár'!G28+'15.melléklet IVÜSZ'!G28</f>
        <v>35114</v>
      </c>
      <c r="H26" s="438">
        <f t="shared" si="0"/>
        <v>0.2625856241213245</v>
      </c>
      <c r="IO26" s="1"/>
    </row>
    <row r="27" spans="1:249" s="5" customFormat="1" ht="20.25">
      <c r="A27" s="22"/>
      <c r="B27" s="25" t="s">
        <v>33</v>
      </c>
      <c r="C27" s="17">
        <f>'8. melléklet Önkormányzat'!C30+'9.  melléklet Hivatal'!C29+'10. melléklet Isaszegi Héts'!C29+'11.  melléklet Isaszegi Bóbi'!C29+'12. mell. Isaszegi Humánszol'!C29+'13.  mellékletMűvelődési ház'!C29+'14. melléklet Könyvtár'!C29+'15.melléklet IVÜSZ'!C29</f>
        <v>15412</v>
      </c>
      <c r="D27" s="17">
        <f>'8. melléklet Önkormányzat'!D30+'9.  melléklet Hivatal'!D29+'10. melléklet Isaszegi Héts'!D29+'11.  melléklet Isaszegi Bóbi'!D29+'12. mell. Isaszegi Humánszol'!D29+'13.  mellékletMűvelődési ház'!D29+'14. melléklet Könyvtár'!D29+'15.melléklet IVÜSZ'!D29</f>
        <v>15412</v>
      </c>
      <c r="E27" s="17">
        <f>'8. melléklet Önkormányzat'!E30+'9.  melléklet Hivatal'!E29+'10. melléklet Isaszegi Héts'!E29+'11.  melléklet Isaszegi Bóbi'!E29+'12. mell. Isaszegi Humánszol'!E29+'13.  mellékletMűvelődési ház'!E29+'14. melléklet Könyvtár'!E29+'15.melléklet IVÜSZ'!E29</f>
        <v>0</v>
      </c>
      <c r="F27" s="419">
        <f>D27+E27</f>
        <v>15412</v>
      </c>
      <c r="G27" s="420">
        <f>'8. melléklet Önkormányzat'!G30+'9.  melléklet Hivatal'!G29+'10. melléklet Isaszegi Héts'!G29+'11.  melléklet Isaszegi Bóbi'!G29+'12. mell. Isaszegi Humánszol'!G29+'13.  mellékletMűvelődési ház'!G29+'14. melléklet Könyvtár'!G29+'15.melléklet IVÜSZ'!G29</f>
        <v>0</v>
      </c>
      <c r="H27" s="438">
        <f t="shared" si="0"/>
        <v>0</v>
      </c>
      <c r="IO27" s="1"/>
    </row>
    <row r="28" spans="1:249" s="5" customFormat="1" ht="20.25">
      <c r="A28" s="22"/>
      <c r="B28" s="25" t="s">
        <v>34</v>
      </c>
      <c r="C28" s="17">
        <f>'8. melléklet Önkormányzat'!C31+'9.  melléklet Hivatal'!C30+'10. melléklet Isaszegi Héts'!C30+'11.  melléklet Isaszegi Bóbi'!C30+'12. mell. Isaszegi Humánszol'!C30+'13.  mellékletMűvelődési ház'!C30+'14. melléklet Könyvtár'!C30+'15.melléklet IVÜSZ'!C30</f>
        <v>0</v>
      </c>
      <c r="D28" s="17">
        <f>'8. melléklet Önkormányzat'!D31+'9.  melléklet Hivatal'!D30+'10. melléklet Isaszegi Héts'!D30+'11.  melléklet Isaszegi Bóbi'!D30+'12. mell. Isaszegi Humánszol'!D30+'13.  mellékletMűvelődési ház'!D30+'14. melléklet Könyvtár'!D30+'15.melléklet IVÜSZ'!D30</f>
        <v>0</v>
      </c>
      <c r="E28" s="17">
        <f>'8. melléklet Önkormányzat'!E31+'9.  melléklet Hivatal'!E30+'10. melléklet Isaszegi Héts'!E30+'11.  melléklet Isaszegi Bóbi'!E30+'12. mell. Isaszegi Humánszol'!E30+'13.  mellékletMűvelődési ház'!E30+'14. melléklet Könyvtár'!E30+'15.melléklet IVÜSZ'!E30</f>
        <v>0</v>
      </c>
      <c r="F28" s="419">
        <f>D28+E28</f>
        <v>0</v>
      </c>
      <c r="G28" s="420">
        <f>'8. melléklet Önkormányzat'!G31+'9.  melléklet Hivatal'!G30+'10. melléklet Isaszegi Héts'!G30+'11.  melléklet Isaszegi Bóbi'!G30+'12. mell. Isaszegi Humánszol'!G30+'13.  mellékletMűvelődési ház'!G30+'14. melléklet Könyvtár'!G30+'15.melléklet IVÜSZ'!G30</f>
        <v>0</v>
      </c>
      <c r="H28" s="438"/>
      <c r="IO28" s="1"/>
    </row>
    <row r="29" spans="1:249" s="5" customFormat="1" ht="20.25">
      <c r="A29" s="22"/>
      <c r="B29" s="25" t="s">
        <v>35</v>
      </c>
      <c r="C29" s="17">
        <f>'8. melléklet Önkormányzat'!C32+'9.  melléklet Hivatal'!C31+'10. melléklet Isaszegi Héts'!C31+'11.  melléklet Isaszegi Bóbi'!C31+'12. mell. Isaszegi Humánszol'!C31+'13.  mellékletMűvelődési ház'!C31+'14. melléklet Könyvtár'!C31+'15.melléklet IVÜSZ'!C31</f>
        <v>700</v>
      </c>
      <c r="D29" s="17">
        <f>'8. melléklet Önkormányzat'!D32+'9.  melléklet Hivatal'!D31+'10. melléklet Isaszegi Héts'!D31+'11.  melléklet Isaszegi Bóbi'!D31+'12. mell. Isaszegi Humánszol'!D31+'13.  mellékletMűvelődési ház'!D31+'14. melléklet Könyvtár'!D31+'15.melléklet IVÜSZ'!D31</f>
        <v>700</v>
      </c>
      <c r="E29" s="17">
        <f>'8. melléklet Önkormányzat'!E32+'9.  melléklet Hivatal'!E31+'10. melléklet Isaszegi Héts'!E31+'11.  melléklet Isaszegi Bóbi'!E31+'12. mell. Isaszegi Humánszol'!E31+'13.  mellékletMűvelődési ház'!E31+'14. melléklet Könyvtár'!E31+'15.melléklet IVÜSZ'!E31</f>
        <v>0</v>
      </c>
      <c r="F29" s="419">
        <f>D29+E29</f>
        <v>700</v>
      </c>
      <c r="G29" s="420">
        <f>'8. melléklet Önkormányzat'!G32+'9.  melléklet Hivatal'!G31+'10. melléklet Isaszegi Héts'!G31+'11.  melléklet Isaszegi Bóbi'!G31+'12. mell. Isaszegi Humánszol'!G31+'13.  mellékletMűvelődési ház'!G31+'14. melléklet Könyvtár'!G31+'15.melléklet IVÜSZ'!G31</f>
        <v>0</v>
      </c>
      <c r="H29" s="438">
        <f t="shared" si="0"/>
        <v>0</v>
      </c>
      <c r="IO29" s="1"/>
    </row>
    <row r="30" spans="1:249" s="5" customFormat="1" ht="20.25">
      <c r="A30" s="22"/>
      <c r="B30" s="25" t="s">
        <v>36</v>
      </c>
      <c r="C30" s="17">
        <f>'8. melléklet Önkormányzat'!C33+'9.  melléklet Hivatal'!C32+'10. melléklet Isaszegi Héts'!C32+'11.  melléklet Isaszegi Bóbi'!C32+'12. mell. Isaszegi Humánszol'!C32+'13.  mellékletMűvelődési ház'!C32+'14. melléklet Könyvtár'!C32+'15.melléklet IVÜSZ'!C32</f>
        <v>256</v>
      </c>
      <c r="D30" s="17">
        <f>'8. melléklet Önkormányzat'!D33+'9.  melléklet Hivatal'!D32+'10. melléklet Isaszegi Héts'!D32+'11.  melléklet Isaszegi Bóbi'!D32+'12. mell. Isaszegi Humánszol'!D32+'13.  mellékletMűvelődési ház'!D32+'14. melléklet Könyvtár'!D32+'15.melléklet IVÜSZ'!D32</f>
        <v>256</v>
      </c>
      <c r="E30" s="17">
        <f>'8. melléklet Önkormányzat'!E33+'9.  melléklet Hivatal'!E32+'10. melléklet Isaszegi Héts'!E32+'11.  melléklet Isaszegi Bóbi'!E32+'12. mell. Isaszegi Humánszol'!E32+'13.  mellékletMűvelődési ház'!E32+'14. melléklet Könyvtár'!E32+'15.melléklet IVÜSZ'!E32</f>
        <v>0</v>
      </c>
      <c r="F30" s="419">
        <f>D30+E30</f>
        <v>256</v>
      </c>
      <c r="G30" s="420">
        <f>'8. melléklet Önkormányzat'!G33+'9.  melléklet Hivatal'!G32+'10. melléklet Isaszegi Héts'!G32+'11.  melléklet Isaszegi Bóbi'!G32+'12. mell. Isaszegi Humánszol'!G32+'13.  mellékletMűvelődési ház'!G32+'14. melléklet Könyvtár'!G32+'15.melléklet IVÜSZ'!G32</f>
        <v>0</v>
      </c>
      <c r="H30" s="438">
        <f t="shared" si="0"/>
        <v>0</v>
      </c>
      <c r="IO30" s="1"/>
    </row>
    <row r="31" spans="1:249" s="5" customFormat="1" ht="20.25">
      <c r="A31" s="20" t="s">
        <v>37</v>
      </c>
      <c r="B31" s="21" t="s">
        <v>38</v>
      </c>
      <c r="C31" s="14">
        <f>C32+C33</f>
        <v>0</v>
      </c>
      <c r="D31" s="14">
        <f>D32+D33</f>
        <v>0</v>
      </c>
      <c r="E31" s="14">
        <f>E32+E33</f>
        <v>24434</v>
      </c>
      <c r="F31" s="14">
        <f>F32+F33</f>
        <v>24434</v>
      </c>
      <c r="G31" s="14">
        <f>G32+G33</f>
        <v>820</v>
      </c>
      <c r="H31" s="446"/>
      <c r="IO31" s="1"/>
    </row>
    <row r="32" spans="1:249" s="5" customFormat="1" ht="20.25">
      <c r="A32" s="24"/>
      <c r="B32" s="25" t="s">
        <v>39</v>
      </c>
      <c r="C32" s="17">
        <f>'8. melléklet Önkormányzat'!C35</f>
        <v>0</v>
      </c>
      <c r="D32" s="17">
        <f>'8. melléklet Önkormányzat'!D35</f>
        <v>0</v>
      </c>
      <c r="E32" s="17">
        <f>'8. melléklet Önkormányzat'!E35</f>
        <v>24434</v>
      </c>
      <c r="F32" s="419">
        <f>C32+D32+E32</f>
        <v>24434</v>
      </c>
      <c r="G32" s="420">
        <f>'8. melléklet Önkormányzat'!G35+'9.  melléklet Hivatal'!G34+'10. melléklet Isaszegi Héts'!G34+'11.  melléklet Isaszegi Bóbi'!G34+'12. mell. Isaszegi Humánszol'!G34+'13.  mellékletMűvelődési ház'!G34+'14. melléklet Könyvtár'!G34+'15.melléklet IVÜSZ'!G34</f>
        <v>0</v>
      </c>
      <c r="H32" s="438"/>
      <c r="IO32" s="1"/>
    </row>
    <row r="33" spans="1:249" s="5" customFormat="1" ht="20.25">
      <c r="A33" s="27"/>
      <c r="B33" s="25" t="s">
        <v>401</v>
      </c>
      <c r="C33" s="17">
        <f>'8. melléklet Önkormányzat'!C36</f>
        <v>0</v>
      </c>
      <c r="D33" s="17">
        <f>'8. melléklet Önkormányzat'!D36+'9.  melléklet Hivatal'!D35+'10. melléklet Isaszegi Héts'!D35+'11.  melléklet Isaszegi Bóbi'!D35+'12. mell. Isaszegi Humánszol'!D35+'13.  mellékletMűvelődési ház'!D35+'14. melléklet Könyvtár'!D35+'15.melléklet IVÜSZ'!D35</f>
        <v>0</v>
      </c>
      <c r="E33" s="17"/>
      <c r="F33" s="419">
        <f>C33+D33+E33</f>
        <v>0</v>
      </c>
      <c r="G33" s="420">
        <f>'8. melléklet Önkormányzat'!G36+'9.  melléklet Hivatal'!G35+'10. melléklet Isaszegi Héts'!G35+'11.  melléklet Isaszegi Bóbi'!G35+'12. mell. Isaszegi Humánszol'!G35+'13.  mellékletMűvelődési ház'!G35+'14. melléklet Könyvtár'!G35+'15.melléklet IVÜSZ'!G35</f>
        <v>820</v>
      </c>
      <c r="H33" s="438"/>
      <c r="IO33" s="1"/>
    </row>
    <row r="34" spans="1:249" s="5" customFormat="1" ht="20.25">
      <c r="A34" s="28" t="s">
        <v>40</v>
      </c>
      <c r="B34" s="21" t="s">
        <v>41</v>
      </c>
      <c r="C34" s="14">
        <f>C35</f>
        <v>0</v>
      </c>
      <c r="D34" s="14">
        <f>D35</f>
        <v>0</v>
      </c>
      <c r="E34" s="14">
        <f>E35</f>
        <v>50</v>
      </c>
      <c r="F34" s="14">
        <f>F35</f>
        <v>50</v>
      </c>
      <c r="G34" s="14">
        <f>G35</f>
        <v>50</v>
      </c>
      <c r="H34" s="446"/>
      <c r="IO34" s="1"/>
    </row>
    <row r="35" spans="1:249" s="5" customFormat="1" ht="20.25">
      <c r="A35" s="29"/>
      <c r="B35" s="23" t="s">
        <v>42</v>
      </c>
      <c r="C35" s="18">
        <f>'8. melléklet Önkormányzat'!C38+'9.  melléklet Hivatal'!C37+'10. melléklet Isaszegi Héts'!C37+'11.  melléklet Isaszegi Bóbi'!C37+'12. mell. Isaszegi Humánszol'!C37+'13.  mellékletMűvelődési ház'!C37+'14. melléklet Könyvtár'!C37+'15.melléklet IVÜSZ'!C37</f>
        <v>0</v>
      </c>
      <c r="D35" s="18">
        <f>'8. melléklet Önkormányzat'!D38+'9.  melléklet Hivatal'!D37+'10. melléklet Isaszegi Héts'!D37+'11.  melléklet Isaszegi Bóbi'!D37+'12. mell. Isaszegi Humánszol'!D37+'13.  mellékletMűvelődési ház'!D37+'14. melléklet Könyvtár'!D37+'15.melléklet IVÜSZ'!D37</f>
        <v>0</v>
      </c>
      <c r="E35" s="18">
        <f>'8. melléklet Önkormányzat'!E38+'9.  melléklet Hivatal'!E37+'10. melléklet Isaszegi Héts'!E37+'11.  melléklet Isaszegi Bóbi'!E37+'12. mell. Isaszegi Humánszol'!E37+'13.  mellékletMűvelődési ház'!E37+'14. melléklet Könyvtár'!E37+'15.melléklet IVÜSZ'!E37</f>
        <v>50</v>
      </c>
      <c r="F35" s="419">
        <f>C35+D35+E35</f>
        <v>50</v>
      </c>
      <c r="G35" s="420">
        <f>'8. melléklet Önkormányzat'!G38+'9.  melléklet Hivatal'!G37+'10. melléklet Isaszegi Héts'!G37+'11.  melléklet Isaszegi Bóbi'!G37+'12. mell. Isaszegi Humánszol'!G37+'13.  mellékletMűvelődési ház'!G37+'14. melléklet Könyvtár'!G37+'15.melléklet IVÜSZ'!G37</f>
        <v>50</v>
      </c>
      <c r="H35" s="438"/>
      <c r="IO35" s="1"/>
    </row>
    <row r="36" spans="1:249" s="5" customFormat="1" ht="20.25">
      <c r="A36" s="28" t="s">
        <v>43</v>
      </c>
      <c r="B36" s="21" t="s">
        <v>44</v>
      </c>
      <c r="C36" s="14">
        <f>C37+C38</f>
        <v>227889</v>
      </c>
      <c r="D36" s="14">
        <f>D37+D38</f>
        <v>257889</v>
      </c>
      <c r="E36" s="14">
        <f>E37+E38</f>
        <v>147548</v>
      </c>
      <c r="F36" s="14">
        <f>F37+F38</f>
        <v>405437</v>
      </c>
      <c r="G36" s="14">
        <f>G37+G38</f>
        <v>257424</v>
      </c>
      <c r="H36" s="447">
        <f t="shared" si="0"/>
        <v>0.6349297178106587</v>
      </c>
      <c r="IO36" s="1"/>
    </row>
    <row r="37" spans="1:249" s="5" customFormat="1" ht="48.75" customHeight="1">
      <c r="A37" s="29"/>
      <c r="B37" s="25" t="s">
        <v>45</v>
      </c>
      <c r="C37" s="17">
        <f>'8. melléklet Önkormányzat'!C40+'9.  melléklet Hivatal'!C39+'10. melléklet Isaszegi Héts'!C39+'11.  melléklet Isaszegi Bóbi'!C39+'12. mell. Isaszegi Humánszol'!C39+'13.  mellékletMűvelődési ház'!C39+'14. melléklet Könyvtár'!C39+'15.melléklet IVÜSZ'!C39</f>
        <v>24000</v>
      </c>
      <c r="D37" s="17">
        <f>'8. melléklet Önkormányzat'!D40+'9.  melléklet Hivatal'!D39+'10. melléklet Isaszegi Héts'!D39+'11.  melléklet Isaszegi Bóbi'!D39+'12. mell. Isaszegi Humánszol'!D39+'13.  mellékletMűvelődési ház'!D39+'14. melléklet Könyvtár'!D39+'15.melléklet IVÜSZ'!D39</f>
        <v>24000</v>
      </c>
      <c r="E37" s="17">
        <f>'8. melléklet Önkormányzat'!E40+'9.  melléklet Hivatal'!E39+'10. melléklet Isaszegi Héts'!E39+'11.  melléklet Isaszegi Bóbi'!E39+'12. mell. Isaszegi Humánszol'!E39+'13.  mellékletMűvelődési ház'!E39+'14. melléklet Könyvtár'!E39+'15.melléklet IVÜSZ'!E39</f>
        <v>0</v>
      </c>
      <c r="F37" s="419">
        <f>D37+E37</f>
        <v>24000</v>
      </c>
      <c r="G37" s="420">
        <f>'8. melléklet Önkormányzat'!G40+'9.  melléklet Hivatal'!G39+'10. melléklet Isaszegi Héts'!G39+'11.  melléklet Isaszegi Bóbi'!G39+'12. mell. Isaszegi Humánszol'!G39+'13.  mellékletMűvelődési ház'!G39+'14. melléklet Könyvtár'!G39+'15.melléklet IVÜSZ'!G39</f>
        <v>4689</v>
      </c>
      <c r="H37" s="438">
        <f t="shared" si="0"/>
        <v>0.195375</v>
      </c>
      <c r="IO37" s="1"/>
    </row>
    <row r="38" spans="1:249" s="5" customFormat="1" ht="35.25" customHeight="1">
      <c r="A38" s="29"/>
      <c r="B38" s="25" t="s">
        <v>46</v>
      </c>
      <c r="C38" s="17">
        <f>'8. melléklet Önkormányzat'!C41+'9.  melléklet Hivatal'!C40+'10. melléklet Isaszegi Héts'!C40+'11.  melléklet Isaszegi Bóbi'!C40+'12. mell. Isaszegi Humánszol'!C40+'13.  mellékletMűvelődési ház'!C40+'14. melléklet Könyvtár'!C40+'15.melléklet IVÜSZ'!C40</f>
        <v>203889</v>
      </c>
      <c r="D38" s="17">
        <f>'8. melléklet Önkormányzat'!D41+'9.  melléklet Hivatal'!D40+'10. melléklet Isaszegi Héts'!D40+'11.  melléklet Isaszegi Bóbi'!D40+'12. mell. Isaszegi Humánszol'!D40+'13.  mellékletMűvelődési ház'!D40+'14. melléklet Könyvtár'!D40+'15.melléklet IVÜSZ'!D40</f>
        <v>233889</v>
      </c>
      <c r="E38" s="17">
        <f>'8. melléklet Önkormányzat'!E41+'9.  melléklet Hivatal'!E40+'10. melléklet Isaszegi Héts'!E40+'11.  melléklet Isaszegi Bóbi'!E40+'12. mell. Isaszegi Humánszol'!E40+'13.  mellékletMűvelődési ház'!E40+'14. melléklet Könyvtár'!E40+'15.melléklet IVÜSZ'!E40</f>
        <v>147548</v>
      </c>
      <c r="F38" s="419">
        <f>D38+E38</f>
        <v>381437</v>
      </c>
      <c r="G38" s="420">
        <f>'8. melléklet Önkormányzat'!G41+'9.  melléklet Hivatal'!G40+'10. melléklet Isaszegi Héts'!G40+'11.  melléklet Isaszegi Bóbi'!G40+'12. mell. Isaszegi Humánszol'!G40+'13.  mellékletMűvelődési ház'!G40+'14. melléklet Könyvtár'!G40+'15.melléklet IVÜSZ'!G40</f>
        <v>252735</v>
      </c>
      <c r="H38" s="438">
        <f t="shared" si="0"/>
        <v>0.6625864821713677</v>
      </c>
      <c r="IO38" s="1"/>
    </row>
    <row r="39" spans="1:249" s="5" customFormat="1" ht="20.25">
      <c r="A39" s="30"/>
      <c r="B39" s="21" t="s">
        <v>47</v>
      </c>
      <c r="C39" s="14">
        <f>C6+C13+C18+C20+C25+C31+C34+C36</f>
        <v>1348683</v>
      </c>
      <c r="D39" s="14">
        <f>D6+D13+D18+D20+D25+D31+D34+D36</f>
        <v>1393161</v>
      </c>
      <c r="E39" s="14">
        <f>E6+E13+E18+E20+E25+E31+E34+E36</f>
        <v>206128</v>
      </c>
      <c r="F39" s="14">
        <f>F6+F13+F18+F20+F25+F31+F34+F36</f>
        <v>1599289</v>
      </c>
      <c r="G39" s="14">
        <f>G6+G13+G18+G20+G25+G31+G34+G36</f>
        <v>821686</v>
      </c>
      <c r="H39" s="447">
        <f t="shared" si="0"/>
        <v>0.5137820619037585</v>
      </c>
      <c r="IO39" s="1"/>
    </row>
    <row r="40" spans="1:249" s="5" customFormat="1" ht="20.25">
      <c r="A40" s="28" t="s">
        <v>48</v>
      </c>
      <c r="B40" s="21" t="s">
        <v>49</v>
      </c>
      <c r="C40" s="14">
        <f>'8. melléklet Önkormányzat'!C43</f>
        <v>97372</v>
      </c>
      <c r="D40" s="14">
        <f>'8. melléklet Önkormányzat'!D43</f>
        <v>97372</v>
      </c>
      <c r="E40" s="14">
        <f>'8. melléklet Önkormányzat'!E43</f>
        <v>0</v>
      </c>
      <c r="F40" s="14">
        <f>'8. melléklet Önkormányzat'!F43</f>
        <v>97372</v>
      </c>
      <c r="G40" s="14">
        <f>'8. melléklet Önkormányzat'!G43</f>
        <v>0</v>
      </c>
      <c r="H40" s="447">
        <f t="shared" si="0"/>
        <v>0</v>
      </c>
      <c r="IO40" s="1"/>
    </row>
    <row r="41" spans="1:249" s="5" customFormat="1" ht="20.25">
      <c r="A41" s="28" t="s">
        <v>50</v>
      </c>
      <c r="B41" s="21" t="s">
        <v>51</v>
      </c>
      <c r="C41" s="14">
        <f>'1_A melléklet'!C32</f>
        <v>66756</v>
      </c>
      <c r="D41" s="14">
        <v>83212</v>
      </c>
      <c r="E41" s="14"/>
      <c r="F41" s="14">
        <f>'1_A melléklet'!F32</f>
        <v>83212</v>
      </c>
      <c r="G41" s="14">
        <f>'8. melléklet Önkormányzat'!G44+'9.  melléklet Hivatal'!G43+'10. melléklet Isaszegi Héts'!G43+'11.  melléklet Isaszegi Bóbi'!G43+'12. mell. Isaszegi Humánszol'!G43+'13.  mellékletMűvelődési ház'!G43+'14. melléklet Könyvtár'!G43+'15.melléklet IVÜSZ'!G43</f>
        <v>83212</v>
      </c>
      <c r="H41" s="447">
        <f t="shared" si="0"/>
        <v>1</v>
      </c>
      <c r="IO41" s="1"/>
    </row>
    <row r="42" spans="1:249" s="5" customFormat="1" ht="20.25">
      <c r="A42" s="28" t="s">
        <v>52</v>
      </c>
      <c r="B42" s="21" t="s">
        <v>53</v>
      </c>
      <c r="C42" s="14">
        <f>1_B_MELLÉKLET!C16</f>
        <v>351965</v>
      </c>
      <c r="D42" s="14">
        <v>370455</v>
      </c>
      <c r="E42" s="14">
        <f>1_B_MELLÉKLET!E16</f>
        <v>0</v>
      </c>
      <c r="F42" s="14">
        <f>1_B_MELLÉKLET!F16</f>
        <v>370455</v>
      </c>
      <c r="G42" s="14">
        <f>'8. melléklet Önkormányzat'!G45+'9.  melléklet Hivatal'!G44+'10. melléklet Isaszegi Héts'!G44+'11.  melléklet Isaszegi Bóbi'!G44+'12. mell. Isaszegi Humánszol'!G44+'13.  mellékletMűvelődési ház'!G44+'14. melléklet Könyvtár'!G44+'15.melléklet IVÜSZ'!G44</f>
        <v>370455</v>
      </c>
      <c r="H42" s="447">
        <f t="shared" si="0"/>
        <v>1</v>
      </c>
      <c r="IO42" s="1"/>
    </row>
    <row r="43" spans="1:249" s="5" customFormat="1" ht="20.25">
      <c r="A43" s="30"/>
      <c r="B43" s="21" t="s">
        <v>54</v>
      </c>
      <c r="C43" s="14">
        <f>SUM(C40:C42)</f>
        <v>516093</v>
      </c>
      <c r="D43" s="14">
        <f>SUM(D40:D42)</f>
        <v>551039</v>
      </c>
      <c r="E43" s="14">
        <f>SUM(E40:E42)</f>
        <v>0</v>
      </c>
      <c r="F43" s="14">
        <f>D43+E43</f>
        <v>551039</v>
      </c>
      <c r="G43" s="14">
        <f>E43+F43</f>
        <v>551039</v>
      </c>
      <c r="H43" s="447">
        <f t="shared" si="0"/>
        <v>1</v>
      </c>
      <c r="IO43" s="1"/>
    </row>
    <row r="44" spans="1:249" s="5" customFormat="1" ht="23.25">
      <c r="A44" s="29"/>
      <c r="B44" s="31" t="s">
        <v>55</v>
      </c>
      <c r="C44" s="14">
        <f>C6+C13+C18+C20+C25+C31+C34+C36+C40+C41+C42</f>
        <v>1864776</v>
      </c>
      <c r="D44" s="14">
        <f>D6+D13+D18+D20+D25+D31+D34+D36+D40+D41+D42</f>
        <v>1944200</v>
      </c>
      <c r="E44" s="14">
        <f>E6+E13+E18+E20+E25+E31+E34+E36+E40+E41+E42</f>
        <v>206128</v>
      </c>
      <c r="F44" s="14">
        <f>F6+F13+F18+F20+F25+F31+F34+F36+F40+F41+F42</f>
        <v>2150328</v>
      </c>
      <c r="G44" s="14">
        <f>G6+G13+G18+G20+G25+G31+G34+G36+G40+G41+G42</f>
        <v>1275353</v>
      </c>
      <c r="H44" s="447">
        <f t="shared" si="0"/>
        <v>0.5930969600916698</v>
      </c>
      <c r="I44" s="5" t="s">
        <v>402</v>
      </c>
      <c r="IO44" s="1"/>
    </row>
    <row r="45" spans="1:249" s="5" customFormat="1" ht="20.25">
      <c r="A45" s="1"/>
      <c r="B45" s="1" t="s">
        <v>56</v>
      </c>
      <c r="C45" s="32">
        <f>C76</f>
        <v>590130</v>
      </c>
      <c r="D45" s="32">
        <f>D76</f>
        <v>594279</v>
      </c>
      <c r="E45" s="32">
        <f>E76</f>
        <v>-3615</v>
      </c>
      <c r="F45" s="32">
        <f>D45+E45</f>
        <v>590664</v>
      </c>
      <c r="G45" s="32">
        <f>'9.  melléklet Hivatal'!G42+'10. melléklet Isaszegi Héts'!G42+'11.  melléklet Isaszegi Bóbi'!G42+'12. mell. Isaszegi Humánszol'!G42+'13.  mellékletMűvelődési ház'!G42+'14. melléklet Könyvtár'!G42+'15.melléklet IVÜSZ'!G42</f>
        <v>276010</v>
      </c>
      <c r="H45" s="444">
        <f t="shared" si="0"/>
        <v>0.46728766269825145</v>
      </c>
      <c r="IO45" s="1"/>
    </row>
    <row r="46" spans="1:249" s="5" customFormat="1" ht="23.25">
      <c r="A46" s="1"/>
      <c r="B46" s="31" t="s">
        <v>57</v>
      </c>
      <c r="C46" s="14">
        <f>C44+C45</f>
        <v>2454906</v>
      </c>
      <c r="D46" s="14">
        <f>D44+D45</f>
        <v>2538479</v>
      </c>
      <c r="E46" s="14">
        <f>E44+E45</f>
        <v>202513</v>
      </c>
      <c r="F46" s="14">
        <f>D46+E46</f>
        <v>2740992</v>
      </c>
      <c r="G46" s="14">
        <f>G44+G45</f>
        <v>1551363</v>
      </c>
      <c r="H46" s="447">
        <f t="shared" si="0"/>
        <v>0.5659859642056598</v>
      </c>
      <c r="J46" s="458">
        <f>G7+G8+G9+G10+G11+G14+G15+G16+G17+G21+G22+G23+G24+G26+G33++G37++G38+G41+G42+G35</f>
        <v>1275353</v>
      </c>
      <c r="IO46" s="1"/>
    </row>
    <row r="47" spans="2:4" s="5" customFormat="1" ht="20.25">
      <c r="B47" s="1"/>
      <c r="C47" s="33"/>
      <c r="D47" s="35"/>
    </row>
    <row r="48" spans="1:249" s="5" customFormat="1" ht="39" customHeight="1">
      <c r="A48" s="7" t="s">
        <v>3</v>
      </c>
      <c r="B48" s="7" t="s">
        <v>4</v>
      </c>
      <c r="C48" s="471" t="s">
        <v>362</v>
      </c>
      <c r="D48" s="472"/>
      <c r="E48" s="472"/>
      <c r="F48" s="472"/>
      <c r="G48" s="472"/>
      <c r="H48" s="474"/>
      <c r="IO48" s="1"/>
    </row>
    <row r="49" spans="1:249" s="5" customFormat="1" ht="76.5" customHeight="1">
      <c r="A49" s="7"/>
      <c r="B49" s="10" t="s">
        <v>58</v>
      </c>
      <c r="C49" s="379" t="s">
        <v>361</v>
      </c>
      <c r="D49" s="379" t="s">
        <v>397</v>
      </c>
      <c r="E49" s="379" t="s">
        <v>360</v>
      </c>
      <c r="F49" s="379" t="s">
        <v>363</v>
      </c>
      <c r="G49" s="379" t="s">
        <v>395</v>
      </c>
      <c r="H49" s="379" t="s">
        <v>398</v>
      </c>
      <c r="IO49" s="1"/>
    </row>
    <row r="50" spans="1:249" s="5" customFormat="1" ht="25.5" customHeight="1">
      <c r="A50" s="21" t="s">
        <v>7</v>
      </c>
      <c r="B50" s="21" t="s">
        <v>59</v>
      </c>
      <c r="C50" s="14">
        <f>C51+C52+C53+C56+C57</f>
        <v>1130550</v>
      </c>
      <c r="D50" s="14">
        <f>D51+D52+D53+D56+D57</f>
        <v>1145996</v>
      </c>
      <c r="E50" s="14">
        <f>E51+E52+E53+E56+E57</f>
        <v>58580</v>
      </c>
      <c r="F50" s="14">
        <f>F51+F52+F53+F56+F57</f>
        <v>1204576</v>
      </c>
      <c r="G50" s="14">
        <f>G51+G52+G53+G56+G57</f>
        <v>520039</v>
      </c>
      <c r="H50" s="448">
        <f>G50/F50</f>
        <v>0.43171954281008423</v>
      </c>
      <c r="IO50" s="1"/>
    </row>
    <row r="51" spans="1:249" s="5" customFormat="1" ht="25.5" customHeight="1">
      <c r="A51" s="36"/>
      <c r="B51" s="37" t="s">
        <v>60</v>
      </c>
      <c r="C51" s="38">
        <f>'8. melléklet Önkormányzat'!C52+'9.  melléklet Hivatal'!C51+'10. melléklet Isaszegi Héts'!C51+'11.  melléklet Isaszegi Bóbi'!C51+'12. mell. Isaszegi Humánszol'!C51+'13.  mellékletMűvelődési ház'!C51+'14. melléklet Könyvtár'!C51+'15.melléklet IVÜSZ'!C51</f>
        <v>474319</v>
      </c>
      <c r="D51" s="38">
        <f>'8. melléklet Önkormányzat'!D52+'9.  melléklet Hivatal'!D51+'10. melléklet Isaszegi Héts'!D51+'11.  melléklet Isaszegi Bóbi'!D51+'12. mell. Isaszegi Humánszol'!D51+'13.  mellékletMűvelődési ház'!D51+'14. melléklet Könyvtár'!D51+'15.melléklet IVÜSZ'!D51</f>
        <v>497597</v>
      </c>
      <c r="E51" s="38">
        <f>'8. melléklet Önkormányzat'!E52+'9.  melléklet Hivatal'!E51+'10. melléklet Isaszegi Héts'!E51+'11.  melléklet Isaszegi Bóbi'!E51+'12. mell. Isaszegi Humánszol'!E51+'13.  mellékletMűvelődési ház'!E51+'14. melléklet Könyvtár'!E51+'15.melléklet IVÜSZ'!E51</f>
        <v>1842</v>
      </c>
      <c r="F51" s="17">
        <f>D51+E51</f>
        <v>499439</v>
      </c>
      <c r="G51" s="17">
        <f>'8. melléklet Önkormányzat'!G52+'9.  melléklet Hivatal'!G51+'10. melléklet Isaszegi Héts'!G51+'11.  melléklet Isaszegi Bóbi'!G51+'12. mell. Isaszegi Humánszol'!G51+'13.  mellékletMűvelődési ház'!G51+'14. melléklet Könyvtár'!G51+'15.melléklet IVÜSZ'!G51</f>
        <v>227191</v>
      </c>
      <c r="H51" s="437">
        <f aca="true" t="shared" si="1" ref="H51:H78">G51/F51</f>
        <v>0.45489238926075054</v>
      </c>
      <c r="IO51" s="1"/>
    </row>
    <row r="52" spans="1:249" s="5" customFormat="1" ht="20.25">
      <c r="A52" s="29"/>
      <c r="B52" s="25" t="s">
        <v>61</v>
      </c>
      <c r="C52" s="38">
        <f>'8. melléklet Önkormányzat'!C53+'9.  melléklet Hivatal'!C52+'10. melléklet Isaszegi Héts'!C52+'11.  melléklet Isaszegi Bóbi'!C52+'12. mell. Isaszegi Humánszol'!C52+'13.  mellékletMűvelődési ház'!C52+'14. melléklet Könyvtár'!C52+'15.melléklet IVÜSZ'!C52</f>
        <v>100205</v>
      </c>
      <c r="D52" s="38">
        <f>'8. melléklet Önkormányzat'!D53+'9.  melléklet Hivatal'!D52+'10. melléklet Isaszegi Héts'!D52+'11.  melléklet Isaszegi Bóbi'!D52+'12. mell. Isaszegi Humánszol'!D52+'13.  mellékletMűvelődési ház'!D52+'14. melléklet Könyvtár'!D52+'15.melléklet IVÜSZ'!D52</f>
        <v>104763</v>
      </c>
      <c r="E52" s="38">
        <f>'8. melléklet Önkormányzat'!E53+'9.  melléklet Hivatal'!E52+'10. melléklet Isaszegi Héts'!E52+'11.  melléklet Isaszegi Bóbi'!E52+'12. mell. Isaszegi Humánszol'!E52+'13.  mellékletMűvelődési ház'!E52+'14. melléklet Könyvtár'!E52+'15.melléklet IVÜSZ'!E52</f>
        <v>360</v>
      </c>
      <c r="F52" s="17">
        <f aca="true" t="shared" si="2" ref="F52:F61">D52+E52</f>
        <v>105123</v>
      </c>
      <c r="G52" s="17">
        <f>'8. melléklet Önkormányzat'!G53+'9.  melléklet Hivatal'!G52+'10. melléklet Isaszegi Héts'!G52+'11.  melléklet Isaszegi Bóbi'!G52+'12. mell. Isaszegi Humánszol'!G52+'13.  mellékletMűvelődési ház'!G52+'14. melléklet Könyvtár'!G52+'15.melléklet IVÜSZ'!G52</f>
        <v>53447</v>
      </c>
      <c r="H52" s="437">
        <f t="shared" si="1"/>
        <v>0.5084234658447723</v>
      </c>
      <c r="IO52" s="1"/>
    </row>
    <row r="53" spans="1:249" s="5" customFormat="1" ht="20.25">
      <c r="A53" s="29"/>
      <c r="B53" s="25" t="s">
        <v>62</v>
      </c>
      <c r="C53" s="38">
        <f>'8. melléklet Önkormányzat'!C54+'9.  melléklet Hivatal'!C53+'10. melléklet Isaszegi Héts'!C53+'11.  melléklet Isaszegi Bóbi'!C53+'12. mell. Isaszegi Humánszol'!C53+'13.  mellékletMűvelődési ház'!C53+'14. melléklet Könyvtár'!C53+'15.melléklet IVÜSZ'!C53</f>
        <v>468062</v>
      </c>
      <c r="D53" s="38">
        <f>'8. melléklet Önkormányzat'!D54+'9.  melléklet Hivatal'!D53+'10. melléklet Isaszegi Héts'!D53+'11.  melléklet Isaszegi Bóbi'!D53+'12. mell. Isaszegi Humánszol'!D53+'13.  mellékletMűvelődési ház'!D53+'14. melléklet Könyvtár'!D53+'15.melléklet IVÜSZ'!D53</f>
        <v>478249</v>
      </c>
      <c r="E53" s="38">
        <f>'8. melléklet Önkormányzat'!E54+'9.  melléklet Hivatal'!E53+'10. melléklet Isaszegi Héts'!E53+'11.  melléklet Isaszegi Bóbi'!E53+'12. mell. Isaszegi Humánszol'!E53+'13.  mellékletMűvelődési ház'!E53+'14. melléklet Könyvtár'!E53+'15.melléklet IVÜSZ'!E53</f>
        <v>38589</v>
      </c>
      <c r="F53" s="17">
        <f t="shared" si="2"/>
        <v>516838</v>
      </c>
      <c r="G53" s="17">
        <f>'8. melléklet Önkormányzat'!G54+'9.  melléklet Hivatal'!G53+'10. melléklet Isaszegi Héts'!G53+'11.  melléklet Isaszegi Bóbi'!G53+'12. mell. Isaszegi Humánszol'!G53+'13.  mellékletMűvelődési ház'!G53+'14. melléklet Könyvtár'!G53+'15.melléklet IVÜSZ'!G53</f>
        <v>207777</v>
      </c>
      <c r="H53" s="437">
        <f t="shared" si="1"/>
        <v>0.40201571865845775</v>
      </c>
      <c r="IO53" s="1"/>
    </row>
    <row r="54" spans="1:249" s="5" customFormat="1" ht="40.5">
      <c r="A54" s="29"/>
      <c r="B54" s="39" t="s">
        <v>63</v>
      </c>
      <c r="C54" s="38">
        <f>'8. melléklet Önkormányzat'!C55+'9.  melléklet Hivatal'!C54+'10. melléklet Isaszegi Héts'!C54+'11.  melléklet Isaszegi Bóbi'!C54+'12. mell. Isaszegi Humánszol'!C54+'13.  mellékletMűvelődési ház'!C54+'14. melléklet Könyvtár'!C54+'15.melléklet IVÜSZ'!C54</f>
        <v>0</v>
      </c>
      <c r="D54" s="38">
        <f>'8. melléklet Önkormányzat'!D55+'9.  melléklet Hivatal'!D54+'10. melléklet Isaszegi Héts'!D54+'11.  melléklet Isaszegi Bóbi'!D54+'12. mell. Isaszegi Humánszol'!D54+'13.  mellékletMűvelődési ház'!D54+'14. melléklet Könyvtár'!D54+'15.melléklet IVÜSZ'!D54</f>
        <v>0</v>
      </c>
      <c r="E54" s="38">
        <f>'8. melléklet Önkormányzat'!E55+'9.  melléklet Hivatal'!E54+'10. melléklet Isaszegi Héts'!E54+'11.  melléklet Isaszegi Bóbi'!E54+'12. mell. Isaszegi Humánszol'!E54+'13.  mellékletMűvelődési ház'!E54+'14. melléklet Könyvtár'!E54+'15.melléklet IVÜSZ'!E54</f>
        <v>0</v>
      </c>
      <c r="F54" s="17">
        <f t="shared" si="2"/>
        <v>0</v>
      </c>
      <c r="G54" s="17">
        <f>'8. melléklet Önkormányzat'!G55+'9.  melléklet Hivatal'!G54+'10. melléklet Isaszegi Héts'!G54+'11.  melléklet Isaszegi Bóbi'!G54+'12. mell. Isaszegi Humánszol'!G54+'13.  mellékletMűvelődési ház'!G54+'14. melléklet Könyvtár'!G54+'15.melléklet IVÜSZ'!G54</f>
        <v>0</v>
      </c>
      <c r="H54" s="437"/>
      <c r="IO54" s="1"/>
    </row>
    <row r="55" spans="1:249" s="5" customFormat="1" ht="20.25">
      <c r="A55" s="29"/>
      <c r="B55" s="39" t="s">
        <v>64</v>
      </c>
      <c r="C55" s="38">
        <f>'8. melléklet Önkormányzat'!C56+'9.  melléklet Hivatal'!C55+'10. melléklet Isaszegi Héts'!C55+'11.  melléklet Isaszegi Bóbi'!C55+'12. mell. Isaszegi Humánszol'!C55+'13.  mellékletMűvelődési ház'!C55+'14. melléklet Könyvtár'!C55+'15.melléklet IVÜSZ'!C55</f>
        <v>0</v>
      </c>
      <c r="D55" s="38">
        <f>'8. melléklet Önkormányzat'!D56+'9.  melléklet Hivatal'!D55+'10. melléklet Isaszegi Héts'!D55+'11.  melléklet Isaszegi Bóbi'!D55+'12. mell. Isaszegi Humánszol'!D55+'13.  mellékletMűvelődési ház'!D55+'14. melléklet Könyvtár'!D55+'15.melléklet IVÜSZ'!D55</f>
        <v>0</v>
      </c>
      <c r="E55" s="38">
        <f>'8. melléklet Önkormányzat'!E56+'9.  melléklet Hivatal'!E55+'10. melléklet Isaszegi Héts'!E55+'11.  melléklet Isaszegi Bóbi'!E55+'12. mell. Isaszegi Humánszol'!E55+'13.  mellékletMűvelődési ház'!E55+'14. melléklet Könyvtár'!E55+'15.melléklet IVÜSZ'!E55</f>
        <v>0</v>
      </c>
      <c r="F55" s="17">
        <f t="shared" si="2"/>
        <v>0</v>
      </c>
      <c r="G55" s="17">
        <f>'8. melléklet Önkormányzat'!G56+'9.  melléklet Hivatal'!G55+'10. melléklet Isaszegi Héts'!G55+'11.  melléklet Isaszegi Bóbi'!G55+'12. mell. Isaszegi Humánszol'!G55+'13.  mellékletMűvelődési ház'!G55+'14. melléklet Könyvtár'!G55+'15.melléklet IVÜSZ'!G55</f>
        <v>0</v>
      </c>
      <c r="H55" s="437"/>
      <c r="IO55" s="1"/>
    </row>
    <row r="56" spans="1:249" s="5" customFormat="1" ht="20.25">
      <c r="A56" s="29"/>
      <c r="B56" s="25" t="s">
        <v>65</v>
      </c>
      <c r="C56" s="38">
        <f>'8. melléklet Önkormányzat'!C57+'9.  melléklet Hivatal'!C56+'15.melléklet IVÜSZ'!C56</f>
        <v>19280</v>
      </c>
      <c r="D56" s="38">
        <f>'8. melléklet Önkormányzat'!D57+'9.  melléklet Hivatal'!D56+'15.melléklet IVÜSZ'!D56</f>
        <v>19280</v>
      </c>
      <c r="E56" s="38">
        <f>'8. melléklet Önkormányzat'!E57+'9.  melléklet Hivatal'!E56+'15.melléklet IVÜSZ'!E56</f>
        <v>0</v>
      </c>
      <c r="F56" s="17">
        <f t="shared" si="2"/>
        <v>19280</v>
      </c>
      <c r="G56" s="17">
        <f>'8. melléklet Önkormányzat'!G57+'9.  melléklet Hivatal'!G56+'10. melléklet Isaszegi Héts'!G56+'11.  melléklet Isaszegi Bóbi'!G56+'12. mell. Isaszegi Humánszol'!G56+'13.  mellékletMűvelődési ház'!G56+'14. melléklet Könyvtár'!G56+'15.melléklet IVÜSZ'!G56</f>
        <v>1728</v>
      </c>
      <c r="H56" s="437">
        <f t="shared" si="1"/>
        <v>0.08962655601659751</v>
      </c>
      <c r="IO56" s="1"/>
    </row>
    <row r="57" spans="1:249" s="5" customFormat="1" ht="20.25">
      <c r="A57" s="29"/>
      <c r="B57" s="25" t="s">
        <v>66</v>
      </c>
      <c r="C57" s="38">
        <f>C58+C60</f>
        <v>68684</v>
      </c>
      <c r="D57" s="38">
        <f>'8. melléklet Önkormányzat'!D58+'9.  melléklet Hivatal'!D57+'15.melléklet IVÜSZ'!D57</f>
        <v>46107</v>
      </c>
      <c r="E57" s="38">
        <f>E58+E60</f>
        <v>17789</v>
      </c>
      <c r="F57" s="17">
        <f t="shared" si="2"/>
        <v>63896</v>
      </c>
      <c r="G57" s="17">
        <f>'8. melléklet Önkormányzat'!G58+'9.  melléklet Hivatal'!G57+'10. melléklet Isaszegi Héts'!G57+'11.  melléklet Isaszegi Bóbi'!G57+'12. mell. Isaszegi Humánszol'!G57+'13.  mellékletMűvelődési ház'!G57+'14. melléklet Könyvtár'!G57+'15.melléklet IVÜSZ'!G57</f>
        <v>29896</v>
      </c>
      <c r="H57" s="437">
        <f t="shared" si="1"/>
        <v>0.4678853136346563</v>
      </c>
      <c r="IO57" s="1"/>
    </row>
    <row r="58" spans="1:249" s="5" customFormat="1" ht="20.25">
      <c r="A58" s="29"/>
      <c r="B58" s="39" t="s">
        <v>67</v>
      </c>
      <c r="C58" s="38">
        <f>'8. melléklet Önkormányzat'!C59</f>
        <v>36046</v>
      </c>
      <c r="D58" s="38">
        <f>'8. melléklet Önkormányzat'!D59+'9.  melléklet Hivatal'!D58+'15.melléklet IVÜSZ'!D58</f>
        <v>1097</v>
      </c>
      <c r="E58" s="38">
        <f>'8. melléklet Önkormányzat'!E59+'9.  melléklet Hivatal'!E58+'15.melléklet IVÜSZ'!E58</f>
        <v>17789</v>
      </c>
      <c r="F58" s="17">
        <f t="shared" si="2"/>
        <v>18886</v>
      </c>
      <c r="G58" s="17">
        <f>'8. melléklet Önkormányzat'!G59+'9.  melléklet Hivatal'!G58+'10. melléklet Isaszegi Héts'!G58+'11.  melléklet Isaszegi Bóbi'!G58+'12. mell. Isaszegi Humánszol'!G58+'13.  mellékletMűvelődési ház'!G58+'14. melléklet Könyvtár'!G58+'15.melléklet IVÜSZ'!G58</f>
        <v>0</v>
      </c>
      <c r="H58" s="437">
        <f t="shared" si="1"/>
        <v>0</v>
      </c>
      <c r="IO58" s="1"/>
    </row>
    <row r="59" spans="1:249" s="5" customFormat="1" ht="20.25">
      <c r="A59" s="29"/>
      <c r="B59" s="39" t="s">
        <v>68</v>
      </c>
      <c r="C59" s="38">
        <f>'8. melléklet Önkormányzat'!C60+'9.  melléklet Hivatal'!C59+'10. melléklet Isaszegi Héts'!C59+'11.  melléklet Isaszegi Bóbi'!C59+'12. mell. Isaszegi Humánszol'!C59+'13.  mellékletMűvelődési ház'!C59+'14. melléklet Könyvtár'!C59+'15.melléklet IVÜSZ'!C59</f>
        <v>0</v>
      </c>
      <c r="D59" s="38">
        <f>'8. melléklet Önkormányzat'!D60+'9.  melléklet Hivatal'!D59+'15.melléklet IVÜSZ'!D59</f>
        <v>0</v>
      </c>
      <c r="E59" s="38">
        <f>'8. melléklet Önkormányzat'!E60+'9.  melléklet Hivatal'!E59+'10. melléklet Isaszegi Héts'!E59+'11.  melléklet Isaszegi Bóbi'!E59+'12. mell. Isaszegi Humánszol'!E59+'13.  mellékletMűvelődési ház'!E59+'14. melléklet Könyvtár'!E59+'15.melléklet IVÜSZ'!E59</f>
        <v>0</v>
      </c>
      <c r="F59" s="17">
        <f t="shared" si="2"/>
        <v>0</v>
      </c>
      <c r="G59" s="17">
        <f>'8. melléklet Önkormányzat'!G60+'9.  melléklet Hivatal'!G59+'10. melléklet Isaszegi Héts'!G59+'11.  melléklet Isaszegi Bóbi'!G59+'12. mell. Isaszegi Humánszol'!G59+'13.  mellékletMűvelődési ház'!G59+'14. melléklet Könyvtár'!G59+'15.melléklet IVÜSZ'!G59</f>
        <v>0</v>
      </c>
      <c r="H59" s="437"/>
      <c r="IO59" s="1"/>
    </row>
    <row r="60" spans="1:249" s="5" customFormat="1" ht="20.25">
      <c r="A60" s="29"/>
      <c r="B60" s="39" t="s">
        <v>69</v>
      </c>
      <c r="C60" s="38">
        <f>'8. melléklet Önkormányzat'!C61+'9.  melléklet Hivatal'!C60+'10. melléklet Isaszegi Héts'!C60+'11.  melléklet Isaszegi Bóbi'!C60+'12. mell. Isaszegi Humánszol'!C60+'13.  mellékletMűvelődési ház'!C60+'14. melléklet Könyvtár'!C60+'15.melléklet IVÜSZ'!C60</f>
        <v>32638</v>
      </c>
      <c r="D60" s="38">
        <f>'8. melléklet Önkormányzat'!D61+'9.  melléklet Hivatal'!D60+'15.melléklet IVÜSZ'!D60</f>
        <v>32693</v>
      </c>
      <c r="E60" s="38">
        <f>'8. melléklet Önkormányzat'!E61+'9.  melléklet Hivatal'!E60+'10. melléklet Isaszegi Héts'!E60+'11.  melléklet Isaszegi Bóbi'!E60+'12. mell. Isaszegi Humánszol'!E60+'13.  mellékletMűvelődési ház'!E60+'14. melléklet Könyvtár'!E60+'15.melléklet IVÜSZ'!E60</f>
        <v>0</v>
      </c>
      <c r="F60" s="17">
        <f t="shared" si="2"/>
        <v>32693</v>
      </c>
      <c r="G60" s="17">
        <f>'8. melléklet Önkormányzat'!G61+'9.  melléklet Hivatal'!G60+'10. melléklet Isaszegi Héts'!G60+'11.  melléklet Isaszegi Bóbi'!G60+'12. mell. Isaszegi Humánszol'!G60+'13.  mellékletMűvelődési ház'!G60+'14. melléklet Könyvtár'!G60+'15.melléklet IVÜSZ'!G60</f>
        <v>12110</v>
      </c>
      <c r="H60" s="437">
        <f t="shared" si="1"/>
        <v>0.3704156853148992</v>
      </c>
      <c r="IO60" s="1"/>
    </row>
    <row r="61" spans="1:249" s="5" customFormat="1" ht="20.25">
      <c r="A61" s="29"/>
      <c r="B61" s="40"/>
      <c r="C61" s="38">
        <f>'8. melléklet Önkormányzat'!C62+'9.  melléklet Hivatal'!C61+'10. melléklet Isaszegi Héts'!C61+'11.  melléklet Isaszegi Bóbi'!C61+'12. mell. Isaszegi Humánszol'!C61+'13.  mellékletMűvelődési ház'!C61+'14. melléklet Könyvtár'!C61+'15.melléklet IVÜSZ'!C61</f>
        <v>0</v>
      </c>
      <c r="D61" s="38">
        <f>'8. melléklet Önkormányzat'!D62+'9.  melléklet Hivatal'!D61+'15.melléklet IVÜSZ'!D61</f>
        <v>0</v>
      </c>
      <c r="E61" s="38">
        <f>'8. melléklet Önkormányzat'!E62+'9.  melléklet Hivatal'!E61+'10. melléklet Isaszegi Héts'!E61+'11.  melléklet Isaszegi Bóbi'!E61+'12. mell. Isaszegi Humánszol'!E61+'13.  mellékletMűvelődési ház'!E61+'14. melléklet Könyvtár'!E61+'15.melléklet IVÜSZ'!E61</f>
        <v>0</v>
      </c>
      <c r="F61" s="17">
        <f t="shared" si="2"/>
        <v>0</v>
      </c>
      <c r="G61" s="17">
        <f>'8. melléklet Önkormányzat'!G62+'9.  melléklet Hivatal'!G61+'10. melléklet Isaszegi Héts'!G61+'11.  melléklet Isaszegi Bóbi'!G61+'12. mell. Isaszegi Humánszol'!G61+'13.  mellékletMűvelődési ház'!G61+'14. melléklet Könyvtár'!G61+'15.melléklet IVÜSZ'!G61</f>
        <v>0</v>
      </c>
      <c r="H61" s="437"/>
      <c r="IO61" s="1"/>
    </row>
    <row r="62" spans="1:249" s="5" customFormat="1" ht="20.25">
      <c r="A62" s="21" t="s">
        <v>15</v>
      </c>
      <c r="B62" s="21" t="s">
        <v>70</v>
      </c>
      <c r="C62" s="41">
        <f>C63+C66+C67+C70</f>
        <v>709664</v>
      </c>
      <c r="D62" s="41">
        <f>D63+D66+D67+D70</f>
        <v>773642</v>
      </c>
      <c r="E62" s="41">
        <f>E63+E66+E67+E70</f>
        <v>147548</v>
      </c>
      <c r="F62" s="41">
        <f>F63+F66+F67+F70</f>
        <v>921190</v>
      </c>
      <c r="G62" s="41">
        <f>G63+G66+G67+G70</f>
        <v>30137</v>
      </c>
      <c r="H62" s="448">
        <f t="shared" si="1"/>
        <v>0.03271529217642397</v>
      </c>
      <c r="IO62" s="1"/>
    </row>
    <row r="63" spans="1:8" s="5" customFormat="1" ht="20.25">
      <c r="A63" s="36"/>
      <c r="B63" s="37" t="s">
        <v>71</v>
      </c>
      <c r="C63" s="38">
        <f>'8. melléklet Önkormányzat'!C64+'9.  melléklet Hivatal'!C63+'10. melléklet Isaszegi Héts'!C63+'11.  melléklet Isaszegi Bóbi'!C63+'12. mell. Isaszegi Humánszol'!C63+'13.  mellékletMűvelődési ház'!C63+'14. melléklet Könyvtár'!C63+'15.melléklet IVÜSZ'!C63</f>
        <v>605464</v>
      </c>
      <c r="D63" s="38">
        <f>'8. melléklet Önkormányzat'!D64+'9.  melléklet Hivatal'!D63+'10. melléklet Isaszegi Héts'!D63+'11.  melléklet Isaszegi Bóbi'!D63+'12. mell. Isaszegi Humánszol'!D63+'13.  mellékletMűvelődési ház'!D63+'14. melléklet Könyvtár'!D63+'15.melléklet IVÜSZ'!D63</f>
        <v>623844</v>
      </c>
      <c r="E63" s="38">
        <f>'8. melléklet Önkormányzat'!E64+'9.  melléklet Hivatal'!E63+'10. melléklet Isaszegi Héts'!E63+'11.  melléklet Isaszegi Bóbi'!E63+'12. mell. Isaszegi Humánszol'!E63+'13.  mellékletMűvelődési ház'!E63+'14. melléklet Könyvtár'!E63+'15.melléklet IVÜSZ'!E63</f>
        <v>-10019</v>
      </c>
      <c r="F63" s="17">
        <f>D63+E63</f>
        <v>613825</v>
      </c>
      <c r="G63" s="9">
        <f>'8. melléklet Önkormányzat'!G64+'9.  melléklet Hivatal'!G63+'10. melléklet Isaszegi Héts'!G63+'11.  melléklet Isaszegi Bóbi'!G63+'12. mell. Isaszegi Humánszol'!G63+'13.  mellékletMűvelődési ház'!G63+'14. melléklet Könyvtár'!G63+'15.melléklet IVÜSZ'!G63</f>
        <v>26120</v>
      </c>
      <c r="H63" s="437">
        <f t="shared" si="1"/>
        <v>0.04255284486620779</v>
      </c>
    </row>
    <row r="64" spans="1:8" s="5" customFormat="1" ht="50.25" customHeight="1">
      <c r="A64" s="36"/>
      <c r="B64" s="39" t="s">
        <v>72</v>
      </c>
      <c r="C64" s="38">
        <f>'8. melléklet Önkormányzat'!C65+'9.  melléklet Hivatal'!C64+'10. melléklet Isaszegi Héts'!C64+'11.  melléklet Isaszegi Bóbi'!C64+'12. mell. Isaszegi Humánszol'!C64+'13.  mellékletMűvelődési ház'!C64+'14. melléklet Könyvtár'!C64+'15.melléklet IVÜSZ'!C64</f>
        <v>0</v>
      </c>
      <c r="D64" s="38">
        <f>'8. melléklet Önkormányzat'!D65+'9.  melléklet Hivatal'!D64+'10. melléklet Isaszegi Héts'!D64+'11.  melléklet Isaszegi Bóbi'!D64+'12. mell. Isaszegi Humánszol'!D64+'13.  mellékletMűvelődési ház'!D64+'14. melléklet Könyvtár'!D64+'15.melléklet IVÜSZ'!D64</f>
        <v>0</v>
      </c>
      <c r="E64" s="38">
        <f>'8. melléklet Önkormányzat'!E65+'9.  melléklet Hivatal'!E64+'10. melléklet Isaszegi Héts'!E64+'11.  melléklet Isaszegi Bóbi'!E64+'12. mell. Isaszegi Humánszol'!E64+'13.  mellékletMűvelődési ház'!E64+'14. melléklet Könyvtár'!E64+'15.melléklet IVÜSZ'!E64</f>
        <v>0</v>
      </c>
      <c r="F64" s="17">
        <f aca="true" t="shared" si="3" ref="F64:F73">D64+E64</f>
        <v>0</v>
      </c>
      <c r="G64" s="9">
        <f>'8. melléklet Önkormányzat'!G65+'9.  melléklet Hivatal'!G64+'10. melléklet Isaszegi Héts'!G64+'11.  melléklet Isaszegi Bóbi'!G64+'12. mell. Isaszegi Humánszol'!G64+'13.  mellékletMűvelődési ház'!G64+'14. melléklet Könyvtár'!G64+'15.melléklet IVÜSZ'!G64</f>
        <v>0</v>
      </c>
      <c r="H64" s="437"/>
    </row>
    <row r="65" spans="1:8" s="5" customFormat="1" ht="59.25" customHeight="1">
      <c r="A65" s="36"/>
      <c r="B65" s="39" t="s">
        <v>73</v>
      </c>
      <c r="C65" s="38">
        <f>'8. melléklet Önkormányzat'!C66+'9.  melléklet Hivatal'!C65+'10. melléklet Isaszegi Héts'!C65+'11.  melléklet Isaszegi Bóbi'!C65+'12. mell. Isaszegi Humánszol'!C65+'13.  mellékletMűvelődési ház'!C65+'14. melléklet Könyvtár'!C65+'15.melléklet IVÜSZ'!C65</f>
        <v>0</v>
      </c>
      <c r="D65" s="38">
        <f>'8. melléklet Önkormányzat'!D66+'9.  melléklet Hivatal'!D65+'10. melléklet Isaszegi Héts'!D65+'11.  melléklet Isaszegi Bóbi'!D65+'12. mell. Isaszegi Humánszol'!D65+'13.  mellékletMűvelődési ház'!D65+'14. melléklet Könyvtár'!D65+'15.melléklet IVÜSZ'!D65</f>
        <v>0</v>
      </c>
      <c r="E65" s="38">
        <f>'8. melléklet Önkormányzat'!E66+'9.  melléklet Hivatal'!E65+'10. melléklet Isaszegi Héts'!E65+'11.  melléklet Isaszegi Bóbi'!E65+'12. mell. Isaszegi Humánszol'!E65+'13.  mellékletMűvelődési ház'!E65+'14. melléklet Könyvtár'!E65+'15.melléklet IVÜSZ'!E65</f>
        <v>0</v>
      </c>
      <c r="F65" s="17">
        <f t="shared" si="3"/>
        <v>0</v>
      </c>
      <c r="G65" s="9">
        <f>'8. melléklet Önkormányzat'!G66+'9.  melléklet Hivatal'!G65+'10. melléklet Isaszegi Héts'!G65+'11.  melléklet Isaszegi Bóbi'!G65+'12. mell. Isaszegi Humánszol'!G65+'13.  mellékletMűvelődési ház'!G65+'14. melléklet Könyvtár'!G65+'15.melléklet IVÜSZ'!G65</f>
        <v>0</v>
      </c>
      <c r="H65" s="437"/>
    </row>
    <row r="66" spans="1:8" ht="20.25">
      <c r="A66" s="29"/>
      <c r="B66" s="25" t="s">
        <v>74</v>
      </c>
      <c r="C66" s="38">
        <f>'8. melléklet Önkormányzat'!C67+'9.  melléklet Hivatal'!C66+'10. melléklet Isaszegi Héts'!C66+'11.  melléklet Isaszegi Bóbi'!C66+'12. mell. Isaszegi Humánszol'!C66+'13.  mellékletMűvelődési ház'!C66+'14. melléklet Könyvtár'!C66+'15.melléklet IVÜSZ'!C66</f>
        <v>49915</v>
      </c>
      <c r="D66" s="38">
        <f>'8. melléklet Önkormányzat'!D67+'9.  melléklet Hivatal'!D66+'10. melléklet Isaszegi Héts'!D66+'11.  melléklet Isaszegi Bóbi'!D66+'12. mell. Isaszegi Humánszol'!D66+'13.  mellékletMűvelődési ház'!D66+'14. melléklet Könyvtár'!D66+'15.melléklet IVÜSZ'!D66</f>
        <v>82106</v>
      </c>
      <c r="E66" s="38">
        <f>'8. melléklet Önkormányzat'!E67+'9.  melléklet Hivatal'!E66+'10. melléklet Isaszegi Héts'!E66+'11.  melléklet Isaszegi Bóbi'!E66+'12. mell. Isaszegi Humánszol'!E66+'13.  mellékletMűvelődési ház'!E66+'14. melléklet Könyvtár'!E66+'15.melléklet IVÜSZ'!E66</f>
        <v>138117</v>
      </c>
      <c r="F66" s="17">
        <f t="shared" si="3"/>
        <v>220223</v>
      </c>
      <c r="G66" s="9">
        <f>'8. melléklet Önkormányzat'!G67+'9.  melléklet Hivatal'!G66+'10. melléklet Isaszegi Héts'!G66+'11.  melléklet Isaszegi Bóbi'!G66+'12. mell. Isaszegi Humánszol'!G66+'13.  mellékletMűvelődési ház'!G66+'14. melléklet Könyvtár'!G66+'15.melléklet IVÜSZ'!G66</f>
        <v>4017</v>
      </c>
      <c r="H66" s="437">
        <f t="shared" si="1"/>
        <v>0.018240601572042884</v>
      </c>
    </row>
    <row r="67" spans="1:8" ht="20.25">
      <c r="A67" s="29"/>
      <c r="B67" s="25" t="s">
        <v>75</v>
      </c>
      <c r="C67" s="38"/>
      <c r="D67" s="38">
        <v>276</v>
      </c>
      <c r="E67" s="38"/>
      <c r="F67" s="17">
        <f t="shared" si="3"/>
        <v>276</v>
      </c>
      <c r="G67" s="9">
        <f>'8. melléklet Önkormányzat'!G68+'9.  melléklet Hivatal'!G67+'10. melléklet Isaszegi Héts'!G67+'11.  melléklet Isaszegi Bóbi'!G67+'12. mell. Isaszegi Humánszol'!G67+'13.  mellékletMűvelődési ház'!G67+'14. melléklet Könyvtár'!G67+'15.melléklet IVÜSZ'!G67</f>
        <v>0</v>
      </c>
      <c r="H67" s="437">
        <f t="shared" si="1"/>
        <v>0</v>
      </c>
    </row>
    <row r="68" spans="1:8" ht="20.25">
      <c r="A68" s="29"/>
      <c r="B68" s="39" t="s">
        <v>76</v>
      </c>
      <c r="C68" s="38">
        <f>'8. melléklet Önkormányzat'!C69+'9.  melléklet Hivatal'!C68+'10. melléklet Isaszegi Héts'!C68+'11.  melléklet Isaszegi Bóbi'!C68+'12. mell. Isaszegi Humánszol'!C68+'13.  mellékletMűvelődési ház'!C68+'14. melléklet Könyvtár'!C68+'15.melléklet IVÜSZ'!C68</f>
        <v>0</v>
      </c>
      <c r="D68" s="38">
        <f>'8. melléklet Önkormányzat'!D69+'9.  melléklet Hivatal'!D68+'10. melléklet Isaszegi Héts'!D68+'11.  melléklet Isaszegi Bóbi'!D68+'12. mell. Isaszegi Humánszol'!D68+'13.  mellékletMűvelődési ház'!D68+'14. melléklet Könyvtár'!D68+'15.melléklet IVÜSZ'!D68</f>
        <v>0</v>
      </c>
      <c r="E68" s="38">
        <f>'8. melléklet Önkormányzat'!E69+'9.  melléklet Hivatal'!E68+'10. melléklet Isaszegi Héts'!E68+'11.  melléklet Isaszegi Bóbi'!E68+'12. mell. Isaszegi Humánszol'!E68+'13.  mellékletMűvelődési ház'!E68+'14. melléklet Könyvtár'!E68+'15.melléklet IVÜSZ'!E68</f>
        <v>0</v>
      </c>
      <c r="F68" s="17">
        <f t="shared" si="3"/>
        <v>0</v>
      </c>
      <c r="G68" s="9">
        <f>'8. melléklet Önkormányzat'!G69+'9.  melléklet Hivatal'!G68+'10. melléklet Isaszegi Héts'!G68+'11.  melléklet Isaszegi Bóbi'!G68+'12. mell. Isaszegi Humánszol'!G68+'13.  mellékletMűvelődési ház'!G68+'14. melléklet Könyvtár'!G68+'15.melléklet IVÜSZ'!G68</f>
        <v>0</v>
      </c>
      <c r="H68" s="437"/>
    </row>
    <row r="69" spans="1:8" ht="20.25">
      <c r="A69" s="29"/>
      <c r="B69" s="39" t="s">
        <v>77</v>
      </c>
      <c r="C69" s="38">
        <f>'8. melléklet Önkormányzat'!C70+'9.  melléklet Hivatal'!C69+'10. melléklet Isaszegi Héts'!C69+'11.  melléklet Isaszegi Bóbi'!C69+'12. mell. Isaszegi Humánszol'!C69+'13.  mellékletMűvelődési ház'!C69+'14. melléklet Könyvtár'!C69+'15.melléklet IVÜSZ'!C69</f>
        <v>0</v>
      </c>
      <c r="D69" s="38">
        <f>'8. melléklet Önkormányzat'!D70+'9.  melléklet Hivatal'!D69+'10. melléklet Isaszegi Héts'!D69+'11.  melléklet Isaszegi Bóbi'!D69+'12. mell. Isaszegi Humánszol'!D69+'13.  mellékletMűvelődési ház'!D69+'14. melléklet Könyvtár'!D69+'15.melléklet IVÜSZ'!D69</f>
        <v>276</v>
      </c>
      <c r="E69" s="38">
        <f>'8. melléklet Önkormányzat'!E70+'9.  melléklet Hivatal'!E69+'10. melléklet Isaszegi Héts'!E69+'11.  melléklet Isaszegi Bóbi'!E69+'12. mell. Isaszegi Humánszol'!E69+'13.  mellékletMűvelődési ház'!E69+'14. melléklet Könyvtár'!E69+'15.melléklet IVÜSZ'!E69</f>
        <v>0</v>
      </c>
      <c r="F69" s="17">
        <f t="shared" si="3"/>
        <v>276</v>
      </c>
      <c r="G69" s="9">
        <f>'8. melléklet Önkormányzat'!G70+'9.  melléklet Hivatal'!G69+'10. melléklet Isaszegi Héts'!G69+'11.  melléklet Isaszegi Bóbi'!G69+'12. mell. Isaszegi Humánszol'!G69+'13.  mellékletMűvelődési ház'!G69+'14. melléklet Könyvtár'!G69+'15.melléklet IVÜSZ'!G69</f>
        <v>0</v>
      </c>
      <c r="H69" s="437">
        <f t="shared" si="1"/>
        <v>0</v>
      </c>
    </row>
    <row r="70" spans="1:8" ht="20.25">
      <c r="A70" s="29"/>
      <c r="B70" s="25" t="s">
        <v>78</v>
      </c>
      <c r="C70" s="38">
        <f>'8. melléklet Önkormányzat'!C71+'9.  melléklet Hivatal'!C70+'10. melléklet Isaszegi Héts'!C70+'11.  melléklet Isaszegi Bóbi'!C70+'12. mell. Isaszegi Humánszol'!C70+'13.  mellékletMűvelődési ház'!C70+'14. melléklet Könyvtár'!C70+'15.melléklet IVÜSZ'!C70</f>
        <v>54285</v>
      </c>
      <c r="D70" s="38">
        <f>'8. melléklet Önkormányzat'!D71+'9.  melléklet Hivatal'!D70+'10. melléklet Isaszegi Héts'!D70+'11.  melléklet Isaszegi Bóbi'!D70+'12. mell. Isaszegi Humánszol'!D70+'13.  mellékletMűvelődési ház'!D70+'14. melléklet Könyvtár'!D70+'15.melléklet IVÜSZ'!D70</f>
        <v>67416</v>
      </c>
      <c r="E70" s="38">
        <f>'8. melléklet Önkormányzat'!E71+'9.  melléklet Hivatal'!E70+'10. melléklet Isaszegi Héts'!E70+'11.  melléklet Isaszegi Bóbi'!E70+'12. mell. Isaszegi Humánszol'!E70+'13.  mellékletMűvelődési ház'!E70+'14. melléklet Könyvtár'!E70+'15.melléklet IVÜSZ'!E70</f>
        <v>19450</v>
      </c>
      <c r="F70" s="17">
        <f t="shared" si="3"/>
        <v>86866</v>
      </c>
      <c r="G70" s="9">
        <f>'8. melléklet Önkormányzat'!G71+'9.  melléklet Hivatal'!G70+'10. melléklet Isaszegi Héts'!G70+'11.  melléklet Isaszegi Bóbi'!G70+'12. mell. Isaszegi Humánszol'!G70+'13.  mellékletMűvelődési ház'!G70+'14. melléklet Könyvtár'!G70+'15.melléklet IVÜSZ'!G70</f>
        <v>0</v>
      </c>
      <c r="H70" s="437">
        <f t="shared" si="1"/>
        <v>0</v>
      </c>
    </row>
    <row r="71" spans="1:8" ht="20.25">
      <c r="A71" s="42"/>
      <c r="B71" s="42"/>
      <c r="C71" s="38">
        <f>'8. melléklet Önkormányzat'!C72+'9.  melléklet Hivatal'!C71+'10. melléklet Isaszegi Héts'!C71+'11.  melléklet Isaszegi Bóbi'!C71+'12. mell. Isaszegi Humánszol'!C71+'13.  mellékletMűvelődési ház'!C71+'14. melléklet Könyvtár'!C71+'15.melléklet IVÜSZ'!C71</f>
        <v>0</v>
      </c>
      <c r="D71" s="38">
        <f>'8. melléklet Önkormányzat'!D72+'9.  melléklet Hivatal'!D71+'10. melléklet Isaszegi Héts'!D71+'11.  melléklet Isaszegi Bóbi'!D71+'12. mell. Isaszegi Humánszol'!D71+'13.  mellékletMűvelődési ház'!D71+'14. melléklet Könyvtár'!D71+'15.melléklet IVÜSZ'!D71</f>
        <v>0</v>
      </c>
      <c r="E71" s="38">
        <f>'8. melléklet Önkormányzat'!E72+'9.  melléklet Hivatal'!E71+'10. melléklet Isaszegi Héts'!E71+'11.  melléklet Isaszegi Bóbi'!E71+'12. mell. Isaszegi Humánszol'!E71+'13.  mellékletMűvelődési ház'!E71+'14. melléklet Könyvtár'!E71+'15.melléklet IVÜSZ'!E71</f>
        <v>0</v>
      </c>
      <c r="F71" s="17">
        <f t="shared" si="3"/>
        <v>0</v>
      </c>
      <c r="G71" s="9">
        <f>'8. melléklet Önkormányzat'!G72+'9.  melléklet Hivatal'!G71+'10. melléklet Isaszegi Héts'!G71+'11.  melléklet Isaszegi Bóbi'!G71+'12. mell. Isaszegi Humánszol'!G71+'13.  mellékletMűvelődési ház'!G71+'14. melléklet Könyvtár'!G71+'15.melléklet IVÜSZ'!G71</f>
        <v>0</v>
      </c>
      <c r="H71" s="437"/>
    </row>
    <row r="72" spans="1:8" ht="20.25">
      <c r="A72" s="27"/>
      <c r="B72" s="43" t="s">
        <v>79</v>
      </c>
      <c r="C72" s="44">
        <f>C50+C62</f>
        <v>1840214</v>
      </c>
      <c r="D72" s="44">
        <f>D50+D62</f>
        <v>1919638</v>
      </c>
      <c r="E72" s="44">
        <f>E50+E62</f>
        <v>206128</v>
      </c>
      <c r="F72" s="44">
        <f>F50+F62</f>
        <v>2125766</v>
      </c>
      <c r="G72" s="44">
        <f>G50+G62</f>
        <v>550176</v>
      </c>
      <c r="H72" s="437">
        <f t="shared" si="1"/>
        <v>0.25881305844575553</v>
      </c>
    </row>
    <row r="73" spans="1:8" ht="20.25">
      <c r="A73" s="27"/>
      <c r="B73" s="43"/>
      <c r="C73" s="38">
        <f>'8. melléklet Önkormányzat'!C74+'9.  melléklet Hivatal'!C73+'10. melléklet Isaszegi Héts'!C73+'11.  melléklet Isaszegi Bóbi'!C73+'12. mell. Isaszegi Humánszol'!C73+'13.  mellékletMűvelődési ház'!C73+'14. melléklet Könyvtár'!C73+'15.melléklet IVÜSZ'!C73</f>
        <v>0</v>
      </c>
      <c r="D73" s="38">
        <f>'8. melléklet Önkormányzat'!D74+'9.  melléklet Hivatal'!D73+'10. melléklet Isaszegi Héts'!D73+'11.  melléklet Isaszegi Bóbi'!D73+'12. mell. Isaszegi Humánszol'!D73+'13.  mellékletMűvelődési ház'!D73+'14. melléklet Könyvtár'!D73+'15.melléklet IVÜSZ'!D73</f>
        <v>0</v>
      </c>
      <c r="E73" s="38">
        <f>'8. melléklet Önkormányzat'!E74+'9.  melléklet Hivatal'!E73+'10. melléklet Isaszegi Héts'!E73+'11.  melléklet Isaszegi Bóbi'!E73+'12. mell. Isaszegi Humánszol'!E73+'13.  mellékletMűvelődési ház'!E73+'14. melléklet Könyvtár'!E73+'15.melléklet IVÜSZ'!E73</f>
        <v>0</v>
      </c>
      <c r="F73" s="17">
        <f t="shared" si="3"/>
        <v>0</v>
      </c>
      <c r="G73" s="9">
        <f>'8. melléklet Önkormányzat'!G74+'9.  melléklet Hivatal'!G73+'10. melléklet Isaszegi Héts'!G73+'11.  melléklet Isaszegi Bóbi'!G73+'12. mell. Isaszegi Humánszol'!G73+'13.  mellékletMűvelődési ház'!G73+'14. melléklet Könyvtár'!G73+'15.melléklet IVÜSZ'!G73</f>
        <v>0</v>
      </c>
      <c r="H73" s="437"/>
    </row>
    <row r="74" spans="1:8" ht="20.25">
      <c r="A74" s="21" t="s">
        <v>21</v>
      </c>
      <c r="B74" s="21" t="s">
        <v>80</v>
      </c>
      <c r="C74" s="41">
        <f>C75+C76</f>
        <v>614692</v>
      </c>
      <c r="D74" s="41">
        <f>D75+D76</f>
        <v>618841</v>
      </c>
      <c r="E74" s="41">
        <f>E75+E76</f>
        <v>-3615</v>
      </c>
      <c r="F74" s="41">
        <f>F75+F76</f>
        <v>615226</v>
      </c>
      <c r="G74" s="14">
        <f>G75+G76</f>
        <v>300073</v>
      </c>
      <c r="H74" s="448">
        <f t="shared" si="1"/>
        <v>0.4877443411039195</v>
      </c>
    </row>
    <row r="75" spans="1:8" ht="20.25">
      <c r="A75" s="36"/>
      <c r="B75" s="37" t="s">
        <v>81</v>
      </c>
      <c r="C75" s="45">
        <f>'8. melléklet Önkormányzat'!C76+'9.  melléklet Hivatal'!C75+'10. melléklet Isaszegi Héts'!C75+'11.  melléklet Isaszegi Bóbi'!C75+'12. mell. Isaszegi Humánszol'!C75+'13.  mellékletMűvelődési ház'!C75+'14. melléklet Könyvtár'!C75+'15.melléklet IVÜSZ'!C75</f>
        <v>24562</v>
      </c>
      <c r="D75" s="45">
        <f>'8. melléklet Önkormányzat'!D76+'9.  melléklet Hivatal'!D75+'10. melléklet Isaszegi Héts'!D75+'11.  melléklet Isaszegi Bóbi'!D75+'12. mell. Isaszegi Humánszol'!D75+'13.  mellékletMűvelődési ház'!D75+'14. melléklet Könyvtár'!D75+'15.melléklet IVÜSZ'!D75</f>
        <v>24562</v>
      </c>
      <c r="E75" s="45">
        <f>'8. melléklet Önkormányzat'!E76+'9.  melléklet Hivatal'!E75+'10. melléklet Isaszegi Héts'!E75+'11.  melléklet Isaszegi Bóbi'!E75+'12. mell. Isaszegi Humánszol'!E75+'13.  mellékletMűvelődési ház'!E75+'14. melléklet Könyvtár'!E75+'15.melléklet IVÜSZ'!E75</f>
        <v>0</v>
      </c>
      <c r="F75" s="17">
        <f>D75+E75</f>
        <v>24562</v>
      </c>
      <c r="G75" s="9">
        <f>'8. melléklet Önkormányzat'!G76+'9.  melléklet Hivatal'!G75+'10. melléklet Isaszegi Héts'!G75+'11.  melléklet Isaszegi Bóbi'!G75+'12. mell. Isaszegi Humánszol'!G75+'13.  mellékletMűvelődési ház'!G75+'14. melléklet Könyvtár'!G75+'15.melléklet IVÜSZ'!G75</f>
        <v>24063</v>
      </c>
      <c r="H75" s="437">
        <f t="shared" si="1"/>
        <v>0.9796840648155688</v>
      </c>
    </row>
    <row r="76" spans="1:8" ht="20.25">
      <c r="A76" s="29"/>
      <c r="B76" s="37" t="s">
        <v>56</v>
      </c>
      <c r="C76" s="45">
        <f>'9.  melléklet Hivatal'!C42+'10. melléklet Isaszegi Héts'!C42+'11.  melléklet Isaszegi Bóbi'!C42+'12. mell. Isaszegi Humánszol'!C42+'13.  mellékletMűvelődési ház'!C42+'14. melléklet Könyvtár'!C42+'15.melléklet IVÜSZ'!C42</f>
        <v>590130</v>
      </c>
      <c r="D76" s="45">
        <f>'9.  melléklet Hivatal'!D42+'10. melléklet Isaszegi Héts'!D42+'11.  melléklet Isaszegi Bóbi'!D42+'12. mell. Isaszegi Humánszol'!D42+'13.  mellékletMűvelődési ház'!D42+'14. melléklet Könyvtár'!D42+'15.melléklet IVÜSZ'!D42</f>
        <v>594279</v>
      </c>
      <c r="E76" s="45">
        <f>'9.  melléklet Hivatal'!E42+'10. melléklet Isaszegi Héts'!E42+'11.  melléklet Isaszegi Bóbi'!E42+'12. mell. Isaszegi Humánszol'!E42+'13.  mellékletMűvelődési ház'!E42+'14. melléklet Könyvtár'!E42+'15.melléklet IVÜSZ'!E42</f>
        <v>-3615</v>
      </c>
      <c r="F76" s="17">
        <f>D76+E76</f>
        <v>590664</v>
      </c>
      <c r="G76" s="17">
        <f>'8. melléklet Önkormányzat'!G77+'9.  melléklet Hivatal'!G76+'10. melléklet Isaszegi Héts'!G76+'11.  melléklet Isaszegi Bóbi'!G76+'12. mell. Isaszegi Humánszol'!G76+'13.  mellékletMűvelődési ház'!G76+'14. melléklet Könyvtár'!G76+'15.melléklet IVÜSZ'!G76</f>
        <v>276010</v>
      </c>
      <c r="H76" s="437">
        <f t="shared" si="1"/>
        <v>0.46728766269825145</v>
      </c>
    </row>
    <row r="77" spans="1:9" ht="20.25">
      <c r="A77" s="46"/>
      <c r="B77" s="47" t="s">
        <v>82</v>
      </c>
      <c r="C77" s="48">
        <f>C50+C62+C74</f>
        <v>2454906</v>
      </c>
      <c r="D77" s="48">
        <f>D50+D62+D74</f>
        <v>2538479</v>
      </c>
      <c r="E77" s="48">
        <f>E50+E62+E74</f>
        <v>202513</v>
      </c>
      <c r="F77" s="18">
        <f>D77+E77</f>
        <v>2740992</v>
      </c>
      <c r="G77" s="445">
        <f>G50+G62+G74</f>
        <v>850249</v>
      </c>
      <c r="H77" s="437">
        <f t="shared" si="1"/>
        <v>0.3101975489165966</v>
      </c>
      <c r="I77" s="1" t="s">
        <v>402</v>
      </c>
    </row>
    <row r="78" spans="1:8" ht="20.25">
      <c r="A78" s="49"/>
      <c r="B78" s="50" t="s">
        <v>83</v>
      </c>
      <c r="C78" s="48">
        <f>C77-C76</f>
        <v>1864776</v>
      </c>
      <c r="D78" s="48">
        <f>D77-D76</f>
        <v>1944200</v>
      </c>
      <c r="E78" s="48">
        <f>E77-E76</f>
        <v>206128</v>
      </c>
      <c r="F78" s="18">
        <f>D78+E78</f>
        <v>2150328</v>
      </c>
      <c r="G78" s="48">
        <f>G77-G76</f>
        <v>574239</v>
      </c>
      <c r="H78" s="437">
        <f t="shared" si="1"/>
        <v>0.26704716675781554</v>
      </c>
    </row>
    <row r="79" spans="1:8" ht="20.25">
      <c r="A79" s="51"/>
      <c r="B79" s="52" t="s">
        <v>84</v>
      </c>
      <c r="C79" s="53">
        <f>'8. melléklet Önkormányzat'!C80+'9.  melléklet Hivatal'!C79+'10. melléklet Isaszegi Héts'!C79+'11.  melléklet Isaszegi Bóbi'!C79+'12. mell. Isaszegi Humánszol'!C79+'13.  mellékletMűvelődési ház'!C79+'14. melléklet Könyvtár'!C79+'15.melléklet IVÜSZ'!C79</f>
        <v>139.75</v>
      </c>
      <c r="D79" s="53">
        <f>'8. melléklet Önkormányzat'!D80+'9.  melléklet Hivatal'!D79+'10. melléklet Isaszegi Héts'!D79+'11.  melléklet Isaszegi Bóbi'!D79+'12. mell. Isaszegi Humánszol'!D79+'13.  mellékletMűvelődési ház'!D79+'14. melléklet Könyvtár'!D79+'15.melléklet IVÜSZ'!D79</f>
        <v>139.75</v>
      </c>
      <c r="E79" s="53">
        <f>'8. melléklet Önkormányzat'!E80+'9.  melléklet Hivatal'!E79+'10. melléklet Isaszegi Héts'!E79+'11.  melléklet Isaszegi Bóbi'!E79+'12. mell. Isaszegi Humánszol'!E79+'13.  mellékletMűvelődési ház'!E79+'14. melléklet Könyvtár'!E79+'15.melléklet IVÜSZ'!E79</f>
        <v>0</v>
      </c>
      <c r="F79" s="53">
        <f>'8. melléklet Önkormányzat'!F80+'9.  melléklet Hivatal'!F79+'10. melléklet Isaszegi Héts'!F79+'11.  melléklet Isaszegi Bóbi'!F79+'12. mell. Isaszegi Humánszol'!F79+'13.  mellékletMűvelődési ház'!F79+'14. melléklet Könyvtár'!F79+'15.melléklet IVÜSZ'!F79</f>
        <v>139.75</v>
      </c>
      <c r="G79" s="9">
        <f>'8. melléklet Önkormányzat'!G80+'9.  melléklet Hivatal'!G79+'10. melléklet Isaszegi Héts'!G79+'11.  melléklet Isaszegi Bóbi'!G79+'12. mell. Isaszegi Humánszol'!G79+'13.  mellékletMűvelődési ház'!G79+'14. melléklet Könyvtár'!G79+'15.melléklet IVÜSZ'!G79</f>
        <v>0</v>
      </c>
      <c r="H79" s="437"/>
    </row>
    <row r="80" spans="1:8" ht="20.25">
      <c r="A80" s="51"/>
      <c r="B80" s="52" t="s">
        <v>85</v>
      </c>
      <c r="C80" s="53">
        <f>'8. melléklet Önkormányzat'!C81+'9.  melléklet Hivatal'!C80+'10. melléklet Isaszegi Héts'!C80+'11.  melléklet Isaszegi Bóbi'!C80+'12. mell. Isaszegi Humánszol'!C80+'13.  mellékletMűvelődési ház'!C80+'14. melléklet Könyvtár'!C80+'15.melléklet IVÜSZ'!C80</f>
        <v>22</v>
      </c>
      <c r="D80" s="53">
        <f>'8. melléklet Önkormányzat'!D81+'9.  melléklet Hivatal'!D80+'10. melléklet Isaszegi Héts'!D80+'11.  melléklet Isaszegi Bóbi'!D80+'12. mell. Isaszegi Humánszol'!D80+'13.  mellékletMűvelődési ház'!D80+'14. melléklet Könyvtár'!D80+'15.melléklet IVÜSZ'!D80</f>
        <v>22</v>
      </c>
      <c r="E80" s="53">
        <f>'8. melléklet Önkormányzat'!E81+'9.  melléklet Hivatal'!E80+'10. melléklet Isaszegi Héts'!E80+'11.  melléklet Isaszegi Bóbi'!E80+'12. mell. Isaszegi Humánszol'!E80+'13.  mellékletMűvelődési ház'!E80+'14. melléklet Könyvtár'!E80+'15.melléklet IVÜSZ'!E80</f>
        <v>0</v>
      </c>
      <c r="F80" s="53">
        <f>'8. melléklet Önkormányzat'!F81+'9.  melléklet Hivatal'!F80+'10. melléklet Isaszegi Héts'!F80+'11.  melléklet Isaszegi Bóbi'!F80+'12. mell. Isaszegi Humánszol'!F80+'13.  mellékletMűvelődési ház'!F80+'14. melléklet Könyvtár'!F80+'15.melléklet IVÜSZ'!F80</f>
        <v>22</v>
      </c>
      <c r="G80" s="9">
        <f>'8. melléklet Önkormányzat'!G81+'9.  melléklet Hivatal'!G80+'10. melléklet Isaszegi Héts'!G80+'11.  melléklet Isaszegi Bóbi'!G80+'12. mell. Isaszegi Humánszol'!G80+'13.  mellékletMűvelődési ház'!G80+'14. melléklet Könyvtár'!G80+'15.melléklet IVÜSZ'!G80</f>
        <v>0</v>
      </c>
      <c r="H80" s="437"/>
    </row>
    <row r="81" spans="3:7" ht="20.25">
      <c r="C81" s="2">
        <f>C44-C78</f>
        <v>0</v>
      </c>
      <c r="D81" s="2">
        <f>D44-D78</f>
        <v>0</v>
      </c>
      <c r="E81" s="2">
        <f>E44-E78</f>
        <v>0</v>
      </c>
      <c r="F81" s="2">
        <f>F44-F78</f>
        <v>0</v>
      </c>
      <c r="G81" s="5"/>
    </row>
    <row r="82" ht="20.25">
      <c r="G82" s="456">
        <f>G44-G78</f>
        <v>701114</v>
      </c>
    </row>
    <row r="84" ht="32.25" customHeight="1"/>
    <row r="85" ht="34.5" customHeight="1"/>
    <row r="87" ht="23.25" customHeight="1"/>
    <row r="88" ht="23.25" customHeight="1"/>
  </sheetData>
  <sheetProtection selectLockedCells="1" selectUnlockedCells="1"/>
  <mergeCells count="4">
    <mergeCell ref="B1:C1"/>
    <mergeCell ref="B2:C2"/>
    <mergeCell ref="C4:H4"/>
    <mergeCell ref="C48:H48"/>
  </mergeCells>
  <printOptions horizontalCentered="1"/>
  <pageMargins left="0.7875" right="0.7875" top="0.7875" bottom="0.8451388888888889" header="0.5118055555555555" footer="0.5118055555555555"/>
  <pageSetup fitToHeight="1" fitToWidth="1" horizontalDpi="300" verticalDpi="300" orientation="portrait" paperSize="9" scale="32" r:id="rId1"/>
  <headerFooter alignWithMargins="0">
    <oddHeader xml:space="preserve">&amp;R 1.  melléklet a 3/2018.(II.21.)  önkormányzati rendelethez </oddHeader>
  </headerFooter>
  <rowBreaks count="1" manualBreakCount="1"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60"/>
  <sheetViews>
    <sheetView zoomScale="65" zoomScaleNormal="65" zoomScaleSheetLayoutView="50" workbookViewId="0" topLeftCell="A34">
      <selection activeCell="G35" sqref="G35"/>
    </sheetView>
  </sheetViews>
  <sheetFormatPr defaultColWidth="9.00390625" defaultRowHeight="12.75"/>
  <cols>
    <col min="1" max="1" width="13.7109375" style="1" customWidth="1"/>
    <col min="2" max="2" width="124.7109375" style="1" customWidth="1"/>
    <col min="3" max="3" width="23.00390625" style="2" customWidth="1"/>
    <col min="4" max="4" width="18.00390625" style="1" customWidth="1"/>
    <col min="5" max="5" width="14.8515625" style="1" customWidth="1"/>
    <col min="6" max="6" width="19.7109375" style="1" bestFit="1" customWidth="1"/>
    <col min="7" max="7" width="20.421875" style="1" bestFit="1" customWidth="1"/>
    <col min="8" max="8" width="18.8515625" style="1" customWidth="1"/>
    <col min="9" max="9" width="9.00390625" style="1" customWidth="1"/>
    <col min="10" max="10" width="12.8515625" style="1" bestFit="1" customWidth="1"/>
    <col min="11" max="16384" width="9.00390625" style="1" customWidth="1"/>
  </cols>
  <sheetData>
    <row r="1" spans="1:6" s="5" customFormat="1" ht="20.25">
      <c r="A1" s="3"/>
      <c r="B1" s="470" t="s">
        <v>0</v>
      </c>
      <c r="C1" s="470"/>
      <c r="D1" s="3"/>
      <c r="E1" s="3"/>
      <c r="F1" s="3"/>
    </row>
    <row r="2" spans="1:6" s="5" customFormat="1" ht="20.25">
      <c r="A2" s="4"/>
      <c r="B2" s="470" t="s">
        <v>1</v>
      </c>
      <c r="C2" s="470"/>
      <c r="D2" s="3"/>
      <c r="E2" s="3"/>
      <c r="F2" s="3"/>
    </row>
    <row r="3" s="5" customFormat="1" ht="20.25">
      <c r="C3" s="6" t="s">
        <v>2</v>
      </c>
    </row>
    <row r="4" spans="1:252" s="5" customFormat="1" ht="39" customHeight="1">
      <c r="A4" s="7" t="s">
        <v>3</v>
      </c>
      <c r="B4" s="7" t="s">
        <v>4</v>
      </c>
      <c r="C4" s="471" t="s">
        <v>362</v>
      </c>
      <c r="D4" s="472"/>
      <c r="E4" s="472"/>
      <c r="F4" s="472"/>
      <c r="G4" s="472"/>
      <c r="H4" s="474"/>
      <c r="IR4" s="1"/>
    </row>
    <row r="5" spans="1:252" s="5" customFormat="1" ht="83.25" customHeight="1">
      <c r="A5" s="9"/>
      <c r="B5" s="10" t="s">
        <v>6</v>
      </c>
      <c r="C5" s="379" t="s">
        <v>361</v>
      </c>
      <c r="D5" s="379" t="s">
        <v>397</v>
      </c>
      <c r="E5" s="379" t="s">
        <v>360</v>
      </c>
      <c r="F5" s="379" t="s">
        <v>363</v>
      </c>
      <c r="G5" s="379" t="s">
        <v>395</v>
      </c>
      <c r="H5" s="379" t="s">
        <v>398</v>
      </c>
      <c r="IR5" s="1"/>
    </row>
    <row r="6" spans="1:252" s="5" customFormat="1" ht="20.25">
      <c r="A6" s="12" t="s">
        <v>7</v>
      </c>
      <c r="B6" s="13" t="s">
        <v>8</v>
      </c>
      <c r="C6" s="14">
        <f>C12+C11+C10+C9+C8+C7</f>
        <v>654552</v>
      </c>
      <c r="D6" s="14">
        <f>D12+D11+D10+D9+D8+D7</f>
        <v>660730</v>
      </c>
      <c r="E6" s="14">
        <f>E12+E11+E10+E9+E8+E7</f>
        <v>2906</v>
      </c>
      <c r="F6" s="14">
        <f>'1.melléklet'!F6</f>
        <v>663636</v>
      </c>
      <c r="G6" s="14">
        <f>'1.melléklet'!G6</f>
        <v>347557</v>
      </c>
      <c r="H6" s="450">
        <f aca="true" t="shared" si="0" ref="H6:H11">G6/F6</f>
        <v>0.5237163143651038</v>
      </c>
      <c r="IR6" s="1"/>
    </row>
    <row r="7" spans="1:252" s="5" customFormat="1" ht="20.25">
      <c r="A7" s="15"/>
      <c r="B7" s="16" t="s">
        <v>9</v>
      </c>
      <c r="C7" s="17">
        <f>'8. melléklet Önkormányzat'!C10</f>
        <v>258888</v>
      </c>
      <c r="D7" s="17">
        <f>'8. melléklet Önkormányzat'!D10</f>
        <v>258888</v>
      </c>
      <c r="E7" s="17">
        <f>'8. melléklet Önkormányzat'!E10</f>
        <v>475</v>
      </c>
      <c r="F7" s="17">
        <f>D7+E7</f>
        <v>259363</v>
      </c>
      <c r="G7" s="17">
        <f>'1.melléklet'!G7</f>
        <v>135097</v>
      </c>
      <c r="H7" s="449">
        <f t="shared" si="0"/>
        <v>0.520880002159136</v>
      </c>
      <c r="IR7" s="1"/>
    </row>
    <row r="8" spans="1:252" s="5" customFormat="1" ht="20.25">
      <c r="A8" s="19"/>
      <c r="B8" s="16" t="s">
        <v>10</v>
      </c>
      <c r="C8" s="17">
        <f>'8. melléklet Önkormányzat'!C11</f>
        <v>189021</v>
      </c>
      <c r="D8" s="17">
        <f>'8. melléklet Önkormányzat'!D11</f>
        <v>189021</v>
      </c>
      <c r="E8" s="17">
        <f>'8. melléklet Önkormányzat'!E11</f>
        <v>0</v>
      </c>
      <c r="F8" s="17">
        <f>D8+E8</f>
        <v>189021</v>
      </c>
      <c r="G8" s="17">
        <f>'1.melléklet'!G8</f>
        <v>97119</v>
      </c>
      <c r="H8" s="449">
        <f t="shared" si="0"/>
        <v>0.5138000539622581</v>
      </c>
      <c r="IR8" s="1"/>
    </row>
    <row r="9" spans="1:252" s="5" customFormat="1" ht="20.25">
      <c r="A9" s="19"/>
      <c r="B9" s="16" t="s">
        <v>11</v>
      </c>
      <c r="C9" s="17">
        <f>'8. melléklet Önkormányzat'!C12</f>
        <v>192784</v>
      </c>
      <c r="D9" s="17">
        <f>'8. melléklet Önkormányzat'!D12</f>
        <v>194536</v>
      </c>
      <c r="E9" s="17">
        <f>'8. melléklet Önkormányzat'!E12</f>
        <v>930</v>
      </c>
      <c r="F9" s="17">
        <f>D9+E9</f>
        <v>195466</v>
      </c>
      <c r="G9" s="17">
        <f>'1.melléklet'!G9</f>
        <v>103067</v>
      </c>
      <c r="H9" s="449">
        <f t="shared" si="0"/>
        <v>0.5272886333173032</v>
      </c>
      <c r="IR9" s="1"/>
    </row>
    <row r="10" spans="1:252" s="5" customFormat="1" ht="20.25">
      <c r="A10" s="19"/>
      <c r="B10" s="16" t="s">
        <v>12</v>
      </c>
      <c r="C10" s="17">
        <f>'8. melléklet Önkormányzat'!C13</f>
        <v>13859</v>
      </c>
      <c r="D10" s="17">
        <f>'8. melléklet Önkormányzat'!D13</f>
        <v>14894</v>
      </c>
      <c r="E10" s="17">
        <f>'8. melléklet Önkormányzat'!E13</f>
        <v>1271</v>
      </c>
      <c r="F10" s="17">
        <f>D10+E10</f>
        <v>16165</v>
      </c>
      <c r="G10" s="17">
        <f>'1.melléklet'!G10</f>
        <v>8652</v>
      </c>
      <c r="H10" s="449">
        <f t="shared" si="0"/>
        <v>0.5352304361274358</v>
      </c>
      <c r="IR10" s="1"/>
    </row>
    <row r="11" spans="1:252" s="5" customFormat="1" ht="20.25">
      <c r="A11" s="19"/>
      <c r="B11" s="16" t="s">
        <v>86</v>
      </c>
      <c r="C11" s="17">
        <f>'8. melléklet Önkormányzat'!C14</f>
        <v>0</v>
      </c>
      <c r="D11" s="17">
        <f>'1.melléklet'!D11</f>
        <v>3391</v>
      </c>
      <c r="E11" s="17">
        <f>'1.melléklet'!E11</f>
        <v>230</v>
      </c>
      <c r="F11" s="17">
        <f>D11+E11</f>
        <v>3621</v>
      </c>
      <c r="G11" s="17">
        <f>'1.melléklet'!G11</f>
        <v>3622</v>
      </c>
      <c r="H11" s="449">
        <f t="shared" si="0"/>
        <v>1.0002761668047502</v>
      </c>
      <c r="IR11" s="1"/>
    </row>
    <row r="12" spans="1:252" s="5" customFormat="1" ht="20.25">
      <c r="A12" s="19"/>
      <c r="B12" s="16" t="s">
        <v>14</v>
      </c>
      <c r="C12" s="17">
        <f>'8. melléklet Önkormányzat'!C15</f>
        <v>0</v>
      </c>
      <c r="D12" s="17"/>
      <c r="E12" s="17">
        <f>'1.melléklet'!E12</f>
        <v>0</v>
      </c>
      <c r="F12" s="17">
        <f>C12+D12+E12</f>
        <v>0</v>
      </c>
      <c r="G12" s="9">
        <f>'1.melléklet'!G12</f>
        <v>0</v>
      </c>
      <c r="H12" s="449"/>
      <c r="IR12" s="1"/>
    </row>
    <row r="13" spans="1:252" s="5" customFormat="1" ht="20.25">
      <c r="A13" s="20" t="s">
        <v>15</v>
      </c>
      <c r="B13" s="13" t="s">
        <v>16</v>
      </c>
      <c r="C13" s="14">
        <f>C17+C15+C16+C14</f>
        <v>61940</v>
      </c>
      <c r="D13" s="14">
        <f>D17+D15+D16+D14</f>
        <v>70240</v>
      </c>
      <c r="E13" s="14">
        <f>E17+E15+E16+E14</f>
        <v>1190</v>
      </c>
      <c r="F13" s="14">
        <f>F17+F15+F16+F14</f>
        <v>71430</v>
      </c>
      <c r="G13" s="14">
        <f>'1.melléklet'!G13</f>
        <v>36925</v>
      </c>
      <c r="H13" s="450">
        <f>G13/F13</f>
        <v>0.5169396612067758</v>
      </c>
      <c r="IR13" s="1"/>
    </row>
    <row r="14" spans="1:252" s="5" customFormat="1" ht="20.25">
      <c r="A14" s="15"/>
      <c r="B14" s="16" t="s">
        <v>17</v>
      </c>
      <c r="C14" s="17">
        <f>'8. melléklet Önkormányzat'!C17</f>
        <v>2160</v>
      </c>
      <c r="D14" s="17">
        <f>'8. melléklet Önkormányzat'!D17</f>
        <v>2160</v>
      </c>
      <c r="E14" s="17">
        <f>'8. melléklet Önkormányzat'!E17</f>
        <v>0</v>
      </c>
      <c r="F14" s="17">
        <f>D14+E14</f>
        <v>2160</v>
      </c>
      <c r="G14" s="9">
        <f>'1.melléklet'!G14</f>
        <v>640</v>
      </c>
      <c r="H14" s="449">
        <f>G14/F14</f>
        <v>0.2962962962962963</v>
      </c>
      <c r="IR14" s="1"/>
    </row>
    <row r="15" spans="1:252" s="5" customFormat="1" ht="20.25">
      <c r="A15" s="19"/>
      <c r="B15" s="16" t="s">
        <v>18</v>
      </c>
      <c r="C15" s="17">
        <f>'8. melléklet Önkormányzat'!C18</f>
        <v>0</v>
      </c>
      <c r="D15" s="17">
        <f>'1.melléklet'!D15</f>
        <v>2300</v>
      </c>
      <c r="E15" s="17">
        <f>'1.melléklet'!E15</f>
        <v>1190</v>
      </c>
      <c r="F15" s="17">
        <f>D15+E15</f>
        <v>3490</v>
      </c>
      <c r="G15" s="9">
        <f>'1.melléklet'!G15</f>
        <v>3543</v>
      </c>
      <c r="H15" s="449">
        <f aca="true" t="shared" si="1" ref="H15:H34">G15/F15</f>
        <v>1.015186246418338</v>
      </c>
      <c r="IR15" s="1"/>
    </row>
    <row r="16" spans="1:252" s="5" customFormat="1" ht="20.25">
      <c r="A16" s="19"/>
      <c r="B16" s="16" t="s">
        <v>19</v>
      </c>
      <c r="C16" s="17">
        <f>'8. melléklet Önkormányzat'!C19</f>
        <v>47682</v>
      </c>
      <c r="D16" s="17">
        <f>'8. melléklet Önkormányzat'!D19</f>
        <v>53682</v>
      </c>
      <c r="E16" s="17">
        <f>'8. melléklet Önkormányzat'!E19</f>
        <v>0</v>
      </c>
      <c r="F16" s="17">
        <f>D16+E16</f>
        <v>53682</v>
      </c>
      <c r="G16" s="9">
        <f>'1.melléklet'!G16</f>
        <v>29375</v>
      </c>
      <c r="H16" s="449">
        <f t="shared" si="1"/>
        <v>0.547203904474498</v>
      </c>
      <c r="IR16" s="1"/>
    </row>
    <row r="17" spans="1:252" s="5" customFormat="1" ht="20.25">
      <c r="A17" s="19"/>
      <c r="B17" s="16" t="s">
        <v>20</v>
      </c>
      <c r="C17" s="17">
        <f>'8. melléklet Önkormányzat'!C20</f>
        <v>12098</v>
      </c>
      <c r="D17" s="17">
        <f>'8. melléklet Önkormányzat'!D20</f>
        <v>12098</v>
      </c>
      <c r="E17" s="17">
        <f>'8. melléklet Önkormányzat'!E20</f>
        <v>0</v>
      </c>
      <c r="F17" s="17">
        <f>D17+E17</f>
        <v>12098</v>
      </c>
      <c r="G17" s="9">
        <f>'1.melléklet'!G17</f>
        <v>3367</v>
      </c>
      <c r="H17" s="449">
        <f t="shared" si="1"/>
        <v>0.2783104645395933</v>
      </c>
      <c r="IR17" s="1"/>
    </row>
    <row r="18" spans="1:252" s="5" customFormat="1" ht="22.5" customHeight="1">
      <c r="A18" s="20" t="s">
        <v>21</v>
      </c>
      <c r="B18" s="21" t="s">
        <v>25</v>
      </c>
      <c r="C18" s="14">
        <f>C19+C20+C21+C22</f>
        <v>197210</v>
      </c>
      <c r="D18" s="14">
        <f>D19+D20+D21+D22</f>
        <v>197210</v>
      </c>
      <c r="E18" s="14">
        <f>E19+E20+E21+E22</f>
        <v>30000</v>
      </c>
      <c r="F18" s="14">
        <f>F19+F20+F21+F22</f>
        <v>227210</v>
      </c>
      <c r="G18" s="14">
        <f>G19+G20+G21+G22</f>
        <v>113217</v>
      </c>
      <c r="H18" s="450">
        <f t="shared" si="1"/>
        <v>0.49829232868271645</v>
      </c>
      <c r="IR18" s="1"/>
    </row>
    <row r="19" spans="1:252" s="5" customFormat="1" ht="68.25" customHeight="1">
      <c r="A19" s="22"/>
      <c r="B19" s="16" t="s">
        <v>26</v>
      </c>
      <c r="C19" s="17">
        <f>'1.melléklet'!C21-57000</f>
        <v>164700</v>
      </c>
      <c r="D19" s="17">
        <v>164700</v>
      </c>
      <c r="E19" s="17">
        <v>30000</v>
      </c>
      <c r="F19" s="17">
        <f>D19+E19</f>
        <v>194700</v>
      </c>
      <c r="G19" s="17">
        <f>'1.melléklet'!G21-30579</f>
        <v>91801</v>
      </c>
      <c r="H19" s="449">
        <f t="shared" si="1"/>
        <v>0.4714997431946584</v>
      </c>
      <c r="IR19" s="1"/>
    </row>
    <row r="20" spans="1:252" s="5" customFormat="1" ht="21" customHeight="1">
      <c r="A20" s="24"/>
      <c r="B20" s="25" t="s">
        <v>27</v>
      </c>
      <c r="C20" s="17">
        <f>'1.melléklet'!C22</f>
        <v>26000</v>
      </c>
      <c r="D20" s="17">
        <f>'1.melléklet'!D22</f>
        <v>26000</v>
      </c>
      <c r="E20" s="17">
        <f>'1.melléklet'!E22</f>
        <v>0</v>
      </c>
      <c r="F20" s="17">
        <f>D20+E20</f>
        <v>26000</v>
      </c>
      <c r="G20" s="17">
        <f>'1.melléklet'!G22</f>
        <v>16982</v>
      </c>
      <c r="H20" s="449">
        <f t="shared" si="1"/>
        <v>0.6531538461538462</v>
      </c>
      <c r="IR20" s="1"/>
    </row>
    <row r="21" spans="1:252" s="5" customFormat="1" ht="24.75" customHeight="1">
      <c r="A21" s="22"/>
      <c r="B21" s="25" t="s">
        <v>28</v>
      </c>
      <c r="C21" s="17">
        <f>'1.melléklet'!C23</f>
        <v>3000</v>
      </c>
      <c r="D21" s="17">
        <f>'1.melléklet'!D23</f>
        <v>3000</v>
      </c>
      <c r="E21" s="17">
        <f>'1.melléklet'!E23</f>
        <v>0</v>
      </c>
      <c r="F21" s="17">
        <f>D21+E21</f>
        <v>3000</v>
      </c>
      <c r="G21" s="17">
        <f>'1.melléklet'!G23</f>
        <v>2595</v>
      </c>
      <c r="H21" s="449">
        <f t="shared" si="1"/>
        <v>0.865</v>
      </c>
      <c r="IR21" s="1"/>
    </row>
    <row r="22" spans="1:252" s="5" customFormat="1" ht="60.75">
      <c r="A22" s="15"/>
      <c r="B22" s="25" t="s">
        <v>29</v>
      </c>
      <c r="C22" s="17">
        <f>'1.melléklet'!C24</f>
        <v>3510</v>
      </c>
      <c r="D22" s="17">
        <f>'1.melléklet'!D24</f>
        <v>3510</v>
      </c>
      <c r="E22" s="17">
        <f>'1.melléklet'!E24</f>
        <v>0</v>
      </c>
      <c r="F22" s="17">
        <f>D22+E22</f>
        <v>3510</v>
      </c>
      <c r="G22" s="17">
        <f>'1.melléklet'!G24</f>
        <v>1839</v>
      </c>
      <c r="H22" s="449">
        <f t="shared" si="1"/>
        <v>0.523931623931624</v>
      </c>
      <c r="IR22" s="1"/>
    </row>
    <row r="23" spans="1:252" s="5" customFormat="1" ht="20.25">
      <c r="A23" s="20" t="s">
        <v>24</v>
      </c>
      <c r="B23" s="26" t="s">
        <v>31</v>
      </c>
      <c r="C23" s="14">
        <f>C24+C25+C26+C27+C28</f>
        <v>150092</v>
      </c>
      <c r="D23" s="14">
        <f>'1.melléklet'!D25</f>
        <v>150092</v>
      </c>
      <c r="E23" s="14">
        <f>'1.melléklet'!E25</f>
        <v>0</v>
      </c>
      <c r="F23" s="14">
        <f>'1.melléklet'!F25</f>
        <v>150092</v>
      </c>
      <c r="G23" s="14">
        <f>G24+G25+G26+G27+G28</f>
        <v>35114</v>
      </c>
      <c r="H23" s="450">
        <f t="shared" si="1"/>
        <v>0.23394984409562136</v>
      </c>
      <c r="IR23" s="1"/>
    </row>
    <row r="24" spans="1:252" s="5" customFormat="1" ht="40.5">
      <c r="A24" s="22"/>
      <c r="B24" s="25" t="s">
        <v>32</v>
      </c>
      <c r="C24" s="17">
        <f>'1.melléklet'!C26</f>
        <v>133724</v>
      </c>
      <c r="D24" s="17">
        <f>'1.melléklet'!D26</f>
        <v>133724</v>
      </c>
      <c r="E24" s="17">
        <f>'1.melléklet'!E26</f>
        <v>0</v>
      </c>
      <c r="F24" s="17">
        <f>D24+E24</f>
        <v>133724</v>
      </c>
      <c r="G24" s="9">
        <f>'1.melléklet'!G26</f>
        <v>35114</v>
      </c>
      <c r="H24" s="449">
        <f t="shared" si="1"/>
        <v>0.2625856241213245</v>
      </c>
      <c r="IR24" s="1"/>
    </row>
    <row r="25" spans="1:252" s="5" customFormat="1" ht="20.25">
      <c r="A25" s="22"/>
      <c r="B25" s="25" t="s">
        <v>33</v>
      </c>
      <c r="C25" s="17">
        <f>'1.melléklet'!C27</f>
        <v>15412</v>
      </c>
      <c r="D25" s="17">
        <f>'1.melléklet'!D27</f>
        <v>15412</v>
      </c>
      <c r="E25" s="17">
        <f>'1.melléklet'!E27</f>
        <v>0</v>
      </c>
      <c r="F25" s="17">
        <f>D25+E25</f>
        <v>15412</v>
      </c>
      <c r="G25" s="9">
        <f>'1.melléklet'!G27</f>
        <v>0</v>
      </c>
      <c r="H25" s="449">
        <f t="shared" si="1"/>
        <v>0</v>
      </c>
      <c r="IR25" s="1"/>
    </row>
    <row r="26" spans="1:252" s="5" customFormat="1" ht="20.25">
      <c r="A26" s="22"/>
      <c r="B26" s="25" t="s">
        <v>34</v>
      </c>
      <c r="C26" s="17">
        <f>'1.melléklet'!C28</f>
        <v>0</v>
      </c>
      <c r="D26" s="17">
        <f>'1.melléklet'!D28</f>
        <v>0</v>
      </c>
      <c r="E26" s="17">
        <f>'1.melléklet'!E28</f>
        <v>0</v>
      </c>
      <c r="F26" s="17">
        <f>D26+E26</f>
        <v>0</v>
      </c>
      <c r="G26" s="9"/>
      <c r="H26" s="449"/>
      <c r="IR26" s="1"/>
    </row>
    <row r="27" spans="1:252" s="5" customFormat="1" ht="20.25">
      <c r="A27" s="22"/>
      <c r="B27" s="25" t="s">
        <v>35</v>
      </c>
      <c r="C27" s="17">
        <f>'1.melléklet'!C29</f>
        <v>700</v>
      </c>
      <c r="D27" s="17">
        <f>'1.melléklet'!D29</f>
        <v>700</v>
      </c>
      <c r="E27" s="17">
        <f>'1.melléklet'!E29</f>
        <v>0</v>
      </c>
      <c r="F27" s="17">
        <f>D27+E27</f>
        <v>700</v>
      </c>
      <c r="G27" s="9">
        <f>'1.melléklet'!G29</f>
        <v>0</v>
      </c>
      <c r="H27" s="449">
        <f t="shared" si="1"/>
        <v>0</v>
      </c>
      <c r="IR27" s="1"/>
    </row>
    <row r="28" spans="1:252" s="5" customFormat="1" ht="20.25">
      <c r="A28" s="22"/>
      <c r="B28" s="25" t="s">
        <v>36</v>
      </c>
      <c r="C28" s="17">
        <f>'1.melléklet'!C30</f>
        <v>256</v>
      </c>
      <c r="D28" s="17">
        <f>'1.melléklet'!D30</f>
        <v>256</v>
      </c>
      <c r="E28" s="17">
        <f>'1.melléklet'!E30</f>
        <v>0</v>
      </c>
      <c r="F28" s="17">
        <f>D28+E28</f>
        <v>256</v>
      </c>
      <c r="G28" s="9">
        <f>'1.melléklet'!G30</f>
        <v>0</v>
      </c>
      <c r="H28" s="449">
        <f t="shared" si="1"/>
        <v>0</v>
      </c>
      <c r="IR28" s="1"/>
    </row>
    <row r="29" spans="1:252" s="5" customFormat="1" ht="20.25">
      <c r="A29" s="28" t="s">
        <v>30</v>
      </c>
      <c r="B29" s="21" t="s">
        <v>41</v>
      </c>
      <c r="C29" s="14">
        <f>'1.melléklet'!C34</f>
        <v>0</v>
      </c>
      <c r="D29" s="14">
        <f>'1.melléklet'!D34</f>
        <v>0</v>
      </c>
      <c r="E29" s="14">
        <f>'1.melléklet'!E34</f>
        <v>50</v>
      </c>
      <c r="F29" s="14">
        <f>'1.melléklet'!F34</f>
        <v>50</v>
      </c>
      <c r="G29" s="14">
        <f>'1.melléklet'!G34</f>
        <v>50</v>
      </c>
      <c r="H29" s="14">
        <f>'1.melléklet'!H34</f>
        <v>0</v>
      </c>
      <c r="IR29" s="1"/>
    </row>
    <row r="30" spans="1:252" s="5" customFormat="1" ht="31.5" customHeight="1">
      <c r="A30" s="30"/>
      <c r="B30" s="21" t="s">
        <v>87</v>
      </c>
      <c r="C30" s="14">
        <f>C6+C13+C18+C23+C29</f>
        <v>1063794</v>
      </c>
      <c r="D30" s="14">
        <f>D6+D13+D18+D23+D29</f>
        <v>1078272</v>
      </c>
      <c r="E30" s="14">
        <f>E6+E13+E18+E23+E29</f>
        <v>34146</v>
      </c>
      <c r="F30" s="14">
        <f>F6+F13+F18+F23+F29</f>
        <v>1112418</v>
      </c>
      <c r="G30" s="14">
        <f>G6+G13+G18+G23+G29</f>
        <v>532863</v>
      </c>
      <c r="H30" s="452">
        <f t="shared" si="1"/>
        <v>0.4790132845746833</v>
      </c>
      <c r="IR30" s="1"/>
    </row>
    <row r="31" spans="1:252" s="5" customFormat="1" ht="20.25">
      <c r="A31" s="28" t="s">
        <v>37</v>
      </c>
      <c r="B31" s="21" t="s">
        <v>88</v>
      </c>
      <c r="C31" s="14">
        <v>23712</v>
      </c>
      <c r="D31" s="14">
        <v>23712</v>
      </c>
      <c r="E31" s="14">
        <v>0</v>
      </c>
      <c r="F31" s="14">
        <f>D31+E31</f>
        <v>23712</v>
      </c>
      <c r="G31" s="451"/>
      <c r="H31" s="452">
        <f t="shared" si="1"/>
        <v>0</v>
      </c>
      <c r="IR31" s="1"/>
    </row>
    <row r="32" spans="1:252" s="5" customFormat="1" ht="20.25">
      <c r="A32" s="28" t="s">
        <v>40</v>
      </c>
      <c r="B32" s="21" t="s">
        <v>51</v>
      </c>
      <c r="C32" s="14">
        <v>66756</v>
      </c>
      <c r="D32" s="14">
        <f>'1.melléklet'!D41</f>
        <v>83212</v>
      </c>
      <c r="E32" s="14">
        <f>'1.melléklet'!E41</f>
        <v>0</v>
      </c>
      <c r="F32" s="14">
        <f>D32+E32</f>
        <v>83212</v>
      </c>
      <c r="G32" s="14">
        <v>83212</v>
      </c>
      <c r="H32" s="452">
        <f t="shared" si="1"/>
        <v>1</v>
      </c>
      <c r="IR32" s="1"/>
    </row>
    <row r="33" spans="1:252" s="5" customFormat="1" ht="20.25">
      <c r="A33" s="30"/>
      <c r="B33" s="21" t="s">
        <v>89</v>
      </c>
      <c r="C33" s="14">
        <f>C31+C32</f>
        <v>90468</v>
      </c>
      <c r="D33" s="14">
        <f>D31+D32</f>
        <v>106924</v>
      </c>
      <c r="E33" s="14">
        <f>E31+E32</f>
        <v>0</v>
      </c>
      <c r="F33" s="14">
        <f>D33+E33</f>
        <v>106924</v>
      </c>
      <c r="G33" s="14">
        <f>G31+G32</f>
        <v>83212</v>
      </c>
      <c r="H33" s="452">
        <f t="shared" si="1"/>
        <v>0.778235008043096</v>
      </c>
      <c r="IR33" s="1"/>
    </row>
    <row r="34" spans="1:252" s="5" customFormat="1" ht="31.5" customHeight="1">
      <c r="A34" s="29"/>
      <c r="B34" s="47" t="s">
        <v>57</v>
      </c>
      <c r="C34" s="18">
        <f>C30+C33</f>
        <v>1154262</v>
      </c>
      <c r="D34" s="18">
        <f>D30+D33</f>
        <v>1185196</v>
      </c>
      <c r="E34" s="18">
        <f>E30+E33</f>
        <v>34146</v>
      </c>
      <c r="F34" s="18">
        <f>D34+E34</f>
        <v>1219342</v>
      </c>
      <c r="G34" s="18">
        <f>G30+G33</f>
        <v>616075</v>
      </c>
      <c r="H34" s="452">
        <f t="shared" si="1"/>
        <v>0.5052520129709303</v>
      </c>
      <c r="J34" s="456">
        <f>G7+G8+G9+G10+G11+G14+G15+G16+G17+G19+G20+G21+G22+G24+G29+G32</f>
        <v>616075</v>
      </c>
      <c r="IR34" s="1"/>
    </row>
    <row r="35" spans="1:252" s="5" customFormat="1" ht="20.25">
      <c r="A35" s="1"/>
      <c r="B35" s="1"/>
      <c r="C35" s="33">
        <f>C34+1_B_MELLÉKLET!C18</f>
        <v>1864776</v>
      </c>
      <c r="D35" s="33">
        <f>D34+1_B_MELLÉKLET!D18</f>
        <v>1944200</v>
      </c>
      <c r="E35" s="33">
        <f>E34+1_B_MELLÉKLET!E18</f>
        <v>206128</v>
      </c>
      <c r="F35" s="33">
        <f>F34+1_B_MELLÉKLET!F18</f>
        <v>2150328</v>
      </c>
      <c r="G35" s="33">
        <f>G34+1_B_MELLÉKLET!G18</f>
        <v>1275353</v>
      </c>
      <c r="IR35" s="1"/>
    </row>
    <row r="36" spans="1:252" s="5" customFormat="1" ht="20.25">
      <c r="A36" s="1"/>
      <c r="B36" s="1"/>
      <c r="C36" s="33"/>
      <c r="D36" s="33"/>
      <c r="E36" s="33"/>
      <c r="F36" s="33"/>
      <c r="IR36" s="1"/>
    </row>
    <row r="37" spans="2:4" s="5" customFormat="1" ht="20.25">
      <c r="B37" s="1"/>
      <c r="C37" s="33"/>
      <c r="D37" s="35"/>
    </row>
    <row r="38" spans="1:252" s="5" customFormat="1" ht="39" customHeight="1">
      <c r="A38" s="7" t="s">
        <v>3</v>
      </c>
      <c r="B38" s="7" t="s">
        <v>4</v>
      </c>
      <c r="C38" s="471" t="s">
        <v>362</v>
      </c>
      <c r="D38" s="472"/>
      <c r="E38" s="472"/>
      <c r="F38" s="472"/>
      <c r="G38" s="472"/>
      <c r="H38" s="474"/>
      <c r="IR38" s="1"/>
    </row>
    <row r="39" spans="1:252" s="5" customFormat="1" ht="60.75">
      <c r="A39" s="7"/>
      <c r="B39" s="10" t="s">
        <v>58</v>
      </c>
      <c r="C39" s="379" t="s">
        <v>361</v>
      </c>
      <c r="D39" s="379" t="s">
        <v>397</v>
      </c>
      <c r="E39" s="379" t="s">
        <v>360</v>
      </c>
      <c r="F39" s="379" t="s">
        <v>363</v>
      </c>
      <c r="G39" s="379" t="s">
        <v>395</v>
      </c>
      <c r="H39" s="379" t="s">
        <v>398</v>
      </c>
      <c r="IR39" s="1"/>
    </row>
    <row r="40" spans="1:252" s="5" customFormat="1" ht="25.5" customHeight="1">
      <c r="A40" s="21" t="s">
        <v>7</v>
      </c>
      <c r="B40" s="21" t="s">
        <v>59</v>
      </c>
      <c r="C40" s="14">
        <f>C41+C42+C43+C46+C47</f>
        <v>1130550</v>
      </c>
      <c r="D40" s="14">
        <f>D41+D42+D43+D46+D47</f>
        <v>1145996</v>
      </c>
      <c r="E40" s="14">
        <f>E41+E42+E43+E46+E47</f>
        <v>58580</v>
      </c>
      <c r="F40" s="14">
        <f>F41+F42+F43+F46+F47</f>
        <v>1204576</v>
      </c>
      <c r="G40" s="14">
        <f>G41+G42+G43+G46+G47</f>
        <v>520039</v>
      </c>
      <c r="H40" s="453">
        <f>G40/F40</f>
        <v>0.43171954281008423</v>
      </c>
      <c r="IR40" s="1"/>
    </row>
    <row r="41" spans="1:252" s="5" customFormat="1" ht="25.5" customHeight="1">
      <c r="A41" s="36"/>
      <c r="B41" s="37" t="s">
        <v>60</v>
      </c>
      <c r="C41" s="45">
        <f>'1.melléklet'!C51</f>
        <v>474319</v>
      </c>
      <c r="D41" s="45">
        <f>'1.melléklet'!D51</f>
        <v>497597</v>
      </c>
      <c r="E41" s="45">
        <f>'1.melléklet'!E51</f>
        <v>1842</v>
      </c>
      <c r="F41" s="45">
        <f>D41+E41</f>
        <v>499439</v>
      </c>
      <c r="G41" s="45">
        <f>'1.melléklet'!G51</f>
        <v>227191</v>
      </c>
      <c r="H41" s="449">
        <f>G41/F41</f>
        <v>0.45489238926075054</v>
      </c>
      <c r="IR41" s="1"/>
    </row>
    <row r="42" spans="1:252" s="5" customFormat="1" ht="20.25">
      <c r="A42" s="29"/>
      <c r="B42" s="25" t="s">
        <v>61</v>
      </c>
      <c r="C42" s="45">
        <f>'1.melléklet'!C52</f>
        <v>100205</v>
      </c>
      <c r="D42" s="45">
        <f>'1.melléklet'!D52</f>
        <v>104763</v>
      </c>
      <c r="E42" s="45">
        <f>'1.melléklet'!E52</f>
        <v>360</v>
      </c>
      <c r="F42" s="45">
        <f aca="true" t="shared" si="2" ref="F42:F51">D42+E42</f>
        <v>105123</v>
      </c>
      <c r="G42" s="45">
        <f>'1.melléklet'!G52</f>
        <v>53447</v>
      </c>
      <c r="H42" s="449">
        <f aca="true" t="shared" si="3" ref="H42:H50">G42/F42</f>
        <v>0.5084234658447723</v>
      </c>
      <c r="IR42" s="1"/>
    </row>
    <row r="43" spans="1:252" s="5" customFormat="1" ht="20.25">
      <c r="A43" s="29"/>
      <c r="B43" s="25" t="s">
        <v>62</v>
      </c>
      <c r="C43" s="45">
        <f>'1.melléklet'!C53</f>
        <v>468062</v>
      </c>
      <c r="D43" s="45">
        <f>'1.melléklet'!D53</f>
        <v>478249</v>
      </c>
      <c r="E43" s="45">
        <f>'1.melléklet'!E53</f>
        <v>38589</v>
      </c>
      <c r="F43" s="45">
        <f t="shared" si="2"/>
        <v>516838</v>
      </c>
      <c r="G43" s="45">
        <f>'1.melléklet'!G53</f>
        <v>207777</v>
      </c>
      <c r="H43" s="449">
        <f t="shared" si="3"/>
        <v>0.40201571865845775</v>
      </c>
      <c r="IR43" s="1"/>
    </row>
    <row r="44" spans="1:252" s="5" customFormat="1" ht="43.5" customHeight="1">
      <c r="A44" s="29"/>
      <c r="B44" s="39" t="s">
        <v>63</v>
      </c>
      <c r="C44" s="45">
        <f>'1.melléklet'!C54</f>
        <v>0</v>
      </c>
      <c r="D44" s="45">
        <f>'1.melléklet'!D54</f>
        <v>0</v>
      </c>
      <c r="E44" s="45">
        <f>'1.melléklet'!E54</f>
        <v>0</v>
      </c>
      <c r="F44" s="45">
        <f t="shared" si="2"/>
        <v>0</v>
      </c>
      <c r="G44" s="45">
        <f>'1.melléklet'!G54</f>
        <v>0</v>
      </c>
      <c r="H44" s="449"/>
      <c r="IR44" s="1"/>
    </row>
    <row r="45" spans="1:252" s="5" customFormat="1" ht="20.25">
      <c r="A45" s="29"/>
      <c r="B45" s="39" t="s">
        <v>64</v>
      </c>
      <c r="C45" s="45">
        <f>'1.melléklet'!C55</f>
        <v>0</v>
      </c>
      <c r="D45" s="45">
        <f>'1.melléklet'!D55</f>
        <v>0</v>
      </c>
      <c r="E45" s="45">
        <f>'1.melléklet'!E55</f>
        <v>0</v>
      </c>
      <c r="F45" s="45">
        <f t="shared" si="2"/>
        <v>0</v>
      </c>
      <c r="G45" s="45">
        <f>'1.melléklet'!G55</f>
        <v>0</v>
      </c>
      <c r="H45" s="449"/>
      <c r="IR45" s="1"/>
    </row>
    <row r="46" spans="1:252" s="5" customFormat="1" ht="20.25">
      <c r="A46" s="29"/>
      <c r="B46" s="25" t="s">
        <v>65</v>
      </c>
      <c r="C46" s="45">
        <f>'1.melléklet'!C56</f>
        <v>19280</v>
      </c>
      <c r="D46" s="45">
        <f>'1.melléklet'!D56</f>
        <v>19280</v>
      </c>
      <c r="E46" s="45">
        <f>'1.melléklet'!E56</f>
        <v>0</v>
      </c>
      <c r="F46" s="45">
        <f t="shared" si="2"/>
        <v>19280</v>
      </c>
      <c r="G46" s="45">
        <f>'1.melléklet'!G56</f>
        <v>1728</v>
      </c>
      <c r="H46" s="449">
        <f t="shared" si="3"/>
        <v>0.08962655601659751</v>
      </c>
      <c r="IR46" s="1"/>
    </row>
    <row r="47" spans="1:252" s="5" customFormat="1" ht="20.25">
      <c r="A47" s="29"/>
      <c r="B47" s="25" t="s">
        <v>66</v>
      </c>
      <c r="C47" s="45">
        <f>C48+C50</f>
        <v>68684</v>
      </c>
      <c r="D47" s="45">
        <f>'1.melléklet'!D57</f>
        <v>46107</v>
      </c>
      <c r="E47" s="45">
        <f>E48+E50</f>
        <v>17789</v>
      </c>
      <c r="F47" s="45">
        <f t="shared" si="2"/>
        <v>63896</v>
      </c>
      <c r="G47" s="45">
        <f>'1.melléklet'!G57</f>
        <v>29896</v>
      </c>
      <c r="H47" s="449">
        <f t="shared" si="3"/>
        <v>0.4678853136346563</v>
      </c>
      <c r="IR47" s="1"/>
    </row>
    <row r="48" spans="1:252" s="5" customFormat="1" ht="20.25">
      <c r="A48" s="29"/>
      <c r="B48" s="39" t="s">
        <v>67</v>
      </c>
      <c r="C48" s="45">
        <f>'1.melléklet'!C58</f>
        <v>36046</v>
      </c>
      <c r="D48" s="45">
        <f>'1.melléklet'!D58</f>
        <v>1097</v>
      </c>
      <c r="E48" s="45">
        <f>'1.melléklet'!E58</f>
        <v>17789</v>
      </c>
      <c r="F48" s="45">
        <f t="shared" si="2"/>
        <v>18886</v>
      </c>
      <c r="G48" s="45">
        <f>'1.melléklet'!G58</f>
        <v>0</v>
      </c>
      <c r="H48" s="449">
        <f t="shared" si="3"/>
        <v>0</v>
      </c>
      <c r="IR48" s="1"/>
    </row>
    <row r="49" spans="1:252" s="5" customFormat="1" ht="20.25">
      <c r="A49" s="29"/>
      <c r="B49" s="39" t="s">
        <v>68</v>
      </c>
      <c r="C49" s="45">
        <f>'1.melléklet'!C59</f>
        <v>0</v>
      </c>
      <c r="D49" s="45">
        <f>'1.melléklet'!D59</f>
        <v>0</v>
      </c>
      <c r="E49" s="45">
        <f>'1.melléklet'!E59</f>
        <v>0</v>
      </c>
      <c r="F49" s="45">
        <f t="shared" si="2"/>
        <v>0</v>
      </c>
      <c r="G49" s="45">
        <f>'1.melléklet'!G59</f>
        <v>0</v>
      </c>
      <c r="H49" s="449"/>
      <c r="IR49" s="1"/>
    </row>
    <row r="50" spans="1:252" s="5" customFormat="1" ht="20.25">
      <c r="A50" s="29"/>
      <c r="B50" s="39" t="s">
        <v>69</v>
      </c>
      <c r="C50" s="45">
        <f>'1.melléklet'!C60</f>
        <v>32638</v>
      </c>
      <c r="D50" s="45">
        <f>'1.melléklet'!D60</f>
        <v>32693</v>
      </c>
      <c r="E50" s="45">
        <f>'1.melléklet'!E60</f>
        <v>0</v>
      </c>
      <c r="F50" s="45">
        <f t="shared" si="2"/>
        <v>32693</v>
      </c>
      <c r="G50" s="45">
        <f>'1.melléklet'!G60</f>
        <v>12110</v>
      </c>
      <c r="H50" s="449">
        <f t="shared" si="3"/>
        <v>0.3704156853148992</v>
      </c>
      <c r="IR50" s="1"/>
    </row>
    <row r="51" spans="1:252" s="5" customFormat="1" ht="20.25">
      <c r="A51" s="29"/>
      <c r="B51" s="40"/>
      <c r="C51" s="45">
        <f>'9.  melléklet Hivatal'!C61+'10. melléklet Isaszegi Héts'!C61+'11.  melléklet Isaszegi Bóbi'!C61+'12. mell. Isaszegi Humánszol'!C61+'13.  mellékletMűvelődési ház'!C61+'14. melléklet Könyvtár'!C61+'15.melléklet IVÜSZ'!C61+'16. melléklet'!C67</f>
        <v>0</v>
      </c>
      <c r="D51" s="45">
        <f>'9.  melléklet Hivatal'!D61+'10. melléklet Isaszegi Héts'!D61+'11.  melléklet Isaszegi Bóbi'!D61+'12. mell. Isaszegi Humánszol'!D61+'13.  mellékletMűvelődési ház'!D61+'14. melléklet Könyvtár'!D61+'15.melléklet IVÜSZ'!D61+'16. melléklet'!D67</f>
        <v>0</v>
      </c>
      <c r="E51" s="45">
        <f>'9.  melléklet Hivatal'!E61+'10. melléklet Isaszegi Héts'!E61+'11.  melléklet Isaszegi Bóbi'!E61+'12. mell. Isaszegi Humánszol'!E61+'13.  mellékletMűvelődési ház'!E61+'14. melléklet Könyvtár'!E61+'15.melléklet IVÜSZ'!E61+'16. melléklet'!E67</f>
        <v>0</v>
      </c>
      <c r="F51" s="45">
        <f t="shared" si="2"/>
        <v>0</v>
      </c>
      <c r="G51" s="45">
        <f>'1.melléklet'!G61</f>
        <v>0</v>
      </c>
      <c r="H51" s="449"/>
      <c r="IR51" s="1"/>
    </row>
    <row r="52" spans="1:8" ht="20.25">
      <c r="A52" s="21" t="s">
        <v>15</v>
      </c>
      <c r="B52" s="21" t="s">
        <v>80</v>
      </c>
      <c r="C52" s="41">
        <f>SUM(C53:C54)</f>
        <v>23712</v>
      </c>
      <c r="D52" s="41">
        <f>SUM(D53:D54)</f>
        <v>23712</v>
      </c>
      <c r="E52" s="41">
        <f>SUM(E53:E54)</f>
        <v>0</v>
      </c>
      <c r="F52" s="41">
        <f>SUM(F53:F54)</f>
        <v>23712</v>
      </c>
      <c r="G52" s="41">
        <f>SUM(G53:G54)</f>
        <v>23712</v>
      </c>
      <c r="H52" s="455">
        <f>G52/F52</f>
        <v>1</v>
      </c>
    </row>
    <row r="53" spans="1:8" ht="20.25">
      <c r="A53" s="36"/>
      <c r="B53" s="37" t="s">
        <v>88</v>
      </c>
      <c r="C53" s="45">
        <v>23712</v>
      </c>
      <c r="D53" s="45">
        <v>23712</v>
      </c>
      <c r="E53" s="45"/>
      <c r="F53" s="45">
        <f>D53+E53</f>
        <v>23712</v>
      </c>
      <c r="G53" s="45">
        <v>23712</v>
      </c>
      <c r="H53" s="449">
        <f>G53/F53</f>
        <v>1</v>
      </c>
    </row>
    <row r="54" spans="1:8" ht="20.25">
      <c r="A54" s="29"/>
      <c r="B54" s="37"/>
      <c r="C54" s="45"/>
      <c r="D54" s="45"/>
      <c r="E54" s="45"/>
      <c r="F54" s="45"/>
      <c r="G54" s="9"/>
      <c r="H54" s="34"/>
    </row>
    <row r="55" spans="1:8" ht="20.25">
      <c r="A55" s="46"/>
      <c r="B55" s="47" t="s">
        <v>90</v>
      </c>
      <c r="C55" s="48">
        <f>C40+C52</f>
        <v>1154262</v>
      </c>
      <c r="D55" s="48">
        <f>D40+D52</f>
        <v>1169708</v>
      </c>
      <c r="E55" s="48">
        <f>E40+E52</f>
        <v>58580</v>
      </c>
      <c r="F55" s="48">
        <f>F40+F52</f>
        <v>1228288</v>
      </c>
      <c r="G55" s="48">
        <f>G40+G52</f>
        <v>543751</v>
      </c>
      <c r="H55" s="454">
        <f>G55/F55</f>
        <v>0.4426901508441017</v>
      </c>
    </row>
    <row r="56" spans="1:8" ht="20.25">
      <c r="A56" s="49"/>
      <c r="B56" s="49"/>
      <c r="C56" s="45">
        <f>'9.  melléklet Hivatal'!C78+'10. melléklet Isaszegi Héts'!C78+'11.  melléklet Isaszegi Bóbi'!C78+'12. mell. Isaszegi Humánszol'!C78+'13.  mellékletMűvelődési ház'!C78+'14. melléklet Könyvtár'!C78+'15.melléklet IVÜSZ'!C78+'16. melléklet'!C84</f>
        <v>0</v>
      </c>
      <c r="D56" s="34"/>
      <c r="E56" s="34"/>
      <c r="F56" s="34"/>
      <c r="G56" s="9"/>
      <c r="H56" s="34"/>
    </row>
    <row r="57" spans="1:8" ht="20.25">
      <c r="A57" s="51"/>
      <c r="B57" s="52" t="s">
        <v>84</v>
      </c>
      <c r="C57" s="45"/>
      <c r="D57" s="34"/>
      <c r="E57" s="34"/>
      <c r="F57" s="34"/>
      <c r="G57" s="9"/>
      <c r="H57" s="34"/>
    </row>
    <row r="58" spans="1:8" ht="20.25">
      <c r="A58" s="51"/>
      <c r="B58" s="52" t="s">
        <v>85</v>
      </c>
      <c r="C58" s="45"/>
      <c r="D58" s="34"/>
      <c r="E58" s="34"/>
      <c r="F58" s="34"/>
      <c r="G58" s="9"/>
      <c r="H58" s="34"/>
    </row>
    <row r="59" spans="2:7" ht="20.25">
      <c r="B59" s="1" t="s">
        <v>91</v>
      </c>
      <c r="C59" s="1">
        <f>C34-C55</f>
        <v>0</v>
      </c>
      <c r="D59" s="1">
        <f>D34-D55</f>
        <v>15488</v>
      </c>
      <c r="E59" s="1">
        <f>E34-E55</f>
        <v>-24434</v>
      </c>
      <c r="F59" s="1">
        <f>F34-F55</f>
        <v>-8946</v>
      </c>
      <c r="G59" s="1">
        <f>G34-G55</f>
        <v>72324</v>
      </c>
    </row>
    <row r="60" spans="3:7" ht="20.25">
      <c r="C60" s="2">
        <f>C55+1_B_MELLÉKLET!C37</f>
        <v>1864776</v>
      </c>
      <c r="G60" s="5"/>
    </row>
    <row r="61" ht="30.75" customHeight="1"/>
  </sheetData>
  <sheetProtection selectLockedCells="1" selectUnlockedCells="1"/>
  <mergeCells count="4">
    <mergeCell ref="B1:C1"/>
    <mergeCell ref="B2:C2"/>
    <mergeCell ref="C38:H38"/>
    <mergeCell ref="C4:H4"/>
  </mergeCell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 scale="40" r:id="rId1"/>
  <headerFooter alignWithMargins="0">
    <oddHeader>&amp;R 1/A. melléklet a 3 /2018.(II.21.)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41"/>
  <sheetViews>
    <sheetView zoomScale="65" zoomScaleNormal="65" zoomScaleSheetLayoutView="50" workbookViewId="0" topLeftCell="A16">
      <selection activeCell="F17" sqref="F17"/>
    </sheetView>
  </sheetViews>
  <sheetFormatPr defaultColWidth="9.00390625" defaultRowHeight="12.75"/>
  <cols>
    <col min="1" max="1" width="13.7109375" style="54" customWidth="1"/>
    <col min="2" max="2" width="124.7109375" style="54" customWidth="1"/>
    <col min="3" max="3" width="23.00390625" style="55" customWidth="1"/>
    <col min="4" max="5" width="13.57421875" style="54" customWidth="1"/>
    <col min="6" max="6" width="17.57421875" style="54" bestFit="1" customWidth="1"/>
    <col min="7" max="7" width="15.7109375" style="54" bestFit="1" customWidth="1"/>
    <col min="8" max="8" width="18.421875" style="54" customWidth="1"/>
    <col min="9" max="9" width="11.421875" style="54" bestFit="1" customWidth="1"/>
    <col min="10" max="16384" width="9.00390625" style="54" customWidth="1"/>
  </cols>
  <sheetData>
    <row r="1" spans="1:6" s="58" customFormat="1" ht="18">
      <c r="A1" s="56"/>
      <c r="B1" s="475" t="s">
        <v>0</v>
      </c>
      <c r="C1" s="475"/>
      <c r="D1" s="56"/>
      <c r="E1" s="56"/>
      <c r="F1" s="56"/>
    </row>
    <row r="2" spans="1:6" s="58" customFormat="1" ht="18">
      <c r="A2" s="57"/>
      <c r="B2" s="475" t="s">
        <v>1</v>
      </c>
      <c r="C2" s="475"/>
      <c r="D2" s="56"/>
      <c r="E2" s="56"/>
      <c r="F2" s="56"/>
    </row>
    <row r="3" s="58" customFormat="1" ht="18">
      <c r="C3" s="59" t="s">
        <v>2</v>
      </c>
    </row>
    <row r="4" spans="1:252" s="58" customFormat="1" ht="39" customHeight="1">
      <c r="A4" s="60" t="s">
        <v>3</v>
      </c>
      <c r="B4" s="60" t="s">
        <v>4</v>
      </c>
      <c r="C4" s="471" t="s">
        <v>362</v>
      </c>
      <c r="D4" s="472"/>
      <c r="E4" s="472"/>
      <c r="F4" s="472"/>
      <c r="G4" s="472"/>
      <c r="H4" s="474"/>
      <c r="IR4" s="54"/>
    </row>
    <row r="5" spans="1:252" s="58" customFormat="1" ht="66" customHeight="1">
      <c r="A5" s="61"/>
      <c r="B5" s="62" t="s">
        <v>6</v>
      </c>
      <c r="C5" s="379" t="s">
        <v>361</v>
      </c>
      <c r="D5" s="379" t="s">
        <v>397</v>
      </c>
      <c r="E5" s="379" t="s">
        <v>360</v>
      </c>
      <c r="F5" s="379" t="s">
        <v>363</v>
      </c>
      <c r="G5" s="379" t="s">
        <v>395</v>
      </c>
      <c r="H5" s="379" t="s">
        <v>398</v>
      </c>
      <c r="IR5" s="54"/>
    </row>
    <row r="6" spans="1:252" s="58" customFormat="1" ht="20.25">
      <c r="A6" s="63" t="s">
        <v>7</v>
      </c>
      <c r="B6" s="21" t="s">
        <v>25</v>
      </c>
      <c r="C6" s="14">
        <f>SUM(C7)</f>
        <v>57000</v>
      </c>
      <c r="D6" s="14">
        <f>SUM(D7)</f>
        <v>57000</v>
      </c>
      <c r="E6" s="14">
        <f>SUM(E7)</f>
        <v>0</v>
      </c>
      <c r="F6" s="14">
        <f>D6+E6</f>
        <v>57000</v>
      </c>
      <c r="G6" s="14">
        <f>SUM(G7)</f>
        <v>30579</v>
      </c>
      <c r="H6" s="452">
        <f>G6/F6</f>
        <v>0.5364736842105263</v>
      </c>
      <c r="IR6" s="54"/>
    </row>
    <row r="7" spans="1:252" s="58" customFormat="1" ht="20.25">
      <c r="A7" s="64"/>
      <c r="B7" s="25" t="s">
        <v>92</v>
      </c>
      <c r="C7" s="17">
        <v>57000</v>
      </c>
      <c r="D7" s="18">
        <v>57000</v>
      </c>
      <c r="E7" s="17"/>
      <c r="F7" s="18">
        <f>D7+E7</f>
        <v>57000</v>
      </c>
      <c r="G7" s="18">
        <v>30579</v>
      </c>
      <c r="H7" s="449">
        <f aca="true" t="shared" si="0" ref="H7:H18">G7/F7</f>
        <v>0.5364736842105263</v>
      </c>
      <c r="IR7" s="54"/>
    </row>
    <row r="8" spans="1:252" s="58" customFormat="1" ht="20.25">
      <c r="A8" s="63" t="s">
        <v>15</v>
      </c>
      <c r="B8" s="21" t="s">
        <v>38</v>
      </c>
      <c r="C8" s="14">
        <f>'1.melléklet'!C31</f>
        <v>0</v>
      </c>
      <c r="D8" s="14">
        <f>'1.melléklet'!D31</f>
        <v>0</v>
      </c>
      <c r="E8" s="14">
        <f>'1.melléklet'!E31</f>
        <v>24434</v>
      </c>
      <c r="F8" s="14">
        <f>C8+D8+E8</f>
        <v>24434</v>
      </c>
      <c r="G8" s="14">
        <f>'1.melléklet'!G31</f>
        <v>820</v>
      </c>
      <c r="H8" s="452"/>
      <c r="IR8" s="54"/>
    </row>
    <row r="9" spans="1:252" s="58" customFormat="1" ht="20.25">
      <c r="A9" s="65"/>
      <c r="B9" s="23" t="s">
        <v>403</v>
      </c>
      <c r="C9" s="17">
        <f>'1.melléklet'!C32</f>
        <v>0</v>
      </c>
      <c r="D9" s="17">
        <f>'1.melléklet'!D32</f>
        <v>0</v>
      </c>
      <c r="E9" s="17">
        <f>'1.melléklet'!E32</f>
        <v>24434</v>
      </c>
      <c r="F9" s="18">
        <f>C9+D9+E9</f>
        <v>24434</v>
      </c>
      <c r="G9" s="61">
        <v>820</v>
      </c>
      <c r="H9" s="449"/>
      <c r="IR9" s="54"/>
    </row>
    <row r="10" spans="1:252" s="58" customFormat="1" ht="20.25">
      <c r="A10" s="66"/>
      <c r="B10" s="25"/>
      <c r="C10" s="17"/>
      <c r="D10" s="17"/>
      <c r="E10" s="17"/>
      <c r="F10" s="18">
        <f>C10+D10+E10</f>
        <v>0</v>
      </c>
      <c r="G10" s="61"/>
      <c r="H10" s="449"/>
      <c r="IR10" s="54"/>
    </row>
    <row r="11" spans="1:252" s="58" customFormat="1" ht="20.25">
      <c r="A11" s="67" t="s">
        <v>21</v>
      </c>
      <c r="B11" s="21" t="s">
        <v>44</v>
      </c>
      <c r="C11" s="14">
        <f>'1.melléklet'!C36</f>
        <v>227889</v>
      </c>
      <c r="D11" s="14">
        <f>'1.melléklet'!D36</f>
        <v>257889</v>
      </c>
      <c r="E11" s="14">
        <f>'1.melléklet'!E36</f>
        <v>147548</v>
      </c>
      <c r="F11" s="14">
        <f>D11+E11</f>
        <v>405437</v>
      </c>
      <c r="G11" s="14">
        <f>'1.melléklet'!G36</f>
        <v>257424</v>
      </c>
      <c r="H11" s="452">
        <f t="shared" si="0"/>
        <v>0.6349297178106587</v>
      </c>
      <c r="IR11" s="54"/>
    </row>
    <row r="12" spans="1:252" s="58" customFormat="1" ht="60.75" customHeight="1">
      <c r="A12" s="68"/>
      <c r="B12" s="25" t="s">
        <v>93</v>
      </c>
      <c r="C12" s="17">
        <f>'1.melléklet'!C37</f>
        <v>24000</v>
      </c>
      <c r="D12" s="17">
        <f>'1.melléklet'!D37</f>
        <v>24000</v>
      </c>
      <c r="E12" s="17">
        <f>'1.melléklet'!E37</f>
        <v>0</v>
      </c>
      <c r="F12" s="17">
        <f aca="true" t="shared" si="1" ref="F12:F18">D12+E12</f>
        <v>24000</v>
      </c>
      <c r="G12" s="17">
        <f>'1.melléklet'!G37</f>
        <v>4689</v>
      </c>
      <c r="H12" s="449">
        <f t="shared" si="0"/>
        <v>0.195375</v>
      </c>
      <c r="IR12" s="54"/>
    </row>
    <row r="13" spans="1:252" s="58" customFormat="1" ht="20.25">
      <c r="A13" s="68"/>
      <c r="B13" s="25" t="s">
        <v>46</v>
      </c>
      <c r="C13" s="17">
        <f>'1.melléklet'!C38</f>
        <v>203889</v>
      </c>
      <c r="D13" s="17">
        <f>'1.melléklet'!D38</f>
        <v>233889</v>
      </c>
      <c r="E13" s="17">
        <f>'1.melléklet'!E38</f>
        <v>147548</v>
      </c>
      <c r="F13" s="17">
        <f t="shared" si="1"/>
        <v>381437</v>
      </c>
      <c r="G13" s="17">
        <f>'1.melléklet'!G38</f>
        <v>252735</v>
      </c>
      <c r="H13" s="449">
        <f t="shared" si="0"/>
        <v>0.6625864821713677</v>
      </c>
      <c r="IR13" s="54"/>
    </row>
    <row r="14" spans="1:252" s="58" customFormat="1" ht="20.25">
      <c r="A14" s="68"/>
      <c r="B14" s="27" t="s">
        <v>94</v>
      </c>
      <c r="C14" s="18">
        <f>C6+C8+C11</f>
        <v>284889</v>
      </c>
      <c r="D14" s="18">
        <f>D6+D8+D11</f>
        <v>314889</v>
      </c>
      <c r="E14" s="18">
        <f>E6+E8+E11</f>
        <v>171982</v>
      </c>
      <c r="F14" s="18">
        <f t="shared" si="1"/>
        <v>486871</v>
      </c>
      <c r="G14" s="18">
        <f>G6+G8+G11</f>
        <v>288823</v>
      </c>
      <c r="H14" s="450">
        <f t="shared" si="0"/>
        <v>0.5932228454765225</v>
      </c>
      <c r="IR14" s="54"/>
    </row>
    <row r="15" spans="1:252" s="58" customFormat="1" ht="20.25">
      <c r="A15" s="67" t="s">
        <v>24</v>
      </c>
      <c r="B15" s="21" t="s">
        <v>49</v>
      </c>
      <c r="C15" s="14">
        <v>73660</v>
      </c>
      <c r="D15" s="14">
        <v>73660</v>
      </c>
      <c r="E15" s="14"/>
      <c r="F15" s="14">
        <f t="shared" si="1"/>
        <v>73660</v>
      </c>
      <c r="G15" s="14"/>
      <c r="H15" s="452">
        <f t="shared" si="0"/>
        <v>0</v>
      </c>
      <c r="IR15" s="54"/>
    </row>
    <row r="16" spans="1:252" s="58" customFormat="1" ht="20.25">
      <c r="A16" s="67" t="s">
        <v>30</v>
      </c>
      <c r="B16" s="21" t="s">
        <v>53</v>
      </c>
      <c r="C16" s="14">
        <v>351965</v>
      </c>
      <c r="D16" s="14">
        <f>'1.melléklet'!D42</f>
        <v>370455</v>
      </c>
      <c r="E16" s="14"/>
      <c r="F16" s="14">
        <f t="shared" si="1"/>
        <v>370455</v>
      </c>
      <c r="G16" s="14">
        <v>370455</v>
      </c>
      <c r="H16" s="452">
        <f t="shared" si="0"/>
        <v>1</v>
      </c>
      <c r="IR16" s="54"/>
    </row>
    <row r="17" spans="1:252" s="58" customFormat="1" ht="20.25">
      <c r="A17" s="68"/>
      <c r="B17" s="27" t="s">
        <v>95</v>
      </c>
      <c r="C17" s="17">
        <f>SUM(C15:C16)</f>
        <v>425625</v>
      </c>
      <c r="D17" s="17">
        <f>SUM(D15:D16)</f>
        <v>444115</v>
      </c>
      <c r="E17" s="17">
        <f>SUM(E15:E16)</f>
        <v>0</v>
      </c>
      <c r="F17" s="17">
        <f>SUM(F15:F16)</f>
        <v>444115</v>
      </c>
      <c r="G17" s="17">
        <f>SUM(G15:G16)</f>
        <v>370455</v>
      </c>
      <c r="H17" s="449">
        <f t="shared" si="0"/>
        <v>0.8341420578003446</v>
      </c>
      <c r="IR17" s="54"/>
    </row>
    <row r="18" spans="1:252" s="58" customFormat="1" ht="20.25">
      <c r="A18" s="68"/>
      <c r="B18" s="47" t="s">
        <v>57</v>
      </c>
      <c r="C18" s="18">
        <f>C14+C17</f>
        <v>710514</v>
      </c>
      <c r="D18" s="18">
        <f>D14+D17</f>
        <v>759004</v>
      </c>
      <c r="E18" s="18">
        <f>E14+E17</f>
        <v>171982</v>
      </c>
      <c r="F18" s="14">
        <f t="shared" si="1"/>
        <v>930986</v>
      </c>
      <c r="G18" s="14">
        <f>G14+G16</f>
        <v>659278</v>
      </c>
      <c r="H18" s="452">
        <f t="shared" si="0"/>
        <v>0.7081502836777352</v>
      </c>
      <c r="I18" s="457">
        <f>G7+G9+G12+G13+G16</f>
        <v>659278</v>
      </c>
      <c r="IR18" s="54"/>
    </row>
    <row r="19" spans="1:252" s="58" customFormat="1" ht="18">
      <c r="A19" s="54"/>
      <c r="B19" s="54"/>
      <c r="C19" s="69"/>
      <c r="D19" s="70"/>
      <c r="E19" s="466">
        <f>+'1_A melléklet'!E34+E18</f>
        <v>206128</v>
      </c>
      <c r="F19" s="466">
        <f>+'1_A melléklet'!F34+F18</f>
        <v>2150328</v>
      </c>
      <c r="G19" s="466">
        <f>+'1_A melléklet'!G34+G18</f>
        <v>1275353</v>
      </c>
      <c r="H19" s="466"/>
      <c r="IR19" s="54"/>
    </row>
    <row r="20" spans="1:252" s="58" customFormat="1" ht="18">
      <c r="A20" s="54"/>
      <c r="B20" s="54"/>
      <c r="C20" s="69"/>
      <c r="D20" s="70"/>
      <c r="E20" s="54"/>
      <c r="F20" s="54"/>
      <c r="IR20" s="54"/>
    </row>
    <row r="21" spans="2:4" s="58" customFormat="1" ht="18">
      <c r="B21" s="54"/>
      <c r="C21" s="69"/>
      <c r="D21" s="70"/>
    </row>
    <row r="22" spans="1:252" s="58" customFormat="1" ht="39" customHeight="1">
      <c r="A22" s="60" t="s">
        <v>3</v>
      </c>
      <c r="B22" s="60" t="s">
        <v>4</v>
      </c>
      <c r="C22" s="471" t="s">
        <v>362</v>
      </c>
      <c r="D22" s="472"/>
      <c r="E22" s="472"/>
      <c r="F22" s="472"/>
      <c r="G22" s="472"/>
      <c r="H22" s="474"/>
      <c r="IR22" s="54"/>
    </row>
    <row r="23" spans="1:252" s="58" customFormat="1" ht="57.75" customHeight="1">
      <c r="A23" s="60"/>
      <c r="B23" s="62" t="s">
        <v>58</v>
      </c>
      <c r="C23" s="379" t="s">
        <v>361</v>
      </c>
      <c r="D23" s="379" t="s">
        <v>397</v>
      </c>
      <c r="E23" s="379" t="s">
        <v>360</v>
      </c>
      <c r="F23" s="379" t="s">
        <v>363</v>
      </c>
      <c r="G23" s="379" t="s">
        <v>395</v>
      </c>
      <c r="H23" s="379" t="s">
        <v>398</v>
      </c>
      <c r="IR23" s="54"/>
    </row>
    <row r="24" spans="1:252" s="58" customFormat="1" ht="20.25">
      <c r="A24" s="71" t="s">
        <v>7</v>
      </c>
      <c r="B24" s="72" t="s">
        <v>70</v>
      </c>
      <c r="C24" s="73">
        <f>C25+C28+C29+C32</f>
        <v>709664</v>
      </c>
      <c r="D24" s="73">
        <f>D25+D28+D29+D32</f>
        <v>773642</v>
      </c>
      <c r="E24" s="73">
        <f>E25+E28+E29+E32</f>
        <v>147548</v>
      </c>
      <c r="F24" s="41">
        <f>'1.melléklet'!F62</f>
        <v>921190</v>
      </c>
      <c r="G24" s="73">
        <f>G25+G28+G29+G32</f>
        <v>30137</v>
      </c>
      <c r="H24" s="452">
        <f>G24/F24</f>
        <v>0.03271529217642397</v>
      </c>
      <c r="IR24" s="54"/>
    </row>
    <row r="25" spans="1:8" s="58" customFormat="1" ht="20.25">
      <c r="A25" s="74"/>
      <c r="B25" s="37" t="s">
        <v>71</v>
      </c>
      <c r="C25" s="38">
        <f>'1.melléklet'!C63</f>
        <v>605464</v>
      </c>
      <c r="D25" s="38">
        <f>'1.melléklet'!D63</f>
        <v>623844</v>
      </c>
      <c r="E25" s="38">
        <f>'1.melléklet'!E63</f>
        <v>-10019</v>
      </c>
      <c r="F25" s="38">
        <f>'1.melléklet'!F63</f>
        <v>613825</v>
      </c>
      <c r="G25" s="61">
        <f>'1.melléklet'!G63</f>
        <v>26120</v>
      </c>
      <c r="H25" s="449">
        <f aca="true" t="shared" si="2" ref="H25:H37">G25/F25</f>
        <v>0.04255284486620779</v>
      </c>
    </row>
    <row r="26" spans="1:8" s="58" customFormat="1" ht="40.5">
      <c r="A26" s="74"/>
      <c r="B26" s="75" t="s">
        <v>72</v>
      </c>
      <c r="C26" s="38">
        <f>'1.melléklet'!C64</f>
        <v>0</v>
      </c>
      <c r="D26" s="38">
        <f>'1.melléklet'!D64</f>
        <v>0</v>
      </c>
      <c r="E26" s="38">
        <f>'1.melléklet'!E64</f>
        <v>0</v>
      </c>
      <c r="F26" s="38">
        <f>'1.melléklet'!F64</f>
        <v>0</v>
      </c>
      <c r="G26" s="61"/>
      <c r="H26" s="449"/>
    </row>
    <row r="27" spans="1:8" s="58" customFormat="1" ht="40.5">
      <c r="A27" s="74"/>
      <c r="B27" s="75" t="s">
        <v>73</v>
      </c>
      <c r="C27" s="38">
        <f>'1.melléklet'!C65</f>
        <v>0</v>
      </c>
      <c r="D27" s="38">
        <f>'1.melléklet'!D65</f>
        <v>0</v>
      </c>
      <c r="E27" s="38">
        <f>'1.melléklet'!E65</f>
        <v>0</v>
      </c>
      <c r="F27" s="38">
        <f>'1.melléklet'!F65</f>
        <v>0</v>
      </c>
      <c r="G27" s="61"/>
      <c r="H27" s="449"/>
    </row>
    <row r="28" spans="1:8" ht="20.25">
      <c r="A28" s="68"/>
      <c r="B28" s="76" t="s">
        <v>74</v>
      </c>
      <c r="C28" s="38">
        <f>'1.melléklet'!C66</f>
        <v>49915</v>
      </c>
      <c r="D28" s="38">
        <f>'1.melléklet'!D66</f>
        <v>82106</v>
      </c>
      <c r="E28" s="38">
        <f>'1.melléklet'!E66</f>
        <v>138117</v>
      </c>
      <c r="F28" s="38">
        <f>'1.melléklet'!F66</f>
        <v>220223</v>
      </c>
      <c r="G28" s="61">
        <f>'1.melléklet'!G66</f>
        <v>4017</v>
      </c>
      <c r="H28" s="449">
        <f t="shared" si="2"/>
        <v>0.018240601572042884</v>
      </c>
    </row>
    <row r="29" spans="1:8" ht="20.25">
      <c r="A29" s="68"/>
      <c r="B29" s="76" t="s">
        <v>96</v>
      </c>
      <c r="C29" s="38">
        <f>'1.melléklet'!C67</f>
        <v>0</v>
      </c>
      <c r="D29" s="38">
        <f>'1.melléklet'!D67</f>
        <v>276</v>
      </c>
      <c r="E29" s="38">
        <f>'1.melléklet'!E67</f>
        <v>0</v>
      </c>
      <c r="F29" s="38">
        <f>'1.melléklet'!F67</f>
        <v>276</v>
      </c>
      <c r="G29" s="61"/>
      <c r="H29" s="449">
        <f t="shared" si="2"/>
        <v>0</v>
      </c>
    </row>
    <row r="30" spans="1:8" ht="20.25">
      <c r="A30" s="68"/>
      <c r="B30" s="75" t="s">
        <v>76</v>
      </c>
      <c r="C30" s="38">
        <f>'1.melléklet'!C68</f>
        <v>0</v>
      </c>
      <c r="D30" s="38">
        <f>'1.melléklet'!D68</f>
        <v>0</v>
      </c>
      <c r="E30" s="38">
        <f>'1.melléklet'!E68</f>
        <v>0</v>
      </c>
      <c r="F30" s="38">
        <f>'1.melléklet'!F68</f>
        <v>0</v>
      </c>
      <c r="G30" s="61"/>
      <c r="H30" s="449"/>
    </row>
    <row r="31" spans="1:8" ht="20.25">
      <c r="A31" s="68"/>
      <c r="B31" s="75" t="s">
        <v>77</v>
      </c>
      <c r="C31" s="38">
        <f>'1.melléklet'!C69</f>
        <v>0</v>
      </c>
      <c r="D31" s="38">
        <f>'1.melléklet'!D69</f>
        <v>276</v>
      </c>
      <c r="E31" s="38">
        <f>'1.melléklet'!E69</f>
        <v>0</v>
      </c>
      <c r="F31" s="38">
        <f>'1.melléklet'!F69</f>
        <v>276</v>
      </c>
      <c r="G31" s="61"/>
      <c r="H31" s="449">
        <f t="shared" si="2"/>
        <v>0</v>
      </c>
    </row>
    <row r="32" spans="1:8" ht="20.25">
      <c r="A32" s="68"/>
      <c r="B32" s="76" t="s">
        <v>78</v>
      </c>
      <c r="C32" s="38">
        <f>'1.melléklet'!C70</f>
        <v>54285</v>
      </c>
      <c r="D32" s="38">
        <f>'1.melléklet'!D70</f>
        <v>67416</v>
      </c>
      <c r="E32" s="38">
        <f>'1.melléklet'!E70</f>
        <v>19450</v>
      </c>
      <c r="F32" s="38">
        <f>'1.melléklet'!F70</f>
        <v>86866</v>
      </c>
      <c r="G32" s="61"/>
      <c r="H32" s="449">
        <f t="shared" si="2"/>
        <v>0</v>
      </c>
    </row>
    <row r="33" spans="1:8" ht="20.25">
      <c r="A33" s="66"/>
      <c r="B33" s="77"/>
      <c r="C33" s="38">
        <f>'10. melléklet Isaszegi Héts'!C73+'11.  melléklet Isaszegi Bóbi'!C73+'12. mell. Isaszegi Humánszol'!C73+'13.  mellékletMűvelődési ház'!C73+'14. melléklet Könyvtár'!C73+'15.melléklet IVÜSZ'!C73+'16. melléklet'!C79+'17. melléklet'!C73</f>
        <v>0</v>
      </c>
      <c r="D33" s="38">
        <f>'10. melléklet Isaszegi Héts'!D73+'11.  melléklet Isaszegi Bóbi'!D73+'12. mell. Isaszegi Humánszol'!D73+'13.  mellékletMűvelődési ház'!D73+'14. melléklet Könyvtár'!D73+'15.melléklet IVÜSZ'!D73+'16. melléklet'!D79+'17. melléklet'!D73</f>
        <v>0</v>
      </c>
      <c r="E33" s="38">
        <f>'10. melléklet Isaszegi Héts'!E73+'11.  melléklet Isaszegi Bóbi'!E73+'12. mell. Isaszegi Humánszol'!E73+'13.  mellékletMűvelődési ház'!E73+'14. melléklet Könyvtár'!E73+'15.melléklet IVÜSZ'!E73+'16. melléklet'!E79+'17. melléklet'!E73</f>
        <v>0</v>
      </c>
      <c r="F33" s="38">
        <f>'10. melléklet Isaszegi Héts'!F73+'11.  melléklet Isaszegi Bóbi'!F73+'12. mell. Isaszegi Humánszol'!F73+'13.  mellékletMűvelődési ház'!F73+'14. melléklet Könyvtár'!F73+'15.melléklet IVÜSZ'!F73+'16. melléklet'!F79+'17. melléklet'!F73</f>
        <v>0</v>
      </c>
      <c r="G33" s="61"/>
      <c r="H33" s="449"/>
    </row>
    <row r="34" spans="1:8" ht="20.25">
      <c r="A34" s="71" t="s">
        <v>15</v>
      </c>
      <c r="B34" s="72" t="s">
        <v>80</v>
      </c>
      <c r="C34" s="41">
        <f>SUM(C35:C36)</f>
        <v>850</v>
      </c>
      <c r="D34" s="41">
        <v>850</v>
      </c>
      <c r="E34" s="41">
        <f>SUM(E35:E36)</f>
        <v>0</v>
      </c>
      <c r="F34" s="41">
        <f>SUM(F35:F36)</f>
        <v>850</v>
      </c>
      <c r="G34" s="41">
        <f>SUM(G35:G36)</f>
        <v>351</v>
      </c>
      <c r="H34" s="452">
        <f t="shared" si="2"/>
        <v>0.41294117647058826</v>
      </c>
    </row>
    <row r="35" spans="1:8" ht="20.25">
      <c r="A35" s="74"/>
      <c r="B35" s="78" t="s">
        <v>97</v>
      </c>
      <c r="C35" s="38">
        <v>850</v>
      </c>
      <c r="D35" s="38">
        <v>850</v>
      </c>
      <c r="E35" s="38"/>
      <c r="F35" s="38">
        <f>D35+E35</f>
        <v>850</v>
      </c>
      <c r="G35" s="61">
        <v>351</v>
      </c>
      <c r="H35" s="449">
        <f t="shared" si="2"/>
        <v>0.41294117647058826</v>
      </c>
    </row>
    <row r="36" spans="1:8" ht="20.25">
      <c r="A36" s="68"/>
      <c r="B36" s="78"/>
      <c r="C36" s="38"/>
      <c r="D36" s="38"/>
      <c r="E36" s="38"/>
      <c r="F36" s="38"/>
      <c r="G36" s="61"/>
      <c r="H36" s="449"/>
    </row>
    <row r="37" spans="1:8" ht="20.25">
      <c r="A37" s="79"/>
      <c r="B37" s="80" t="s">
        <v>90</v>
      </c>
      <c r="C37" s="44">
        <f>C24+C34</f>
        <v>710514</v>
      </c>
      <c r="D37" s="44">
        <f>D24+D34</f>
        <v>774492</v>
      </c>
      <c r="E37" s="44">
        <f>E24+E34</f>
        <v>147548</v>
      </c>
      <c r="F37" s="44">
        <f>F24+F34</f>
        <v>922040</v>
      </c>
      <c r="G37" s="44">
        <f>G24+G34</f>
        <v>30488</v>
      </c>
      <c r="H37" s="450">
        <f t="shared" si="2"/>
        <v>0.03306581059390048</v>
      </c>
    </row>
    <row r="38" spans="1:8" ht="20.25">
      <c r="A38" s="81"/>
      <c r="B38" s="82"/>
      <c r="C38" s="38">
        <f>'10. melléklet Isaszegi Héts'!C78+'11.  melléklet Isaszegi Bóbi'!C78+'12. mell. Isaszegi Humánszol'!C78+'13.  mellékletMűvelődési ház'!C78+'14. melléklet Könyvtár'!C78+'15.melléklet IVÜSZ'!C78+'16. melléklet'!C84+'17. melléklet'!C78</f>
        <v>0</v>
      </c>
      <c r="D38" s="34"/>
      <c r="E38" s="34"/>
      <c r="F38" s="34"/>
      <c r="G38" s="61"/>
      <c r="H38" s="449"/>
    </row>
    <row r="39" spans="1:8" ht="20.25">
      <c r="A39" s="83"/>
      <c r="B39" s="84" t="s">
        <v>84</v>
      </c>
      <c r="C39" s="38"/>
      <c r="D39" s="34"/>
      <c r="E39" s="34"/>
      <c r="F39" s="34"/>
      <c r="G39" s="61"/>
      <c r="H39" s="449"/>
    </row>
    <row r="40" spans="1:8" ht="20.25">
      <c r="A40" s="83"/>
      <c r="B40" s="84" t="s">
        <v>85</v>
      </c>
      <c r="C40" s="38">
        <f>'10. melléklet Isaszegi Héts'!C80+'11.  melléklet Isaszegi Bóbi'!C80+'12. mell. Isaszegi Humánszol'!C80+'13.  mellékletMűvelődési ház'!C80+'14. melléklet Könyvtár'!C80+'15.melléklet IVÜSZ'!C80+'16. melléklet'!C86+'17. melléklet'!C80</f>
        <v>0</v>
      </c>
      <c r="D40" s="34"/>
      <c r="E40" s="34"/>
      <c r="F40" s="34"/>
      <c r="G40" s="61"/>
      <c r="H40" s="107"/>
    </row>
    <row r="41" spans="2:8" ht="18">
      <c r="B41" s="54" t="s">
        <v>98</v>
      </c>
      <c r="C41" s="55">
        <f>C18-C37</f>
        <v>0</v>
      </c>
      <c r="D41" s="55">
        <f>D18-D37</f>
        <v>-15488</v>
      </c>
      <c r="E41" s="55">
        <f>E18-E37</f>
        <v>24434</v>
      </c>
      <c r="F41" s="55">
        <f>F18-F37</f>
        <v>8946</v>
      </c>
      <c r="G41" s="55">
        <f>G18-G37</f>
        <v>628790</v>
      </c>
      <c r="H41" s="55"/>
    </row>
  </sheetData>
  <sheetProtection selectLockedCells="1" selectUnlockedCells="1"/>
  <mergeCells count="4">
    <mergeCell ref="B1:C1"/>
    <mergeCell ref="B2:C2"/>
    <mergeCell ref="C22:H22"/>
    <mergeCell ref="C4:H4"/>
  </mergeCells>
  <printOptions horizontalCentered="1"/>
  <pageMargins left="0.7875" right="0.7875" top="0.9840277777777777" bottom="0.9840277777777777" header="0.5" footer="0.5118055555555555"/>
  <pageSetup fitToHeight="1" fitToWidth="1" horizontalDpi="300" verticalDpi="300" orientation="portrait" paperSize="9" scale="42" r:id="rId1"/>
  <headerFooter alignWithMargins="0">
    <oddHeader>&amp;R 1-B melléklet a 3 /2018.(II.21.) 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54"/>
  <sheetViews>
    <sheetView view="pageBreakPreview" zoomScale="50" zoomScaleNormal="65" zoomScaleSheetLayoutView="50" workbookViewId="0" topLeftCell="A31">
      <selection activeCell="C35" sqref="C35"/>
    </sheetView>
  </sheetViews>
  <sheetFormatPr defaultColWidth="9.00390625" defaultRowHeight="12.75"/>
  <cols>
    <col min="1" max="1" width="6.28125" style="85" customWidth="1"/>
    <col min="2" max="2" width="78.8515625" style="85" customWidth="1"/>
    <col min="3" max="3" width="15.140625" style="85" customWidth="1"/>
    <col min="4" max="4" width="5.00390625" style="85" customWidth="1"/>
    <col min="5" max="5" width="52.7109375" style="85" customWidth="1"/>
    <col min="6" max="6" width="20.00390625" style="85" customWidth="1"/>
    <col min="7" max="16384" width="9.00390625" style="85" customWidth="1"/>
  </cols>
  <sheetData>
    <row r="1" spans="1:6" ht="18">
      <c r="A1" s="476" t="s">
        <v>99</v>
      </c>
      <c r="B1" s="476"/>
      <c r="C1" s="476"/>
      <c r="D1" s="476"/>
      <c r="E1" s="476"/>
      <c r="F1" s="476"/>
    </row>
    <row r="2" spans="1:6" ht="18">
      <c r="A2" s="54"/>
      <c r="B2" s="54"/>
      <c r="C2" s="54"/>
      <c r="D2" s="54"/>
      <c r="E2" s="54"/>
      <c r="F2" s="54"/>
    </row>
    <row r="3" spans="1:6" ht="18">
      <c r="A3" s="476" t="s">
        <v>100</v>
      </c>
      <c r="B3" s="476"/>
      <c r="C3" s="476"/>
      <c r="D3" s="476"/>
      <c r="E3" s="476"/>
      <c r="F3" s="476"/>
    </row>
    <row r="4" spans="1:6" ht="18">
      <c r="A4" s="477" t="s">
        <v>101</v>
      </c>
      <c r="B4" s="477"/>
      <c r="C4" s="477"/>
      <c r="D4" s="477"/>
      <c r="E4" s="477"/>
      <c r="F4" s="477"/>
    </row>
    <row r="5" spans="1:6" ht="19.5" customHeight="1">
      <c r="A5" s="54"/>
      <c r="B5" s="86" t="s">
        <v>102</v>
      </c>
      <c r="C5" s="87" t="s">
        <v>103</v>
      </c>
      <c r="D5" s="478" t="s">
        <v>104</v>
      </c>
      <c r="E5" s="478"/>
      <c r="F5" s="87" t="s">
        <v>103</v>
      </c>
    </row>
    <row r="6" spans="1:6" ht="23.25" customHeight="1">
      <c r="A6" s="88" t="s">
        <v>7</v>
      </c>
      <c r="B6" s="89" t="s">
        <v>8</v>
      </c>
      <c r="C6" s="90">
        <f>C7+C8+C9+C10+C11+C12</f>
        <v>663636</v>
      </c>
      <c r="D6" s="91" t="s">
        <v>7</v>
      </c>
      <c r="E6" s="92" t="s">
        <v>59</v>
      </c>
      <c r="F6" s="90">
        <f>F7+F8+F9+F12+F13</f>
        <v>1204576</v>
      </c>
    </row>
    <row r="7" spans="1:6" ht="18.75">
      <c r="A7" s="93"/>
      <c r="B7" s="94" t="s">
        <v>9</v>
      </c>
      <c r="C7" s="95">
        <f>'1_A melléklet'!F7</f>
        <v>259363</v>
      </c>
      <c r="D7" s="96"/>
      <c r="E7" s="97" t="s">
        <v>60</v>
      </c>
      <c r="F7" s="95">
        <f>'1_A melléklet'!F41</f>
        <v>499439</v>
      </c>
    </row>
    <row r="8" spans="1:6" ht="36">
      <c r="A8" s="98"/>
      <c r="B8" s="94" t="s">
        <v>10</v>
      </c>
      <c r="C8" s="95">
        <f>'1_A melléklet'!F8</f>
        <v>189021</v>
      </c>
      <c r="D8" s="99"/>
      <c r="E8" s="100" t="s">
        <v>61</v>
      </c>
      <c r="F8" s="95">
        <f>'1_A melléklet'!F42</f>
        <v>105123</v>
      </c>
    </row>
    <row r="9" spans="1:6" ht="36">
      <c r="A9" s="98"/>
      <c r="B9" s="101" t="s">
        <v>11</v>
      </c>
      <c r="C9" s="95">
        <f>'1_A melléklet'!F9</f>
        <v>195466</v>
      </c>
      <c r="D9" s="99"/>
      <c r="E9" s="100" t="s">
        <v>62</v>
      </c>
      <c r="F9" s="95">
        <f>'1_A melléklet'!F43</f>
        <v>516838</v>
      </c>
    </row>
    <row r="10" spans="1:6" ht="54">
      <c r="A10" s="98"/>
      <c r="B10" s="94" t="s">
        <v>12</v>
      </c>
      <c r="C10" s="95">
        <f>'1_A melléklet'!F10</f>
        <v>16165</v>
      </c>
      <c r="D10" s="99"/>
      <c r="E10" s="100" t="s">
        <v>63</v>
      </c>
      <c r="F10" s="95">
        <f>'1_A melléklet'!F44</f>
        <v>0</v>
      </c>
    </row>
    <row r="11" spans="1:6" ht="18" customHeight="1">
      <c r="A11" s="98"/>
      <c r="B11" s="94" t="s">
        <v>13</v>
      </c>
      <c r="C11" s="95">
        <f>'1_A melléklet'!F11</f>
        <v>3621</v>
      </c>
      <c r="D11" s="99"/>
      <c r="E11" s="100" t="s">
        <v>64</v>
      </c>
      <c r="F11" s="95">
        <f>'1_A melléklet'!F45</f>
        <v>0</v>
      </c>
    </row>
    <row r="12" spans="1:6" ht="18">
      <c r="A12" s="98"/>
      <c r="B12" s="94" t="s">
        <v>14</v>
      </c>
      <c r="C12" s="95">
        <f>'1_A melléklet'!F12</f>
        <v>0</v>
      </c>
      <c r="D12" s="99"/>
      <c r="E12" s="100" t="s">
        <v>65</v>
      </c>
      <c r="F12" s="95">
        <f>'1_A melléklet'!F46</f>
        <v>19280</v>
      </c>
    </row>
    <row r="13" spans="1:6" ht="28.5" customHeight="1">
      <c r="A13" s="103" t="s">
        <v>15</v>
      </c>
      <c r="B13" s="89" t="s">
        <v>16</v>
      </c>
      <c r="C13" s="90">
        <f>C14+C15+C16+C17</f>
        <v>71430</v>
      </c>
      <c r="D13" s="99"/>
      <c r="E13" s="100" t="s">
        <v>66</v>
      </c>
      <c r="F13" s="95">
        <f>'1_A melléklet'!F47</f>
        <v>63896</v>
      </c>
    </row>
    <row r="14" spans="1:6" ht="36">
      <c r="A14" s="93"/>
      <c r="B14" s="94" t="s">
        <v>17</v>
      </c>
      <c r="C14" s="95">
        <f>'1_A melléklet'!F14</f>
        <v>2160</v>
      </c>
      <c r="D14" s="99"/>
      <c r="E14" s="100" t="s">
        <v>67</v>
      </c>
      <c r="F14" s="95">
        <f>'1_A melléklet'!F48</f>
        <v>18886</v>
      </c>
    </row>
    <row r="15" spans="1:6" ht="36">
      <c r="A15" s="98"/>
      <c r="B15" s="94" t="s">
        <v>105</v>
      </c>
      <c r="C15" s="95">
        <f>'1_A melléklet'!F15</f>
        <v>3490</v>
      </c>
      <c r="D15" s="99"/>
      <c r="E15" s="100" t="s">
        <v>68</v>
      </c>
      <c r="F15" s="95">
        <f>'1_A melléklet'!F49</f>
        <v>0</v>
      </c>
    </row>
    <row r="16" spans="1:6" ht="36">
      <c r="A16" s="98"/>
      <c r="B16" s="94" t="s">
        <v>19</v>
      </c>
      <c r="C16" s="95">
        <f>'1_A melléklet'!F16</f>
        <v>53682</v>
      </c>
      <c r="D16" s="99"/>
      <c r="E16" s="100" t="s">
        <v>69</v>
      </c>
      <c r="F16" s="95">
        <f>'1_A melléklet'!F50</f>
        <v>32693</v>
      </c>
    </row>
    <row r="17" spans="1:6" ht="36">
      <c r="A17" s="98"/>
      <c r="B17" s="94" t="s">
        <v>20</v>
      </c>
      <c r="C17" s="95">
        <f>'1_A melléklet'!F17</f>
        <v>12098</v>
      </c>
      <c r="D17" s="91" t="s">
        <v>15</v>
      </c>
      <c r="E17" s="92" t="s">
        <v>80</v>
      </c>
      <c r="F17" s="90">
        <f>F18</f>
        <v>23712</v>
      </c>
    </row>
    <row r="18" spans="1:6" ht="18">
      <c r="A18" s="103" t="s">
        <v>21</v>
      </c>
      <c r="B18" s="91" t="s">
        <v>25</v>
      </c>
      <c r="C18" s="90">
        <f>C19+C20+C21+C22</f>
        <v>227210</v>
      </c>
      <c r="D18" s="96"/>
      <c r="E18" s="100" t="s">
        <v>88</v>
      </c>
      <c r="F18" s="95">
        <v>23712</v>
      </c>
    </row>
    <row r="19" spans="1:6" ht="40.5">
      <c r="A19" s="104"/>
      <c r="B19" s="16" t="s">
        <v>26</v>
      </c>
      <c r="C19" s="95">
        <f>'1_A melléklet'!F19</f>
        <v>194700</v>
      </c>
      <c r="D19" s="99"/>
      <c r="E19" s="97"/>
      <c r="F19" s="105">
        <f>'1_A melléklet'!C54</f>
        <v>0</v>
      </c>
    </row>
    <row r="20" spans="1:6" ht="18">
      <c r="A20" s="106"/>
      <c r="B20" s="100" t="s">
        <v>27</v>
      </c>
      <c r="C20" s="95">
        <f>'1_A melléklet'!F20</f>
        <v>26000</v>
      </c>
      <c r="D20" s="107"/>
      <c r="E20" s="107"/>
      <c r="F20" s="107"/>
    </row>
    <row r="21" spans="1:6" ht="18">
      <c r="A21" s="104"/>
      <c r="B21" s="100" t="s">
        <v>28</v>
      </c>
      <c r="C21" s="95">
        <f>'1_A melléklet'!F21</f>
        <v>3000</v>
      </c>
      <c r="D21" s="107"/>
      <c r="E21" s="107"/>
      <c r="F21" s="107"/>
    </row>
    <row r="22" spans="1:6" ht="72">
      <c r="A22" s="93"/>
      <c r="B22" s="100" t="s">
        <v>29</v>
      </c>
      <c r="C22" s="95">
        <f>'1_A melléklet'!F22</f>
        <v>3510</v>
      </c>
      <c r="D22" s="107"/>
      <c r="E22" s="107"/>
      <c r="F22" s="107"/>
    </row>
    <row r="23" spans="1:6" ht="18.75" customHeight="1">
      <c r="A23" s="103" t="s">
        <v>24</v>
      </c>
      <c r="B23" s="108" t="s">
        <v>31</v>
      </c>
      <c r="C23" s="90">
        <f>C24+C25+C26+C27+C28</f>
        <v>150092</v>
      </c>
      <c r="D23" s="109"/>
      <c r="E23" s="107"/>
      <c r="F23" s="107"/>
    </row>
    <row r="24" spans="1:6" ht="54">
      <c r="A24" s="104"/>
      <c r="B24" s="100" t="s">
        <v>32</v>
      </c>
      <c r="C24" s="95">
        <f>'1_A melléklet'!F24</f>
        <v>133724</v>
      </c>
      <c r="D24" s="107"/>
      <c r="E24" s="107"/>
      <c r="F24" s="110"/>
    </row>
    <row r="25" spans="1:6" ht="26.25" customHeight="1">
      <c r="A25" s="104"/>
      <c r="B25" s="100" t="s">
        <v>33</v>
      </c>
      <c r="C25" s="95">
        <f>'1_A melléklet'!F25</f>
        <v>15412</v>
      </c>
      <c r="D25" s="107"/>
      <c r="E25" s="107"/>
      <c r="F25" s="110"/>
    </row>
    <row r="26" spans="1:6" ht="23.25" customHeight="1">
      <c r="A26" s="104"/>
      <c r="B26" s="100" t="s">
        <v>34</v>
      </c>
      <c r="C26" s="95">
        <f>'1_A melléklet'!C26</f>
        <v>0</v>
      </c>
      <c r="D26" s="107"/>
      <c r="E26" s="107"/>
      <c r="F26" s="110"/>
    </row>
    <row r="27" spans="1:6" ht="18">
      <c r="A27" s="104"/>
      <c r="B27" s="100" t="s">
        <v>35</v>
      </c>
      <c r="C27" s="95">
        <f>'1_A melléklet'!F27</f>
        <v>700</v>
      </c>
      <c r="D27" s="107"/>
      <c r="E27" s="107"/>
      <c r="F27" s="110"/>
    </row>
    <row r="28" spans="1:6" ht="18">
      <c r="A28" s="104"/>
      <c r="B28" s="100" t="s">
        <v>36</v>
      </c>
      <c r="C28" s="102">
        <f>'1_A melléklet'!F28</f>
        <v>256</v>
      </c>
      <c r="D28" s="107"/>
      <c r="E28" s="107"/>
      <c r="F28" s="110"/>
    </row>
    <row r="29" spans="1:6" ht="18">
      <c r="A29" s="111" t="s">
        <v>30</v>
      </c>
      <c r="B29" s="92" t="s">
        <v>41</v>
      </c>
      <c r="C29" s="90">
        <v>50</v>
      </c>
      <c r="D29" s="107"/>
      <c r="E29" s="107"/>
      <c r="F29" s="110"/>
    </row>
    <row r="30" spans="1:6" ht="18">
      <c r="A30" s="99"/>
      <c r="B30" s="112" t="s">
        <v>87</v>
      </c>
      <c r="C30" s="102">
        <f>C6+C13+C18+C23</f>
        <v>1112368</v>
      </c>
      <c r="D30" s="107"/>
      <c r="E30" s="107"/>
      <c r="F30" s="110"/>
    </row>
    <row r="31" spans="1:6" ht="20.25">
      <c r="A31" s="111" t="s">
        <v>37</v>
      </c>
      <c r="B31" s="72" t="s">
        <v>88</v>
      </c>
      <c r="C31" s="90">
        <f>'1_A melléklet'!C31</f>
        <v>23712</v>
      </c>
      <c r="D31" s="60"/>
      <c r="E31" s="62"/>
      <c r="F31" s="113"/>
    </row>
    <row r="32" spans="1:6" ht="36">
      <c r="A32" s="111" t="s">
        <v>40</v>
      </c>
      <c r="B32" s="92" t="s">
        <v>51</v>
      </c>
      <c r="C32" s="90">
        <f>'1_A melléklet'!F32</f>
        <v>83212</v>
      </c>
      <c r="D32" s="60"/>
      <c r="E32" s="62"/>
      <c r="F32" s="113"/>
    </row>
    <row r="33" spans="1:6" ht="18">
      <c r="A33" s="99"/>
      <c r="B33" s="112" t="s">
        <v>89</v>
      </c>
      <c r="C33" s="102">
        <f>C31+C32</f>
        <v>106924</v>
      </c>
      <c r="D33" s="60"/>
      <c r="E33" s="62"/>
      <c r="F33" s="113"/>
    </row>
    <row r="34" spans="1:6" ht="18">
      <c r="A34" s="99"/>
      <c r="B34" s="114" t="s">
        <v>57</v>
      </c>
      <c r="C34" s="102">
        <f>C30+C33+C29</f>
        <v>1219342</v>
      </c>
      <c r="D34" s="60"/>
      <c r="E34" s="114" t="s">
        <v>90</v>
      </c>
      <c r="F34" s="102">
        <f>F6+F17</f>
        <v>1228288</v>
      </c>
    </row>
    <row r="35" spans="1:6" ht="18">
      <c r="A35" s="115"/>
      <c r="B35" s="62"/>
      <c r="C35" s="113"/>
      <c r="D35" s="60"/>
      <c r="E35" s="62"/>
      <c r="F35" s="62"/>
    </row>
    <row r="36" spans="1:6" ht="18">
      <c r="A36" s="115"/>
      <c r="B36" s="116"/>
      <c r="C36" s="69"/>
      <c r="D36" s="115"/>
      <c r="E36" s="116"/>
      <c r="F36" s="117">
        <f>C34-F34</f>
        <v>-8946</v>
      </c>
    </row>
    <row r="37" spans="1:6" ht="32.25" customHeight="1">
      <c r="A37" s="476" t="s">
        <v>106</v>
      </c>
      <c r="B37" s="476"/>
      <c r="C37" s="476"/>
      <c r="D37" s="476"/>
      <c r="E37" s="476"/>
      <c r="F37" s="476"/>
    </row>
    <row r="38" spans="1:6" ht="18">
      <c r="A38" s="86"/>
      <c r="B38" s="62" t="s">
        <v>6</v>
      </c>
      <c r="C38" s="87" t="s">
        <v>103</v>
      </c>
      <c r="D38" s="87"/>
      <c r="E38" s="62" t="s">
        <v>58</v>
      </c>
      <c r="F38" s="118" t="s">
        <v>103</v>
      </c>
    </row>
    <row r="39" spans="1:6" ht="20.25">
      <c r="A39" s="119" t="s">
        <v>7</v>
      </c>
      <c r="B39" s="21" t="s">
        <v>25</v>
      </c>
      <c r="C39" s="120">
        <f>1_B_MELLÉKLET!C6</f>
        <v>57000</v>
      </c>
      <c r="D39" s="91" t="s">
        <v>7</v>
      </c>
      <c r="E39" s="121" t="s">
        <v>70</v>
      </c>
      <c r="F39" s="90">
        <f>F40+F43+F44</f>
        <v>834048</v>
      </c>
    </row>
    <row r="40" spans="1:6" ht="20.25">
      <c r="A40" s="122"/>
      <c r="B40" s="25" t="s">
        <v>92</v>
      </c>
      <c r="C40" s="61">
        <f>1_B_MELLÉKLET!F7</f>
        <v>57000</v>
      </c>
      <c r="D40" s="96"/>
      <c r="E40" s="123" t="s">
        <v>71</v>
      </c>
      <c r="F40" s="95">
        <f>1_B_MELLÉKLET!F25</f>
        <v>613825</v>
      </c>
    </row>
    <row r="41" spans="1:6" ht="54">
      <c r="A41" s="119" t="s">
        <v>15</v>
      </c>
      <c r="B41" s="92" t="s">
        <v>38</v>
      </c>
      <c r="C41" s="90">
        <f>C42+C43</f>
        <v>0</v>
      </c>
      <c r="D41" s="96"/>
      <c r="E41" s="124" t="s">
        <v>72</v>
      </c>
      <c r="F41" s="95">
        <f>1_B_MELLÉKLET!C26</f>
        <v>0</v>
      </c>
    </row>
    <row r="42" spans="1:6" ht="68.25" customHeight="1">
      <c r="A42" s="125"/>
      <c r="B42" s="100" t="s">
        <v>39</v>
      </c>
      <c r="C42" s="95">
        <f>1_B_MELLÉKLET!C9</f>
        <v>0</v>
      </c>
      <c r="D42" s="96"/>
      <c r="E42" s="124" t="s">
        <v>73</v>
      </c>
      <c r="F42" s="61">
        <f>1_B_MELLÉKLET!C27</f>
        <v>0</v>
      </c>
    </row>
    <row r="43" spans="1:6" ht="26.25" customHeight="1">
      <c r="A43" s="125"/>
      <c r="B43" s="100" t="s">
        <v>107</v>
      </c>
      <c r="C43" s="61">
        <f>1_B_MELLÉKLET!C10</f>
        <v>0</v>
      </c>
      <c r="D43" s="99"/>
      <c r="E43" s="124" t="s">
        <v>74</v>
      </c>
      <c r="F43" s="95">
        <f>1_B_MELLÉKLET!F28</f>
        <v>220223</v>
      </c>
    </row>
    <row r="44" spans="1:6" ht="26.25" customHeight="1">
      <c r="A44" s="126" t="s">
        <v>21</v>
      </c>
      <c r="B44" s="92" t="s">
        <v>44</v>
      </c>
      <c r="C44" s="90">
        <f>C45+C46</f>
        <v>405437</v>
      </c>
      <c r="D44" s="99"/>
      <c r="E44" s="124" t="s">
        <v>96</v>
      </c>
      <c r="F44" s="95">
        <f>1_B_MELLÉKLET!C29</f>
        <v>0</v>
      </c>
    </row>
    <row r="45" spans="1:6" ht="39.75" customHeight="1">
      <c r="A45" s="122"/>
      <c r="B45" s="100" t="s">
        <v>93</v>
      </c>
      <c r="C45" s="61">
        <f>1_B_MELLÉKLET!F12</f>
        <v>24000</v>
      </c>
      <c r="D45" s="99"/>
      <c r="E45" s="124" t="s">
        <v>76</v>
      </c>
      <c r="F45" s="61">
        <f>1_B_MELLÉKLET!C30</f>
        <v>0</v>
      </c>
    </row>
    <row r="46" spans="1:6" ht="43.5" customHeight="1">
      <c r="A46" s="122"/>
      <c r="B46" s="100" t="s">
        <v>46</v>
      </c>
      <c r="C46" s="95">
        <f>1_B_MELLÉKLET!F13</f>
        <v>381437</v>
      </c>
      <c r="D46" s="99"/>
      <c r="E46" s="124" t="s">
        <v>77</v>
      </c>
      <c r="F46" s="61">
        <f>1_B_MELLÉKLET!C31</f>
        <v>0</v>
      </c>
    </row>
    <row r="47" spans="1:6" ht="18">
      <c r="A47" s="119" t="s">
        <v>24</v>
      </c>
      <c r="B47" s="92" t="s">
        <v>94</v>
      </c>
      <c r="C47" s="90">
        <f>C39+C41+C44</f>
        <v>462437</v>
      </c>
      <c r="D47" s="99"/>
      <c r="E47" s="124" t="s">
        <v>78</v>
      </c>
      <c r="F47" s="95">
        <f>1_B_MELLÉKLET!F32</f>
        <v>86866</v>
      </c>
    </row>
    <row r="48" spans="1:6" ht="36">
      <c r="A48" s="119" t="s">
        <v>30</v>
      </c>
      <c r="B48" s="72" t="s">
        <v>88</v>
      </c>
      <c r="C48" s="120">
        <f>1_B_MELLÉKLET!F15</f>
        <v>73660</v>
      </c>
      <c r="D48" s="91" t="s">
        <v>15</v>
      </c>
      <c r="E48" s="121" t="s">
        <v>80</v>
      </c>
      <c r="F48" s="127">
        <f>1_B_MELLÉKLET!C34</f>
        <v>850</v>
      </c>
    </row>
    <row r="49" spans="1:6" ht="36">
      <c r="A49" s="119" t="s">
        <v>37</v>
      </c>
      <c r="B49" s="92" t="s">
        <v>53</v>
      </c>
      <c r="C49" s="90">
        <f>1_B_MELLÉKLET!F16</f>
        <v>370455</v>
      </c>
      <c r="D49" s="107"/>
      <c r="E49" s="124" t="s">
        <v>108</v>
      </c>
      <c r="F49" s="61">
        <f>1_B_MELLÉKLET!F35</f>
        <v>850</v>
      </c>
    </row>
    <row r="50" spans="1:6" ht="18">
      <c r="A50" s="125"/>
      <c r="B50" s="112" t="s">
        <v>95</v>
      </c>
      <c r="C50" s="102">
        <f>C49</f>
        <v>370455</v>
      </c>
      <c r="D50" s="107"/>
      <c r="E50" s="124"/>
      <c r="F50" s="61">
        <f>1_B_MELLÉKLET!C36</f>
        <v>0</v>
      </c>
    </row>
    <row r="51" spans="1:36" s="129" customFormat="1" ht="18">
      <c r="A51" s="60"/>
      <c r="B51" s="114" t="s">
        <v>57</v>
      </c>
      <c r="C51" s="102">
        <f>1_B_MELLÉKLET!F18</f>
        <v>930986</v>
      </c>
      <c r="D51" s="107"/>
      <c r="E51" s="128" t="s">
        <v>90</v>
      </c>
      <c r="F51" s="102">
        <f>1_B_MELLÉKLET!F37</f>
        <v>922040</v>
      </c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</row>
    <row r="52" spans="1:36" s="129" customFormat="1" ht="18">
      <c r="A52" s="130"/>
      <c r="B52" s="130"/>
      <c r="C52" s="130"/>
      <c r="D52" s="85"/>
      <c r="E52" s="131"/>
      <c r="F52" s="132">
        <f>C51-F51</f>
        <v>8946</v>
      </c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</row>
    <row r="53" spans="1:36" s="129" customFormat="1" ht="18">
      <c r="A53" s="130"/>
      <c r="B53" s="130"/>
      <c r="C53" s="130"/>
      <c r="D53" s="85"/>
      <c r="E53" s="131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</row>
    <row r="54" spans="1:36" s="129" customFormat="1" ht="18">
      <c r="A54" s="130"/>
      <c r="B54" s="130"/>
      <c r="C54" s="130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</row>
  </sheetData>
  <sheetProtection selectLockedCells="1" selectUnlockedCells="1"/>
  <mergeCells count="5">
    <mergeCell ref="A1:F1"/>
    <mergeCell ref="A3:F3"/>
    <mergeCell ref="A4:F4"/>
    <mergeCell ref="D5:E5"/>
    <mergeCell ref="A37:F37"/>
  </mergeCells>
  <printOptions/>
  <pageMargins left="0.75" right="0.75" top="1" bottom="1" header="0.5" footer="0.5118055555555555"/>
  <pageSetup horizontalDpi="300" verticalDpi="300" orientation="portrait" paperSize="9" scale="44" r:id="rId1"/>
  <headerFooter alignWithMargins="0">
    <oddHeader>&amp;R2. melléklet a 3/2018.(II.21.)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="65" zoomScaleNormal="65" zoomScaleSheetLayoutView="50" workbookViewId="0" topLeftCell="A1">
      <selection activeCell="E7" sqref="E7"/>
    </sheetView>
  </sheetViews>
  <sheetFormatPr defaultColWidth="8.421875" defaultRowHeight="12.75"/>
  <cols>
    <col min="1" max="1" width="9.00390625" style="133" customWidth="1"/>
    <col min="2" max="2" width="40.140625" style="133" customWidth="1"/>
    <col min="3" max="5" width="12.57421875" style="133" customWidth="1"/>
    <col min="6" max="6" width="14.28125" style="133" customWidth="1"/>
    <col min="7" max="16384" width="8.421875" style="133" customWidth="1"/>
  </cols>
  <sheetData>
    <row r="1" spans="1:6" ht="33" customHeight="1">
      <c r="A1" s="479" t="s">
        <v>109</v>
      </c>
      <c r="B1" s="479"/>
      <c r="C1" s="479"/>
      <c r="D1" s="479"/>
      <c r="E1" s="479"/>
      <c r="F1" s="479"/>
    </row>
    <row r="2" spans="1:7" ht="15.75" customHeight="1">
      <c r="A2" s="134"/>
      <c r="B2" s="134"/>
      <c r="C2" s="480"/>
      <c r="D2" s="480"/>
      <c r="E2" s="480" t="s">
        <v>110</v>
      </c>
      <c r="F2" s="480"/>
      <c r="G2" s="136"/>
    </row>
    <row r="3" spans="1:6" ht="63" customHeight="1">
      <c r="A3" s="481" t="s">
        <v>111</v>
      </c>
      <c r="B3" s="482" t="s">
        <v>112</v>
      </c>
      <c r="C3" s="483" t="s">
        <v>113</v>
      </c>
      <c r="D3" s="483"/>
      <c r="E3" s="483"/>
      <c r="F3" s="484" t="s">
        <v>114</v>
      </c>
    </row>
    <row r="4" spans="1:6" ht="72">
      <c r="A4" s="481"/>
      <c r="B4" s="482"/>
      <c r="C4" s="137" t="s">
        <v>115</v>
      </c>
      <c r="D4" s="137" t="s">
        <v>116</v>
      </c>
      <c r="E4" s="137" t="s">
        <v>117</v>
      </c>
      <c r="F4" s="484"/>
    </row>
    <row r="5" spans="1:6" ht="18">
      <c r="A5" s="138"/>
      <c r="B5" s="139" t="s">
        <v>118</v>
      </c>
      <c r="C5" s="139" t="s">
        <v>119</v>
      </c>
      <c r="D5" s="139" t="s">
        <v>120</v>
      </c>
      <c r="E5" s="139" t="s">
        <v>121</v>
      </c>
      <c r="F5" s="140" t="s">
        <v>122</v>
      </c>
    </row>
    <row r="6" spans="1:6" ht="29.25" customHeight="1">
      <c r="A6" s="141" t="s">
        <v>123</v>
      </c>
      <c r="B6" s="142" t="s">
        <v>124</v>
      </c>
      <c r="C6" s="143">
        <v>836</v>
      </c>
      <c r="D6" s="143">
        <v>850</v>
      </c>
      <c r="E6" s="143">
        <v>2456</v>
      </c>
      <c r="F6" s="144">
        <f>SUM(C6:E6)</f>
        <v>4142</v>
      </c>
    </row>
    <row r="7" spans="1:6" ht="18">
      <c r="A7" s="145" t="s">
        <v>125</v>
      </c>
      <c r="B7" s="146"/>
      <c r="C7" s="147"/>
      <c r="D7" s="147"/>
      <c r="E7" s="147"/>
      <c r="F7" s="148"/>
    </row>
    <row r="8" spans="1:6" ht="18">
      <c r="A8" s="145" t="s">
        <v>126</v>
      </c>
      <c r="B8" s="146"/>
      <c r="C8" s="147"/>
      <c r="D8" s="147"/>
      <c r="E8" s="147"/>
      <c r="F8" s="148"/>
    </row>
    <row r="9" spans="1:6" ht="18">
      <c r="A9" s="145" t="s">
        <v>127</v>
      </c>
      <c r="B9" s="146"/>
      <c r="C9" s="147"/>
      <c r="D9" s="147"/>
      <c r="E9" s="147"/>
      <c r="F9" s="148"/>
    </row>
    <row r="10" spans="1:6" ht="18">
      <c r="A10" s="149" t="s">
        <v>128</v>
      </c>
      <c r="B10" s="150"/>
      <c r="C10" s="151"/>
      <c r="D10" s="151"/>
      <c r="E10" s="151"/>
      <c r="F10" s="148"/>
    </row>
    <row r="11" spans="1:6" s="156" customFormat="1" ht="18">
      <c r="A11" s="152" t="s">
        <v>129</v>
      </c>
      <c r="B11" s="153" t="s">
        <v>130</v>
      </c>
      <c r="C11" s="154">
        <f>SUM(C6:C10)</f>
        <v>836</v>
      </c>
      <c r="D11" s="154">
        <f>SUM(D6:D10)</f>
        <v>850</v>
      </c>
      <c r="E11" s="154">
        <f>SUM(E6:E10)</f>
        <v>2456</v>
      </c>
      <c r="F11" s="155">
        <f>SUM(F6:F10)</f>
        <v>4142</v>
      </c>
    </row>
  </sheetData>
  <sheetProtection selectLockedCells="1" selectUnlockedCells="1"/>
  <mergeCells count="7">
    <mergeCell ref="A1:F1"/>
    <mergeCell ref="C2:D2"/>
    <mergeCell ref="E2:F2"/>
    <mergeCell ref="A3:A4"/>
    <mergeCell ref="B3:B4"/>
    <mergeCell ref="C3:E3"/>
    <mergeCell ref="F3:F4"/>
  </mergeCells>
  <printOptions/>
  <pageMargins left="0.7875" right="0.7875" top="1.0527777777777778" bottom="0.8861111111111111" header="0.7875" footer="0.7875"/>
  <pageSetup horizontalDpi="300" verticalDpi="300" orientation="portrait" paperSize="9" scale="57" r:id="rId1"/>
  <headerFooter alignWithMargins="0">
    <oddHeader>&amp;R&amp;"Times New Roman,Normál"&amp;12 3.  melléklet a 3/2018.(II.21.) sz.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69"/>
  <sheetViews>
    <sheetView view="pageBreakPreview" zoomScale="50" zoomScaleNormal="65" zoomScaleSheetLayoutView="50" workbookViewId="0" topLeftCell="B42">
      <selection activeCell="E34" sqref="E34"/>
    </sheetView>
  </sheetViews>
  <sheetFormatPr defaultColWidth="9.00390625" defaultRowHeight="12.75"/>
  <cols>
    <col min="1" max="1" width="21.28125" style="85" customWidth="1"/>
    <col min="2" max="2" width="78.7109375" style="85" customWidth="1"/>
    <col min="3" max="8" width="21.140625" style="85" customWidth="1"/>
    <col min="9" max="9" width="16.8515625" style="85" customWidth="1"/>
    <col min="10" max="10" width="25.140625" style="85" customWidth="1"/>
    <col min="11" max="11" width="21.421875" style="85" customWidth="1"/>
    <col min="12" max="12" width="20.57421875" style="85" customWidth="1"/>
    <col min="13" max="13" width="27.28125" style="85" customWidth="1"/>
    <col min="14" max="14" width="16.7109375" style="85" customWidth="1"/>
    <col min="15" max="15" width="11.57421875" style="85" customWidth="1"/>
    <col min="16" max="16" width="14.421875" style="85" customWidth="1"/>
    <col min="17" max="17" width="19.140625" style="85" customWidth="1"/>
    <col min="18" max="18" width="26.140625" style="85" customWidth="1"/>
    <col min="19" max="19" width="13.8515625" style="85" customWidth="1"/>
    <col min="20" max="20" width="13.28125" style="85" customWidth="1"/>
    <col min="21" max="16384" width="9.00390625" style="85" customWidth="1"/>
  </cols>
  <sheetData>
    <row r="1" spans="1:9" ht="18">
      <c r="A1" s="157" t="s">
        <v>131</v>
      </c>
      <c r="B1" s="158"/>
      <c r="C1" s="158"/>
      <c r="D1" s="158"/>
      <c r="E1" s="158"/>
      <c r="F1" s="158"/>
      <c r="G1" s="158"/>
      <c r="H1" s="158"/>
      <c r="I1" s="158"/>
    </row>
    <row r="2" spans="1:17" ht="95.25" customHeight="1">
      <c r="A2" s="129" t="s">
        <v>3</v>
      </c>
      <c r="B2" s="129" t="s">
        <v>132</v>
      </c>
      <c r="C2" s="8" t="s">
        <v>5</v>
      </c>
      <c r="D2" s="8" t="s">
        <v>397</v>
      </c>
      <c r="E2" s="11" t="s">
        <v>417</v>
      </c>
      <c r="F2" s="11" t="s">
        <v>363</v>
      </c>
      <c r="G2" s="11" t="s">
        <v>395</v>
      </c>
      <c r="H2" s="11" t="s">
        <v>396</v>
      </c>
      <c r="I2" s="159" t="s">
        <v>133</v>
      </c>
      <c r="J2" s="159" t="s">
        <v>134</v>
      </c>
      <c r="K2" s="160" t="s">
        <v>135</v>
      </c>
      <c r="L2" s="161" t="s">
        <v>136</v>
      </c>
      <c r="M2" s="160" t="s">
        <v>137</v>
      </c>
      <c r="N2" s="162"/>
      <c r="O2" s="162"/>
      <c r="P2" s="162"/>
      <c r="Q2" s="162"/>
    </row>
    <row r="3" spans="1:20" ht="18">
      <c r="A3" s="163" t="s">
        <v>7</v>
      </c>
      <c r="B3" s="129"/>
      <c r="C3" s="164"/>
      <c r="D3" s="164"/>
      <c r="E3" s="164"/>
      <c r="F3" s="164"/>
      <c r="G3" s="164">
        <f>C3+E3+F3</f>
        <v>0</v>
      </c>
      <c r="H3" s="164"/>
      <c r="I3" s="129"/>
      <c r="J3" s="164"/>
      <c r="K3" s="129"/>
      <c r="L3" s="165"/>
      <c r="M3" s="129"/>
      <c r="N3" s="162"/>
      <c r="O3" s="162"/>
      <c r="P3" s="162"/>
      <c r="Q3" s="162"/>
      <c r="R3" s="162"/>
      <c r="S3" s="162"/>
      <c r="T3" s="162"/>
    </row>
    <row r="4" spans="1:20" ht="18.75">
      <c r="A4" s="129"/>
      <c r="B4" s="129" t="s">
        <v>347</v>
      </c>
      <c r="C4" s="164">
        <v>12000</v>
      </c>
      <c r="D4" s="164">
        <v>12000</v>
      </c>
      <c r="E4" s="164">
        <v>5500</v>
      </c>
      <c r="F4" s="164">
        <f>D4+E4</f>
        <v>17500</v>
      </c>
      <c r="G4" s="164">
        <v>0</v>
      </c>
      <c r="H4" s="439">
        <f>G4/F4</f>
        <v>0</v>
      </c>
      <c r="I4" s="164">
        <v>9500</v>
      </c>
      <c r="J4" s="166">
        <v>8000</v>
      </c>
      <c r="K4" s="164">
        <v>9500</v>
      </c>
      <c r="L4" s="165"/>
      <c r="M4" s="129"/>
      <c r="N4" s="162">
        <f>J4+K4</f>
        <v>17500</v>
      </c>
      <c r="O4" s="162"/>
      <c r="P4" s="162"/>
      <c r="Q4" s="162"/>
      <c r="R4" s="162"/>
      <c r="S4" s="162"/>
      <c r="T4" s="162"/>
    </row>
    <row r="5" spans="1:20" ht="18.75">
      <c r="A5" s="129"/>
      <c r="B5" s="129" t="s">
        <v>138</v>
      </c>
      <c r="C5" s="164">
        <v>2500</v>
      </c>
      <c r="D5" s="164">
        <v>2500</v>
      </c>
      <c r="E5" s="164">
        <v>-2500</v>
      </c>
      <c r="F5" s="164">
        <f aca="true" t="shared" si="0" ref="F5:F15">D5+E5</f>
        <v>0</v>
      </c>
      <c r="G5" s="164"/>
      <c r="H5" s="439"/>
      <c r="I5" s="164"/>
      <c r="J5" s="164"/>
      <c r="K5" s="164"/>
      <c r="L5" s="165"/>
      <c r="M5" s="129"/>
      <c r="N5" s="162">
        <f aca="true" t="shared" si="1" ref="N5:N65">J5+K5</f>
        <v>0</v>
      </c>
      <c r="O5" s="162"/>
      <c r="P5" s="162"/>
      <c r="Q5" s="162"/>
      <c r="R5" s="162"/>
      <c r="S5" s="162"/>
      <c r="T5" s="162"/>
    </row>
    <row r="6" spans="1:20" ht="18.75">
      <c r="A6" s="129"/>
      <c r="B6" s="129" t="s">
        <v>139</v>
      </c>
      <c r="C6" s="164">
        <v>15000</v>
      </c>
      <c r="D6" s="164">
        <v>15000</v>
      </c>
      <c r="E6" s="164">
        <v>-15000</v>
      </c>
      <c r="F6" s="164">
        <f t="shared" si="0"/>
        <v>0</v>
      </c>
      <c r="G6" s="164"/>
      <c r="H6" s="439"/>
      <c r="I6" s="164">
        <v>0</v>
      </c>
      <c r="J6" s="164"/>
      <c r="K6" s="164">
        <v>0</v>
      </c>
      <c r="L6" s="129"/>
      <c r="M6" s="129"/>
      <c r="N6" s="162">
        <f t="shared" si="1"/>
        <v>0</v>
      </c>
      <c r="O6" s="162"/>
      <c r="P6" s="162"/>
      <c r="Q6" s="162"/>
      <c r="R6" s="162"/>
      <c r="S6" s="162"/>
      <c r="T6" s="162"/>
    </row>
    <row r="7" spans="1:20" ht="18.75">
      <c r="A7" s="167"/>
      <c r="B7" s="129" t="s">
        <v>140</v>
      </c>
      <c r="C7" s="164">
        <v>2700</v>
      </c>
      <c r="D7" s="164">
        <v>2700</v>
      </c>
      <c r="E7" s="164"/>
      <c r="F7" s="164">
        <f t="shared" si="0"/>
        <v>2700</v>
      </c>
      <c r="G7" s="164"/>
      <c r="H7" s="439">
        <f aca="true" t="shared" si="2" ref="H7:H65">G7/F7</f>
        <v>0</v>
      </c>
      <c r="I7" s="164">
        <v>2700</v>
      </c>
      <c r="J7" s="164"/>
      <c r="K7" s="164">
        <v>2700</v>
      </c>
      <c r="L7" s="129"/>
      <c r="M7" s="129"/>
      <c r="N7" s="162">
        <f t="shared" si="1"/>
        <v>2700</v>
      </c>
      <c r="O7" s="162"/>
      <c r="P7" s="162"/>
      <c r="Q7" s="162"/>
      <c r="R7" s="162"/>
      <c r="S7" s="162"/>
      <c r="T7" s="162"/>
    </row>
    <row r="8" spans="1:20" ht="36.75">
      <c r="A8" s="460"/>
      <c r="B8" s="159" t="s">
        <v>405</v>
      </c>
      <c r="C8" s="164"/>
      <c r="D8" s="164"/>
      <c r="E8" s="164">
        <v>1803</v>
      </c>
      <c r="F8" s="164">
        <v>1803</v>
      </c>
      <c r="G8" s="164">
        <v>1803</v>
      </c>
      <c r="H8" s="439"/>
      <c r="I8" s="164">
        <v>1803</v>
      </c>
      <c r="J8" s="164"/>
      <c r="K8" s="464">
        <v>1803</v>
      </c>
      <c r="L8" s="165"/>
      <c r="M8" s="129"/>
      <c r="N8" s="162">
        <f t="shared" si="1"/>
        <v>1803</v>
      </c>
      <c r="O8" s="162"/>
      <c r="P8" s="162"/>
      <c r="Q8" s="162"/>
      <c r="R8" s="162"/>
      <c r="S8" s="162"/>
      <c r="T8" s="162"/>
    </row>
    <row r="9" spans="1:20" s="168" customFormat="1" ht="36.75">
      <c r="A9"/>
      <c r="B9" s="159" t="s">
        <v>141</v>
      </c>
      <c r="C9" s="164">
        <v>2000</v>
      </c>
      <c r="D9" s="164">
        <v>2000</v>
      </c>
      <c r="E9" s="164">
        <v>-2000</v>
      </c>
      <c r="F9" s="164">
        <f t="shared" si="0"/>
        <v>0</v>
      </c>
      <c r="G9" s="164"/>
      <c r="H9" s="439"/>
      <c r="I9" s="164">
        <v>0</v>
      </c>
      <c r="J9" s="164"/>
      <c r="K9" s="164">
        <v>0</v>
      </c>
      <c r="L9" s="165"/>
      <c r="M9" s="129"/>
      <c r="N9" s="162">
        <f t="shared" si="1"/>
        <v>0</v>
      </c>
      <c r="O9" s="162"/>
      <c r="P9" s="162"/>
      <c r="Q9" s="162"/>
      <c r="R9" s="162"/>
      <c r="S9" s="162"/>
      <c r="T9" s="162"/>
    </row>
    <row r="10" spans="1:20" s="168" customFormat="1" ht="36.75">
      <c r="A10"/>
      <c r="B10" s="159" t="s">
        <v>142</v>
      </c>
      <c r="C10" s="164">
        <v>5000</v>
      </c>
      <c r="D10" s="164">
        <v>5000</v>
      </c>
      <c r="E10" s="164"/>
      <c r="F10" s="164">
        <f t="shared" si="0"/>
        <v>5000</v>
      </c>
      <c r="G10" s="164">
        <v>1841</v>
      </c>
      <c r="H10" s="439">
        <f t="shared" si="2"/>
        <v>0.3682</v>
      </c>
      <c r="I10" s="164">
        <v>5000</v>
      </c>
      <c r="J10" s="164"/>
      <c r="K10" s="164">
        <v>5000</v>
      </c>
      <c r="L10" s="169"/>
      <c r="M10" s="170"/>
      <c r="N10" s="162">
        <f t="shared" si="1"/>
        <v>5000</v>
      </c>
      <c r="O10" s="162"/>
      <c r="P10" s="162"/>
      <c r="Q10" s="162"/>
      <c r="R10" s="162"/>
      <c r="S10" s="162"/>
      <c r="T10" s="162"/>
    </row>
    <row r="11" spans="1:20" s="168" customFormat="1" ht="36.75">
      <c r="A11"/>
      <c r="B11" s="159" t="s">
        <v>393</v>
      </c>
      <c r="C11" s="164"/>
      <c r="D11" s="164">
        <v>372</v>
      </c>
      <c r="E11" s="164"/>
      <c r="F11" s="164">
        <f t="shared" si="0"/>
        <v>372</v>
      </c>
      <c r="G11" s="164">
        <v>373</v>
      </c>
      <c r="H11" s="439">
        <f t="shared" si="2"/>
        <v>1.0026881720430108</v>
      </c>
      <c r="I11" s="164">
        <v>372</v>
      </c>
      <c r="J11" s="164"/>
      <c r="K11" s="164">
        <v>372</v>
      </c>
      <c r="L11" s="169"/>
      <c r="M11" s="170"/>
      <c r="N11" s="162">
        <f t="shared" si="1"/>
        <v>372</v>
      </c>
      <c r="O11" s="162"/>
      <c r="P11" s="162"/>
      <c r="Q11" s="162"/>
      <c r="R11" s="162"/>
      <c r="S11" s="162"/>
      <c r="T11" s="162"/>
    </row>
    <row r="12" spans="1:20" s="168" customFormat="1" ht="18.75">
      <c r="A12"/>
      <c r="B12" s="159" t="s">
        <v>390</v>
      </c>
      <c r="C12" s="164"/>
      <c r="D12" s="164">
        <v>31600</v>
      </c>
      <c r="E12" s="164"/>
      <c r="F12" s="164">
        <f t="shared" si="0"/>
        <v>31600</v>
      </c>
      <c r="G12" s="164"/>
      <c r="H12" s="439">
        <f t="shared" si="2"/>
        <v>0</v>
      </c>
      <c r="I12" s="164">
        <v>1600</v>
      </c>
      <c r="J12" s="164">
        <v>30000</v>
      </c>
      <c r="K12" s="164">
        <v>1600</v>
      </c>
      <c r="L12" s="169"/>
      <c r="M12" s="170"/>
      <c r="N12" s="162">
        <f t="shared" si="1"/>
        <v>31600</v>
      </c>
      <c r="O12" s="162"/>
      <c r="P12" s="162"/>
      <c r="Q12" s="162"/>
      <c r="R12" s="162"/>
      <c r="S12" s="162"/>
      <c r="T12" s="162"/>
    </row>
    <row r="13" spans="1:20" s="168" customFormat="1" ht="36.75">
      <c r="A13"/>
      <c r="B13" s="159" t="s">
        <v>408</v>
      </c>
      <c r="C13" s="164"/>
      <c r="D13" s="164"/>
      <c r="E13" s="164">
        <v>155314</v>
      </c>
      <c r="F13" s="164">
        <f t="shared" si="0"/>
        <v>155314</v>
      </c>
      <c r="G13" s="164"/>
      <c r="H13" s="439"/>
      <c r="I13" s="164">
        <v>7766</v>
      </c>
      <c r="J13" s="164">
        <v>147548</v>
      </c>
      <c r="K13" s="164">
        <v>7766</v>
      </c>
      <c r="L13" s="169"/>
      <c r="M13" s="170"/>
      <c r="N13" s="162">
        <f t="shared" si="1"/>
        <v>155314</v>
      </c>
      <c r="O13" s="162"/>
      <c r="P13" s="162"/>
      <c r="Q13" s="162"/>
      <c r="R13" s="162"/>
      <c r="S13" s="162"/>
      <c r="T13" s="162"/>
    </row>
    <row r="14" spans="1:20" ht="18.75">
      <c r="A14" s="167"/>
      <c r="B14" s="159" t="s">
        <v>143</v>
      </c>
      <c r="C14" s="164">
        <v>5715</v>
      </c>
      <c r="D14" s="164">
        <v>5934</v>
      </c>
      <c r="E14" s="164"/>
      <c r="F14" s="164">
        <f t="shared" si="0"/>
        <v>5934</v>
      </c>
      <c r="G14" s="164"/>
      <c r="H14" s="439">
        <f t="shared" si="2"/>
        <v>0</v>
      </c>
      <c r="I14" s="164">
        <v>5934</v>
      </c>
      <c r="J14" s="164"/>
      <c r="K14" s="171">
        <v>5934</v>
      </c>
      <c r="L14" s="165"/>
      <c r="M14" s="129"/>
      <c r="N14" s="162">
        <f t="shared" si="1"/>
        <v>5934</v>
      </c>
      <c r="O14" s="162"/>
      <c r="P14" s="162"/>
      <c r="Q14" s="162"/>
      <c r="R14" s="162"/>
      <c r="S14" s="162"/>
      <c r="T14" s="162"/>
    </row>
    <row r="15" spans="1:20" s="174" customFormat="1" ht="18.75">
      <c r="A15"/>
      <c r="B15" s="159" t="s">
        <v>144</v>
      </c>
      <c r="C15" s="164">
        <v>5000</v>
      </c>
      <c r="D15" s="164">
        <v>5000</v>
      </c>
      <c r="E15" s="164">
        <v>-5000</v>
      </c>
      <c r="F15" s="164">
        <f t="shared" si="0"/>
        <v>0</v>
      </c>
      <c r="G15" s="164"/>
      <c r="H15" s="439"/>
      <c r="I15" s="164">
        <v>0</v>
      </c>
      <c r="J15" s="164"/>
      <c r="K15" s="171">
        <v>0</v>
      </c>
      <c r="L15" s="172"/>
      <c r="M15" s="173"/>
      <c r="N15" s="162">
        <f t="shared" si="1"/>
        <v>0</v>
      </c>
      <c r="O15" s="162"/>
      <c r="P15" s="162"/>
      <c r="Q15" s="162"/>
      <c r="R15" s="162"/>
      <c r="S15" s="162"/>
      <c r="T15" s="162"/>
    </row>
    <row r="16" spans="1:20" ht="27.75" customHeight="1">
      <c r="A16" s="163" t="s">
        <v>15</v>
      </c>
      <c r="B16" s="175" t="s">
        <v>145</v>
      </c>
      <c r="C16" s="176">
        <f>SUM(C3:C15)</f>
        <v>49915</v>
      </c>
      <c r="D16" s="176">
        <f aca="true" t="shared" si="3" ref="D16:M16">SUM(D3:D15)</f>
        <v>82106</v>
      </c>
      <c r="E16" s="176">
        <f t="shared" si="3"/>
        <v>138117</v>
      </c>
      <c r="F16" s="176">
        <f t="shared" si="3"/>
        <v>220223</v>
      </c>
      <c r="G16" s="176">
        <f t="shared" si="3"/>
        <v>4017</v>
      </c>
      <c r="H16" s="461">
        <f t="shared" si="2"/>
        <v>0.018240601572042884</v>
      </c>
      <c r="I16" s="176">
        <f t="shared" si="3"/>
        <v>34675</v>
      </c>
      <c r="J16" s="176">
        <f t="shared" si="3"/>
        <v>185548</v>
      </c>
      <c r="K16" s="176">
        <f t="shared" si="3"/>
        <v>34675</v>
      </c>
      <c r="L16" s="176">
        <f t="shared" si="3"/>
        <v>0</v>
      </c>
      <c r="M16" s="176">
        <f t="shared" si="3"/>
        <v>0</v>
      </c>
      <c r="N16" s="162">
        <f t="shared" si="1"/>
        <v>220223</v>
      </c>
      <c r="O16" s="162"/>
      <c r="P16" s="162"/>
      <c r="Q16" s="162"/>
      <c r="R16" s="162"/>
      <c r="S16" s="162"/>
      <c r="T16" s="162"/>
    </row>
    <row r="17" spans="1:20" s="174" customFormat="1" ht="33.75" customHeight="1">
      <c r="A17"/>
      <c r="B17" s="129" t="s">
        <v>146</v>
      </c>
      <c r="C17" s="164">
        <v>21000</v>
      </c>
      <c r="D17" s="164">
        <v>21000</v>
      </c>
      <c r="E17" s="164">
        <v>-21000</v>
      </c>
      <c r="F17" s="164">
        <f>D17+E17</f>
        <v>0</v>
      </c>
      <c r="G17" s="164"/>
      <c r="H17" s="439"/>
      <c r="I17" s="164">
        <v>0</v>
      </c>
      <c r="J17" s="164">
        <v>0</v>
      </c>
      <c r="K17" s="171">
        <v>0</v>
      </c>
      <c r="L17" s="177">
        <v>0</v>
      </c>
      <c r="M17" s="178"/>
      <c r="N17" s="162">
        <f t="shared" si="1"/>
        <v>0</v>
      </c>
      <c r="O17" s="162"/>
      <c r="P17" s="162"/>
      <c r="Q17" s="162"/>
      <c r="R17" s="162"/>
      <c r="S17" s="162"/>
      <c r="T17" s="162"/>
    </row>
    <row r="18" spans="1:20" s="174" customFormat="1" ht="33.75" customHeight="1">
      <c r="A18" s="179" t="s">
        <v>147</v>
      </c>
      <c r="B18" s="180" t="s">
        <v>148</v>
      </c>
      <c r="C18" s="181">
        <f>SUM(C17:C17)</f>
        <v>21000</v>
      </c>
      <c r="D18" s="181">
        <v>21000</v>
      </c>
      <c r="E18" s="181">
        <f aca="true" t="shared" si="4" ref="E18:K18">SUM(E17:E17)</f>
        <v>-21000</v>
      </c>
      <c r="F18" s="164">
        <f>D18+E18</f>
        <v>0</v>
      </c>
      <c r="G18" s="181"/>
      <c r="H18" s="439"/>
      <c r="I18" s="181">
        <f t="shared" si="4"/>
        <v>0</v>
      </c>
      <c r="J18" s="181">
        <f t="shared" si="4"/>
        <v>0</v>
      </c>
      <c r="K18" s="181">
        <f t="shared" si="4"/>
        <v>0</v>
      </c>
      <c r="L18" s="177"/>
      <c r="M18" s="178"/>
      <c r="N18" s="162">
        <f t="shared" si="1"/>
        <v>0</v>
      </c>
      <c r="O18" s="162"/>
      <c r="P18" s="162"/>
      <c r="Q18" s="162"/>
      <c r="R18" s="162"/>
      <c r="S18" s="162"/>
      <c r="T18" s="162"/>
    </row>
    <row r="19" spans="1:20" s="174" customFormat="1" ht="33.75" customHeight="1">
      <c r="A19" s="179"/>
      <c r="B19" s="129" t="s">
        <v>389</v>
      </c>
      <c r="C19" s="181"/>
      <c r="D19" s="181">
        <v>10000</v>
      </c>
      <c r="E19" s="181"/>
      <c r="F19" s="164">
        <f>D19+E19</f>
        <v>10000</v>
      </c>
      <c r="G19" s="164">
        <v>7829</v>
      </c>
      <c r="H19" s="439">
        <f t="shared" si="2"/>
        <v>0.7829</v>
      </c>
      <c r="I19" s="181">
        <v>10000</v>
      </c>
      <c r="J19" s="181"/>
      <c r="K19" s="178">
        <v>10000</v>
      </c>
      <c r="L19" s="177"/>
      <c r="M19" s="178"/>
      <c r="N19" s="162">
        <f t="shared" si="1"/>
        <v>10000</v>
      </c>
      <c r="O19" s="162"/>
      <c r="P19" s="162"/>
      <c r="Q19" s="162"/>
      <c r="R19" s="162"/>
      <c r="S19" s="162"/>
      <c r="T19" s="162"/>
    </row>
    <row r="20" spans="1:31" s="168" customFormat="1" ht="18.75">
      <c r="A20" s="182"/>
      <c r="B20" s="159" t="s">
        <v>149</v>
      </c>
      <c r="C20" s="183">
        <v>15000</v>
      </c>
      <c r="D20" s="183">
        <v>15000</v>
      </c>
      <c r="E20" s="183"/>
      <c r="F20" s="164">
        <f>D20+E20</f>
        <v>15000</v>
      </c>
      <c r="G20" s="164"/>
      <c r="H20" s="439">
        <f t="shared" si="2"/>
        <v>0</v>
      </c>
      <c r="I20" s="183">
        <v>15000</v>
      </c>
      <c r="J20" s="183">
        <v>0</v>
      </c>
      <c r="K20" s="171">
        <v>15000</v>
      </c>
      <c r="L20" s="183"/>
      <c r="M20" s="129"/>
      <c r="N20" s="162">
        <f t="shared" si="1"/>
        <v>15000</v>
      </c>
      <c r="O20" s="162"/>
      <c r="P20" s="162"/>
      <c r="Q20" s="162"/>
      <c r="R20" s="162"/>
      <c r="S20" s="162"/>
      <c r="T20" s="162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</row>
    <row r="21" spans="1:20" s="174" customFormat="1" ht="33.75" customHeight="1">
      <c r="A21" s="185" t="s">
        <v>150</v>
      </c>
      <c r="B21" s="186" t="s">
        <v>151</v>
      </c>
      <c r="C21" s="181">
        <f>SUM(C19:C20)</f>
        <v>15000</v>
      </c>
      <c r="D21" s="181">
        <f aca="true" t="shared" si="5" ref="D21:K21">SUM(D19:D20)</f>
        <v>25000</v>
      </c>
      <c r="E21" s="181">
        <f t="shared" si="5"/>
        <v>0</v>
      </c>
      <c r="F21" s="414">
        <f>D21+E21</f>
        <v>25000</v>
      </c>
      <c r="G21" s="181">
        <f t="shared" si="5"/>
        <v>7829</v>
      </c>
      <c r="H21" s="439">
        <f t="shared" si="2"/>
        <v>0.31316</v>
      </c>
      <c r="I21" s="181">
        <f t="shared" si="5"/>
        <v>25000</v>
      </c>
      <c r="J21" s="181">
        <f t="shared" si="5"/>
        <v>0</v>
      </c>
      <c r="K21" s="181">
        <f t="shared" si="5"/>
        <v>25000</v>
      </c>
      <c r="L21" s="178"/>
      <c r="M21" s="178"/>
      <c r="N21" s="162">
        <f t="shared" si="1"/>
        <v>25000</v>
      </c>
      <c r="O21" s="162"/>
      <c r="P21" s="162"/>
      <c r="Q21" s="162"/>
      <c r="R21" s="162"/>
      <c r="S21" s="162"/>
      <c r="T21" s="162"/>
    </row>
    <row r="22" spans="1:20" ht="18.75">
      <c r="A22" s="167"/>
      <c r="B22" s="129"/>
      <c r="C22" s="183"/>
      <c r="D22" s="183"/>
      <c r="E22" s="183"/>
      <c r="F22" s="183"/>
      <c r="G22" s="164">
        <f>C22+E22+F22</f>
        <v>0</v>
      </c>
      <c r="H22" s="439"/>
      <c r="I22" s="129"/>
      <c r="J22" s="129"/>
      <c r="K22" s="187"/>
      <c r="L22" s="165"/>
      <c r="M22" s="187"/>
      <c r="N22" s="162">
        <f t="shared" si="1"/>
        <v>0</v>
      </c>
      <c r="O22" s="162"/>
      <c r="P22" s="162"/>
      <c r="Q22" s="162"/>
      <c r="R22" s="162"/>
      <c r="S22" s="162"/>
      <c r="T22" s="162"/>
    </row>
    <row r="23" spans="1:256" ht="18.75">
      <c r="A23"/>
      <c r="B23"/>
      <c r="C23"/>
      <c r="D23"/>
      <c r="E23"/>
      <c r="F23"/>
      <c r="G23" s="164">
        <f>C23+E23+F23</f>
        <v>0</v>
      </c>
      <c r="H23" s="439"/>
      <c r="I23"/>
      <c r="J23"/>
      <c r="K23"/>
      <c r="L23"/>
      <c r="M23"/>
      <c r="N23" s="162">
        <f t="shared" si="1"/>
        <v>0</v>
      </c>
      <c r="O23" s="162"/>
      <c r="P23" s="162"/>
      <c r="Q23" s="162"/>
      <c r="R23" s="162"/>
      <c r="S23" s="162"/>
      <c r="T23" s="162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0" ht="26.25" customHeight="1">
      <c r="A24" s="188" t="s">
        <v>152</v>
      </c>
      <c r="B24" s="186" t="s">
        <v>153</v>
      </c>
      <c r="C24" s="178">
        <f>SUM(C22)</f>
        <v>0</v>
      </c>
      <c r="D24" s="178"/>
      <c r="E24" s="178"/>
      <c r="F24" s="178"/>
      <c r="G24" s="164">
        <f>C24+E24+F24</f>
        <v>0</v>
      </c>
      <c r="H24" s="439"/>
      <c r="I24" s="178">
        <f>SUM(I22)</f>
        <v>0</v>
      </c>
      <c r="J24" s="178">
        <f>SUM(J22)</f>
        <v>0</v>
      </c>
      <c r="K24" s="187"/>
      <c r="L24" s="165"/>
      <c r="M24" s="129"/>
      <c r="N24" s="162">
        <f t="shared" si="1"/>
        <v>0</v>
      </c>
      <c r="O24" s="162"/>
      <c r="P24" s="162"/>
      <c r="Q24" s="162"/>
      <c r="R24" s="162"/>
      <c r="S24" s="162"/>
      <c r="T24" s="162"/>
    </row>
    <row r="25" spans="1:20" ht="26.25" customHeight="1">
      <c r="A25" s="167"/>
      <c r="B25"/>
      <c r="C25"/>
      <c r="D25"/>
      <c r="E25"/>
      <c r="F25"/>
      <c r="G25" s="164">
        <f>C25+E25+F25</f>
        <v>0</v>
      </c>
      <c r="H25" s="439"/>
      <c r="I25"/>
      <c r="J25"/>
      <c r="K25"/>
      <c r="L25" s="165"/>
      <c r="M25" s="129"/>
      <c r="N25" s="162">
        <f t="shared" si="1"/>
        <v>0</v>
      </c>
      <c r="O25" s="162"/>
      <c r="P25" s="162"/>
      <c r="Q25" s="162"/>
      <c r="R25" s="162"/>
      <c r="S25" s="162"/>
      <c r="T25" s="162"/>
    </row>
    <row r="26" spans="1:20" ht="43.5" customHeight="1">
      <c r="A26" s="167"/>
      <c r="B26" s="159" t="s">
        <v>154</v>
      </c>
      <c r="C26" s="164">
        <v>110000</v>
      </c>
      <c r="D26" s="164">
        <v>110000</v>
      </c>
      <c r="E26" s="164">
        <v>-30000</v>
      </c>
      <c r="F26" s="164">
        <f>D26+E26</f>
        <v>80000</v>
      </c>
      <c r="G26" s="164"/>
      <c r="H26" s="439">
        <f t="shared" si="2"/>
        <v>0</v>
      </c>
      <c r="I26" s="164">
        <v>80000</v>
      </c>
      <c r="J26" s="164"/>
      <c r="K26" s="171">
        <v>80000</v>
      </c>
      <c r="L26" s="165">
        <v>0</v>
      </c>
      <c r="M26" s="129"/>
      <c r="N26" s="162">
        <f t="shared" si="1"/>
        <v>80000</v>
      </c>
      <c r="O26" s="162"/>
      <c r="P26" s="162"/>
      <c r="Q26" s="162"/>
      <c r="R26" s="162"/>
      <c r="S26" s="162"/>
      <c r="T26" s="162"/>
    </row>
    <row r="27" spans="1:20" ht="43.5" customHeight="1">
      <c r="A27" s="460"/>
      <c r="H27" s="439"/>
      <c r="I27" s="164"/>
      <c r="J27" s="164"/>
      <c r="K27" s="171"/>
      <c r="L27" s="165"/>
      <c r="M27" s="129"/>
      <c r="N27" s="162">
        <f t="shared" si="1"/>
        <v>0</v>
      </c>
      <c r="O27" s="162"/>
      <c r="P27" s="162"/>
      <c r="Q27" s="162"/>
      <c r="R27" s="162"/>
      <c r="S27" s="162"/>
      <c r="T27" s="162"/>
    </row>
    <row r="28" spans="1:20" s="184" customFormat="1" ht="57.75" customHeight="1">
      <c r="A28"/>
      <c r="B28" s="159" t="s">
        <v>155</v>
      </c>
      <c r="C28" s="164">
        <v>6000</v>
      </c>
      <c r="D28" s="164">
        <v>6000</v>
      </c>
      <c r="E28" s="164">
        <v>981</v>
      </c>
      <c r="F28" s="164">
        <f aca="true" t="shared" si="6" ref="F28:F44">D28+E28</f>
        <v>6981</v>
      </c>
      <c r="G28" s="164"/>
      <c r="H28" s="439">
        <f t="shared" si="2"/>
        <v>0</v>
      </c>
      <c r="I28" s="164">
        <v>6981</v>
      </c>
      <c r="J28" s="164"/>
      <c r="K28" s="171">
        <v>6981</v>
      </c>
      <c r="L28" s="189"/>
      <c r="M28" s="190"/>
      <c r="N28" s="162">
        <f t="shared" si="1"/>
        <v>6981</v>
      </c>
      <c r="O28" s="162"/>
      <c r="P28" s="162"/>
      <c r="Q28" s="162"/>
      <c r="R28" s="162"/>
      <c r="S28" s="162"/>
      <c r="T28" s="162"/>
    </row>
    <row r="29" spans="1:20" s="184" customFormat="1" ht="36.75" customHeight="1">
      <c r="A29" s="188"/>
      <c r="B29" s="159" t="s">
        <v>156</v>
      </c>
      <c r="C29" s="164">
        <v>1500</v>
      </c>
      <c r="D29" s="164">
        <v>1500</v>
      </c>
      <c r="E29" s="164"/>
      <c r="F29" s="164">
        <f t="shared" si="6"/>
        <v>1500</v>
      </c>
      <c r="G29" s="164"/>
      <c r="H29" s="439">
        <f t="shared" si="2"/>
        <v>0</v>
      </c>
      <c r="I29" s="164">
        <v>1500</v>
      </c>
      <c r="J29" s="164"/>
      <c r="K29" s="171">
        <v>1500</v>
      </c>
      <c r="L29" s="189"/>
      <c r="M29" s="164"/>
      <c r="N29" s="162">
        <f t="shared" si="1"/>
        <v>1500</v>
      </c>
      <c r="O29" s="162"/>
      <c r="P29" s="162"/>
      <c r="Q29" s="162"/>
      <c r="R29" s="162"/>
      <c r="S29" s="162"/>
      <c r="T29" s="162"/>
    </row>
    <row r="30" spans="1:20" ht="42.75" customHeight="1">
      <c r="A30" s="167"/>
      <c r="B30" s="159" t="s">
        <v>157</v>
      </c>
      <c r="C30" s="164">
        <v>15000</v>
      </c>
      <c r="D30" s="164">
        <v>15000</v>
      </c>
      <c r="E30" s="164"/>
      <c r="F30" s="164">
        <f t="shared" si="6"/>
        <v>15000</v>
      </c>
      <c r="G30" s="164"/>
      <c r="H30" s="439">
        <f t="shared" si="2"/>
        <v>0</v>
      </c>
      <c r="I30" s="164">
        <v>15000</v>
      </c>
      <c r="J30" s="164"/>
      <c r="K30" s="171">
        <v>15000</v>
      </c>
      <c r="L30" s="165"/>
      <c r="M30" s="129"/>
      <c r="N30" s="162">
        <f t="shared" si="1"/>
        <v>15000</v>
      </c>
      <c r="O30" s="162"/>
      <c r="P30" s="162"/>
      <c r="Q30" s="162"/>
      <c r="R30" s="162"/>
      <c r="S30" s="162"/>
      <c r="T30" s="162"/>
    </row>
    <row r="31" spans="1:20" s="184" customFormat="1" ht="24.75" customHeight="1">
      <c r="A31" s="188"/>
      <c r="B31" s="159" t="s">
        <v>158</v>
      </c>
      <c r="C31" s="164">
        <v>2000</v>
      </c>
      <c r="D31" s="164">
        <v>2000</v>
      </c>
      <c r="E31" s="164"/>
      <c r="F31" s="164">
        <f t="shared" si="6"/>
        <v>2000</v>
      </c>
      <c r="G31" s="164"/>
      <c r="H31" s="439">
        <f t="shared" si="2"/>
        <v>0</v>
      </c>
      <c r="I31" s="164">
        <v>2000</v>
      </c>
      <c r="J31" s="164"/>
      <c r="K31" s="171">
        <v>2000</v>
      </c>
      <c r="L31" s="190"/>
      <c r="M31" s="190"/>
      <c r="N31" s="162">
        <f t="shared" si="1"/>
        <v>2000</v>
      </c>
      <c r="O31" s="162"/>
      <c r="P31" s="162"/>
      <c r="Q31" s="162"/>
      <c r="R31" s="162"/>
      <c r="S31" s="162"/>
      <c r="T31" s="162"/>
    </row>
    <row r="32" spans="1:31" s="191" customFormat="1" ht="21.75" customHeight="1">
      <c r="A32"/>
      <c r="B32" s="159" t="s">
        <v>159</v>
      </c>
      <c r="C32" s="164">
        <v>450</v>
      </c>
      <c r="D32" s="164">
        <v>450</v>
      </c>
      <c r="E32" s="164"/>
      <c r="F32" s="164">
        <f t="shared" si="6"/>
        <v>450</v>
      </c>
      <c r="G32" s="164"/>
      <c r="H32" s="439">
        <f t="shared" si="2"/>
        <v>0</v>
      </c>
      <c r="I32" s="164">
        <v>450</v>
      </c>
      <c r="J32" s="164"/>
      <c r="K32" s="171">
        <v>450</v>
      </c>
      <c r="L32" s="129"/>
      <c r="M32" s="129"/>
      <c r="N32" s="162">
        <f t="shared" si="1"/>
        <v>450</v>
      </c>
      <c r="O32" s="162"/>
      <c r="P32" s="162"/>
      <c r="Q32" s="162"/>
      <c r="R32" s="162"/>
      <c r="S32" s="162"/>
      <c r="T32" s="162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</row>
    <row r="33" spans="1:31" s="194" customFormat="1" ht="42.75" customHeight="1">
      <c r="A33" s="192"/>
      <c r="B33" s="159" t="s">
        <v>160</v>
      </c>
      <c r="C33" s="164">
        <v>1200</v>
      </c>
      <c r="D33" s="164">
        <v>1200</v>
      </c>
      <c r="E33" s="164"/>
      <c r="F33" s="164">
        <f t="shared" si="6"/>
        <v>1200</v>
      </c>
      <c r="G33" s="164"/>
      <c r="H33" s="439">
        <f t="shared" si="2"/>
        <v>0</v>
      </c>
      <c r="I33" s="164">
        <v>1200</v>
      </c>
      <c r="J33" s="164"/>
      <c r="K33" s="171">
        <v>1200</v>
      </c>
      <c r="L33" s="193"/>
      <c r="M33" s="180"/>
      <c r="N33" s="162">
        <f t="shared" si="1"/>
        <v>1200</v>
      </c>
      <c r="O33" s="162"/>
      <c r="P33" s="162"/>
      <c r="Q33" s="162"/>
      <c r="R33" s="162"/>
      <c r="S33" s="162"/>
      <c r="T33" s="162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</row>
    <row r="34" spans="1:31" s="168" customFormat="1" ht="30.75" customHeight="1">
      <c r="A34" s="182"/>
      <c r="B34" s="159" t="s">
        <v>161</v>
      </c>
      <c r="C34" s="164">
        <v>198300</v>
      </c>
      <c r="D34" s="164">
        <v>205825</v>
      </c>
      <c r="E34" s="164">
        <v>40000</v>
      </c>
      <c r="F34" s="164">
        <f t="shared" si="6"/>
        <v>245825</v>
      </c>
      <c r="G34" s="164">
        <v>6089</v>
      </c>
      <c r="H34" s="439">
        <f t="shared" si="2"/>
        <v>0.02476965320858334</v>
      </c>
      <c r="I34" s="164">
        <v>57045</v>
      </c>
      <c r="J34" s="164">
        <v>188780</v>
      </c>
      <c r="K34" s="171">
        <v>57045</v>
      </c>
      <c r="L34" s="193"/>
      <c r="M34" s="129"/>
      <c r="N34" s="162">
        <f t="shared" si="1"/>
        <v>245825</v>
      </c>
      <c r="O34" s="162"/>
      <c r="P34" s="162"/>
      <c r="Q34" s="162"/>
      <c r="R34" s="162"/>
      <c r="S34" s="162"/>
      <c r="T34" s="162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</row>
    <row r="35" spans="1:20" ht="23.25" customHeight="1">
      <c r="A35" s="185"/>
      <c r="B35" s="159" t="s">
        <v>162</v>
      </c>
      <c r="C35" s="193">
        <v>200609</v>
      </c>
      <c r="D35" s="193">
        <v>200609</v>
      </c>
      <c r="E35" s="193"/>
      <c r="F35" s="164">
        <f t="shared" si="6"/>
        <v>200609</v>
      </c>
      <c r="G35" s="164">
        <v>7369</v>
      </c>
      <c r="H35" s="439">
        <f t="shared" si="2"/>
        <v>0.03673314756566256</v>
      </c>
      <c r="I35" s="164">
        <v>193500</v>
      </c>
      <c r="J35" s="164">
        <v>7109</v>
      </c>
      <c r="K35" s="171">
        <v>193500</v>
      </c>
      <c r="L35" s="129"/>
      <c r="M35" s="129"/>
      <c r="N35" s="162">
        <f t="shared" si="1"/>
        <v>200609</v>
      </c>
      <c r="O35" s="162"/>
      <c r="P35" s="162"/>
      <c r="Q35" s="162"/>
      <c r="R35" s="162"/>
      <c r="S35" s="162"/>
      <c r="T35" s="162"/>
    </row>
    <row r="36" spans="1:20" ht="39" customHeight="1">
      <c r="A36" s="129"/>
      <c r="B36" s="159" t="s">
        <v>163</v>
      </c>
      <c r="C36" s="164">
        <v>8500</v>
      </c>
      <c r="D36" s="164">
        <v>8500</v>
      </c>
      <c r="E36" s="164"/>
      <c r="F36" s="164">
        <f t="shared" si="6"/>
        <v>8500</v>
      </c>
      <c r="G36" s="164">
        <v>1057</v>
      </c>
      <c r="H36" s="439">
        <f t="shared" si="2"/>
        <v>0.12435294117647058</v>
      </c>
      <c r="I36" s="164">
        <v>8500</v>
      </c>
      <c r="J36" s="164"/>
      <c r="K36" s="171">
        <v>8500</v>
      </c>
      <c r="L36" s="164"/>
      <c r="M36" s="195"/>
      <c r="N36" s="162">
        <f t="shared" si="1"/>
        <v>8500</v>
      </c>
      <c r="O36" s="162"/>
      <c r="P36" s="162"/>
      <c r="Q36" s="162"/>
      <c r="R36" s="162"/>
      <c r="S36" s="162"/>
      <c r="T36" s="162"/>
    </row>
    <row r="37" spans="1:20" ht="35.25" customHeight="1">
      <c r="A37" s="185"/>
      <c r="B37" s="159" t="s">
        <v>164</v>
      </c>
      <c r="C37" s="164">
        <v>5000</v>
      </c>
      <c r="D37" s="164">
        <v>5000</v>
      </c>
      <c r="E37" s="164"/>
      <c r="F37" s="164">
        <f t="shared" si="6"/>
        <v>5000</v>
      </c>
      <c r="G37" s="164"/>
      <c r="H37" s="439">
        <f t="shared" si="2"/>
        <v>0</v>
      </c>
      <c r="I37" s="164">
        <v>5000</v>
      </c>
      <c r="J37" s="164"/>
      <c r="K37" s="171">
        <v>5000</v>
      </c>
      <c r="L37" s="164"/>
      <c r="M37" s="195"/>
      <c r="N37" s="162">
        <f t="shared" si="1"/>
        <v>5000</v>
      </c>
      <c r="O37" s="162"/>
      <c r="P37" s="162"/>
      <c r="Q37" s="162"/>
      <c r="R37" s="162"/>
      <c r="S37" s="162"/>
      <c r="T37" s="162"/>
    </row>
    <row r="38" spans="1:20" ht="35.25" customHeight="1">
      <c r="A38" s="185"/>
      <c r="B38" s="159" t="s">
        <v>165</v>
      </c>
      <c r="C38" s="164">
        <v>1600</v>
      </c>
      <c r="D38" s="164">
        <v>1600</v>
      </c>
      <c r="E38" s="164"/>
      <c r="F38" s="164">
        <f t="shared" si="6"/>
        <v>1600</v>
      </c>
      <c r="G38" s="164"/>
      <c r="H38" s="439">
        <f t="shared" si="2"/>
        <v>0</v>
      </c>
      <c r="I38" s="164">
        <v>1600</v>
      </c>
      <c r="J38" s="164"/>
      <c r="K38" s="171">
        <v>1600</v>
      </c>
      <c r="L38" s="164"/>
      <c r="M38" s="195"/>
      <c r="N38" s="162">
        <f t="shared" si="1"/>
        <v>1600</v>
      </c>
      <c r="O38" s="162"/>
      <c r="P38" s="162"/>
      <c r="Q38" s="162"/>
      <c r="R38" s="162"/>
      <c r="S38" s="162"/>
      <c r="T38" s="162"/>
    </row>
    <row r="39" spans="1:20" ht="35.25" customHeight="1">
      <c r="A39" s="185"/>
      <c r="B39" s="159" t="s">
        <v>166</v>
      </c>
      <c r="C39" s="164">
        <v>1000</v>
      </c>
      <c r="D39" s="164">
        <v>1000</v>
      </c>
      <c r="E39" s="164"/>
      <c r="F39" s="164">
        <f t="shared" si="6"/>
        <v>1000</v>
      </c>
      <c r="G39" s="164"/>
      <c r="H39" s="439">
        <f t="shared" si="2"/>
        <v>0</v>
      </c>
      <c r="I39" s="164">
        <v>1000</v>
      </c>
      <c r="J39" s="164"/>
      <c r="K39" s="171">
        <v>1000</v>
      </c>
      <c r="L39" s="164"/>
      <c r="M39" s="195"/>
      <c r="N39" s="162">
        <f t="shared" si="1"/>
        <v>1000</v>
      </c>
      <c r="O39" s="162"/>
      <c r="P39" s="162"/>
      <c r="Q39" s="162"/>
      <c r="R39" s="162"/>
      <c r="S39" s="162"/>
      <c r="T39" s="162"/>
    </row>
    <row r="40" spans="1:20" ht="35.25" customHeight="1">
      <c r="A40" s="185"/>
      <c r="B40" s="159"/>
      <c r="C40" s="164"/>
      <c r="D40" s="164"/>
      <c r="E40" s="164"/>
      <c r="F40" s="164"/>
      <c r="G40" s="164"/>
      <c r="H40" s="439"/>
      <c r="I40" s="164"/>
      <c r="J40" s="164"/>
      <c r="K40" s="171"/>
      <c r="L40" s="164"/>
      <c r="M40" s="195"/>
      <c r="N40" s="162">
        <f t="shared" si="1"/>
        <v>0</v>
      </c>
      <c r="O40" s="162"/>
      <c r="P40" s="162"/>
      <c r="Q40" s="162"/>
      <c r="R40" s="162"/>
      <c r="S40" s="162"/>
      <c r="T40" s="162"/>
    </row>
    <row r="41" spans="1:20" ht="35.25" customHeight="1">
      <c r="A41" s="185"/>
      <c r="B41" s="159" t="s">
        <v>392</v>
      </c>
      <c r="C41" s="164"/>
      <c r="D41" s="164">
        <v>83</v>
      </c>
      <c r="E41" s="164"/>
      <c r="F41" s="164">
        <f t="shared" si="6"/>
        <v>83</v>
      </c>
      <c r="G41" s="164">
        <v>633</v>
      </c>
      <c r="H41" s="439">
        <f t="shared" si="2"/>
        <v>7.626506024096385</v>
      </c>
      <c r="I41" s="164">
        <v>83</v>
      </c>
      <c r="J41" s="164"/>
      <c r="K41" s="171">
        <v>83</v>
      </c>
      <c r="L41" s="164"/>
      <c r="M41" s="195"/>
      <c r="N41" s="162">
        <f t="shared" si="1"/>
        <v>83</v>
      </c>
      <c r="O41" s="162"/>
      <c r="P41" s="162"/>
      <c r="Q41" s="162"/>
      <c r="R41" s="162"/>
      <c r="S41" s="162"/>
      <c r="T41" s="162"/>
    </row>
    <row r="42" spans="1:20" ht="35.25" customHeight="1">
      <c r="A42" s="164"/>
      <c r="B42" s="195" t="s">
        <v>404</v>
      </c>
      <c r="C42" s="164"/>
      <c r="D42" s="164">
        <v>209</v>
      </c>
      <c r="E42" s="195"/>
      <c r="F42" s="164">
        <f t="shared" si="6"/>
        <v>209</v>
      </c>
      <c r="G42" s="164">
        <v>459</v>
      </c>
      <c r="H42" s="439">
        <f t="shared" si="2"/>
        <v>2.1961722488038276</v>
      </c>
      <c r="I42" s="164">
        <v>209</v>
      </c>
      <c r="J42" s="164"/>
      <c r="K42" s="164">
        <v>209</v>
      </c>
      <c r="L42" s="195"/>
      <c r="M42" s="164"/>
      <c r="N42" s="162">
        <f t="shared" si="1"/>
        <v>209</v>
      </c>
      <c r="O42" s="162"/>
      <c r="P42" s="162"/>
      <c r="Q42" s="162"/>
      <c r="R42" s="162"/>
      <c r="S42" s="162"/>
      <c r="T42" s="162"/>
    </row>
    <row r="43" spans="1:20" ht="35.25" customHeight="1">
      <c r="A43" s="164"/>
      <c r="B43" s="195" t="s">
        <v>394</v>
      </c>
      <c r="C43" s="164"/>
      <c r="D43" s="164">
        <v>235</v>
      </c>
      <c r="E43" s="195"/>
      <c r="F43" s="164">
        <f t="shared" si="6"/>
        <v>235</v>
      </c>
      <c r="G43" s="164">
        <v>235</v>
      </c>
      <c r="H43" s="439">
        <f t="shared" si="2"/>
        <v>1</v>
      </c>
      <c r="I43" s="164">
        <v>235</v>
      </c>
      <c r="J43" s="195"/>
      <c r="K43" s="164">
        <v>235</v>
      </c>
      <c r="L43" s="195"/>
      <c r="M43" s="164"/>
      <c r="N43" s="162">
        <f t="shared" si="1"/>
        <v>235</v>
      </c>
      <c r="O43" s="162"/>
      <c r="P43" s="162"/>
      <c r="Q43" s="162"/>
      <c r="R43" s="162"/>
      <c r="S43" s="162"/>
      <c r="T43" s="162"/>
    </row>
    <row r="44" spans="1:20" ht="18.75">
      <c r="A44" s="185"/>
      <c r="B44" s="159"/>
      <c r="C44" s="164"/>
      <c r="D44" s="164"/>
      <c r="E44" s="164"/>
      <c r="F44" s="164">
        <f t="shared" si="6"/>
        <v>0</v>
      </c>
      <c r="G44" s="164"/>
      <c r="H44" s="439"/>
      <c r="I44" s="164"/>
      <c r="J44" s="164"/>
      <c r="K44" s="171"/>
      <c r="L44" s="164"/>
      <c r="M44" s="195"/>
      <c r="N44" s="162">
        <f t="shared" si="1"/>
        <v>0</v>
      </c>
      <c r="O44" s="162"/>
      <c r="P44" s="162"/>
      <c r="Q44" s="162"/>
      <c r="R44" s="162"/>
      <c r="S44" s="162"/>
      <c r="T44" s="162"/>
    </row>
    <row r="45" spans="1:20" ht="18.75">
      <c r="A45" s="185" t="s">
        <v>167</v>
      </c>
      <c r="B45" s="186" t="s">
        <v>168</v>
      </c>
      <c r="C45" s="414">
        <f aca="true" t="shared" si="7" ref="C45:M45">SUM(C25:C44)</f>
        <v>551159</v>
      </c>
      <c r="D45" s="414">
        <f t="shared" si="7"/>
        <v>559211</v>
      </c>
      <c r="E45" s="414">
        <f t="shared" si="7"/>
        <v>10981</v>
      </c>
      <c r="F45" s="414">
        <f t="shared" si="7"/>
        <v>570192</v>
      </c>
      <c r="G45" s="414">
        <f t="shared" si="7"/>
        <v>15842</v>
      </c>
      <c r="H45" s="439">
        <f t="shared" si="2"/>
        <v>0.02778362376182058</v>
      </c>
      <c r="I45" s="414">
        <f t="shared" si="7"/>
        <v>374303</v>
      </c>
      <c r="J45" s="414">
        <f t="shared" si="7"/>
        <v>195889</v>
      </c>
      <c r="K45" s="414">
        <f t="shared" si="7"/>
        <v>374303</v>
      </c>
      <c r="L45" s="414">
        <f t="shared" si="7"/>
        <v>0</v>
      </c>
      <c r="M45" s="414">
        <f t="shared" si="7"/>
        <v>0</v>
      </c>
      <c r="N45" s="162">
        <f t="shared" si="1"/>
        <v>570192</v>
      </c>
      <c r="O45" s="162"/>
      <c r="P45" s="162"/>
      <c r="Q45" s="162"/>
      <c r="R45" s="162"/>
      <c r="S45" s="162"/>
      <c r="T45" s="162"/>
    </row>
    <row r="46" spans="1:20" ht="24.75" customHeight="1">
      <c r="A46" s="185"/>
      <c r="B46" s="159" t="s">
        <v>169</v>
      </c>
      <c r="C46" s="164">
        <v>7000</v>
      </c>
      <c r="D46" s="164">
        <v>7000</v>
      </c>
      <c r="E46" s="164"/>
      <c r="F46" s="164">
        <f>D46+E46</f>
        <v>7000</v>
      </c>
      <c r="G46" s="164"/>
      <c r="H46" s="439">
        <f t="shared" si="2"/>
        <v>0</v>
      </c>
      <c r="I46" s="164">
        <v>7000</v>
      </c>
      <c r="J46" s="159"/>
      <c r="K46" s="171">
        <v>7000</v>
      </c>
      <c r="L46" s="159"/>
      <c r="M46" s="159"/>
      <c r="N46" s="162">
        <f t="shared" si="1"/>
        <v>7000</v>
      </c>
      <c r="O46" s="162"/>
      <c r="P46" s="162"/>
      <c r="Q46" s="162"/>
      <c r="R46" s="162"/>
      <c r="S46" s="162"/>
      <c r="T46" s="162"/>
    </row>
    <row r="47" spans="1:20" ht="55.5" customHeight="1">
      <c r="A47" s="185"/>
      <c r="B47" s="159" t="s">
        <v>170</v>
      </c>
      <c r="C47" s="164">
        <v>850</v>
      </c>
      <c r="D47" s="164">
        <v>850</v>
      </c>
      <c r="E47" s="164"/>
      <c r="F47" s="164">
        <f aca="true" t="shared" si="8" ref="F47:F54">D47+E47</f>
        <v>850</v>
      </c>
      <c r="G47" s="164">
        <v>266</v>
      </c>
      <c r="H47" s="439">
        <f t="shared" si="2"/>
        <v>0.3129411764705882</v>
      </c>
      <c r="I47" s="164">
        <v>850</v>
      </c>
      <c r="J47" s="159"/>
      <c r="K47" s="171">
        <v>850</v>
      </c>
      <c r="L47" s="159"/>
      <c r="M47" s="159"/>
      <c r="N47" s="162">
        <f t="shared" si="1"/>
        <v>850</v>
      </c>
      <c r="O47" s="162"/>
      <c r="P47" s="162"/>
      <c r="Q47" s="162"/>
      <c r="R47" s="162"/>
      <c r="S47" s="162"/>
      <c r="T47" s="162"/>
    </row>
    <row r="48" spans="1:20" ht="55.5" customHeight="1">
      <c r="A48" s="185"/>
      <c r="B48" s="159" t="s">
        <v>406</v>
      </c>
      <c r="C48" s="164"/>
      <c r="D48" s="164"/>
      <c r="E48" s="164"/>
      <c r="F48" s="164"/>
      <c r="G48" s="164">
        <f>702+69+76</f>
        <v>847</v>
      </c>
      <c r="H48" s="439"/>
      <c r="I48" s="164"/>
      <c r="J48" s="159"/>
      <c r="K48" s="171"/>
      <c r="L48" s="159"/>
      <c r="M48" s="159"/>
      <c r="N48" s="162">
        <f t="shared" si="1"/>
        <v>0</v>
      </c>
      <c r="O48" s="162"/>
      <c r="P48" s="162"/>
      <c r="Q48" s="162"/>
      <c r="R48" s="162"/>
      <c r="S48" s="162"/>
      <c r="T48" s="162"/>
    </row>
    <row r="49" spans="1:20" ht="69.75" customHeight="1">
      <c r="A49" s="185"/>
      <c r="B49" s="159" t="s">
        <v>171</v>
      </c>
      <c r="C49" s="164">
        <v>3000</v>
      </c>
      <c r="D49" s="164">
        <v>3000</v>
      </c>
      <c r="E49" s="164"/>
      <c r="F49" s="164">
        <f t="shared" si="8"/>
        <v>3000</v>
      </c>
      <c r="G49" s="164">
        <f>54</f>
        <v>54</v>
      </c>
      <c r="H49" s="439">
        <f t="shared" si="2"/>
        <v>0.018</v>
      </c>
      <c r="I49" s="164">
        <v>3000</v>
      </c>
      <c r="J49" s="159"/>
      <c r="K49" s="171">
        <v>3000</v>
      </c>
      <c r="L49" s="159"/>
      <c r="M49" s="159"/>
      <c r="N49" s="162">
        <f t="shared" si="1"/>
        <v>3000</v>
      </c>
      <c r="O49" s="162"/>
      <c r="P49" s="162"/>
      <c r="Q49" s="162"/>
      <c r="R49" s="162"/>
      <c r="S49" s="162"/>
      <c r="T49" s="162"/>
    </row>
    <row r="50" spans="1:20" ht="41.25" customHeight="1">
      <c r="A50" s="185"/>
      <c r="B50" s="159" t="s">
        <v>172</v>
      </c>
      <c r="C50" s="164">
        <v>3000</v>
      </c>
      <c r="D50" s="164">
        <v>3000</v>
      </c>
      <c r="E50" s="164"/>
      <c r="F50" s="164">
        <f t="shared" si="8"/>
        <v>3000</v>
      </c>
      <c r="G50" s="164"/>
      <c r="H50" s="439">
        <f t="shared" si="2"/>
        <v>0</v>
      </c>
      <c r="I50" s="164">
        <v>3000</v>
      </c>
      <c r="J50" s="159"/>
      <c r="K50" s="171">
        <v>3000</v>
      </c>
      <c r="L50" s="159"/>
      <c r="M50" s="159"/>
      <c r="N50" s="162">
        <f t="shared" si="1"/>
        <v>3000</v>
      </c>
      <c r="O50" s="162"/>
      <c r="P50" s="162"/>
      <c r="Q50" s="162"/>
      <c r="R50" s="162"/>
      <c r="S50" s="162"/>
      <c r="T50" s="162"/>
    </row>
    <row r="51" spans="1:20" ht="24.75" customHeight="1">
      <c r="A51" s="185"/>
      <c r="B51" s="159" t="s">
        <v>173</v>
      </c>
      <c r="C51" s="164">
        <v>3225</v>
      </c>
      <c r="D51" s="164">
        <v>3225</v>
      </c>
      <c r="E51" s="164"/>
      <c r="F51" s="164">
        <f t="shared" si="8"/>
        <v>3225</v>
      </c>
      <c r="G51" s="164"/>
      <c r="H51" s="439">
        <f t="shared" si="2"/>
        <v>0</v>
      </c>
      <c r="I51" s="164">
        <v>3225</v>
      </c>
      <c r="J51" s="159"/>
      <c r="K51" s="171">
        <v>3225</v>
      </c>
      <c r="L51" s="159"/>
      <c r="M51" s="159"/>
      <c r="N51" s="162">
        <f t="shared" si="1"/>
        <v>3225</v>
      </c>
      <c r="O51" s="162"/>
      <c r="P51" s="162"/>
      <c r="Q51" s="162"/>
      <c r="R51" s="162"/>
      <c r="S51" s="162"/>
      <c r="T51" s="162"/>
    </row>
    <row r="52" spans="1:20" ht="21.75" customHeight="1">
      <c r="A52" s="185"/>
      <c r="B52" s="159" t="s">
        <v>174</v>
      </c>
      <c r="C52" s="164">
        <v>1230</v>
      </c>
      <c r="D52" s="164">
        <v>1230</v>
      </c>
      <c r="E52" s="164"/>
      <c r="F52" s="164">
        <f t="shared" si="8"/>
        <v>1230</v>
      </c>
      <c r="G52" s="164">
        <v>734</v>
      </c>
      <c r="H52" s="439">
        <f t="shared" si="2"/>
        <v>0.5967479674796748</v>
      </c>
      <c r="I52" s="164">
        <v>1230</v>
      </c>
      <c r="J52" s="159"/>
      <c r="K52" s="171">
        <v>1230</v>
      </c>
      <c r="L52" s="159"/>
      <c r="M52" s="159"/>
      <c r="N52" s="162">
        <f t="shared" si="1"/>
        <v>1230</v>
      </c>
      <c r="O52" s="162"/>
      <c r="P52" s="162"/>
      <c r="Q52" s="162"/>
      <c r="R52" s="162"/>
      <c r="S52" s="162"/>
      <c r="T52" s="162"/>
    </row>
    <row r="53" spans="1:20" ht="57" customHeight="1">
      <c r="A53" s="185"/>
      <c r="B53" s="159" t="s">
        <v>391</v>
      </c>
      <c r="C53" s="164"/>
      <c r="D53" s="164">
        <v>328</v>
      </c>
      <c r="E53" s="164"/>
      <c r="F53" s="164">
        <f t="shared" si="8"/>
        <v>328</v>
      </c>
      <c r="G53" s="164">
        <v>548</v>
      </c>
      <c r="H53" s="439">
        <f t="shared" si="2"/>
        <v>1.670731707317073</v>
      </c>
      <c r="I53" s="164">
        <v>328</v>
      </c>
      <c r="J53" s="159"/>
      <c r="K53" s="159">
        <v>328</v>
      </c>
      <c r="L53" s="159"/>
      <c r="M53" s="159"/>
      <c r="N53" s="162">
        <f t="shared" si="1"/>
        <v>328</v>
      </c>
      <c r="O53" s="162"/>
      <c r="P53" s="162"/>
      <c r="Q53" s="162"/>
      <c r="R53" s="162"/>
      <c r="S53" s="162"/>
      <c r="T53" s="162"/>
    </row>
    <row r="54" spans="1:20" ht="18.75">
      <c r="A54" s="129"/>
      <c r="B54" s="129"/>
      <c r="C54" s="164"/>
      <c r="D54" s="164"/>
      <c r="E54" s="164"/>
      <c r="F54" s="164">
        <f t="shared" si="8"/>
        <v>0</v>
      </c>
      <c r="G54" s="164">
        <f>C54+E54+F54</f>
        <v>0</v>
      </c>
      <c r="H54" s="439"/>
      <c r="I54" s="164"/>
      <c r="J54" s="129"/>
      <c r="K54" s="129"/>
      <c r="L54" s="193"/>
      <c r="M54" s="129"/>
      <c r="N54" s="162">
        <f t="shared" si="1"/>
        <v>0</v>
      </c>
      <c r="O54" s="162"/>
      <c r="P54" s="162"/>
      <c r="Q54" s="162"/>
      <c r="R54" s="162"/>
      <c r="S54" s="162"/>
      <c r="T54" s="162"/>
    </row>
    <row r="55" spans="1:20" ht="18.75">
      <c r="A55" s="185" t="s">
        <v>175</v>
      </c>
      <c r="B55" s="180" t="s">
        <v>176</v>
      </c>
      <c r="C55" s="190">
        <f aca="true" t="shared" si="9" ref="C55:M55">SUM(C46:C54)</f>
        <v>18305</v>
      </c>
      <c r="D55" s="190">
        <f t="shared" si="9"/>
        <v>18633</v>
      </c>
      <c r="E55" s="190">
        <f t="shared" si="9"/>
        <v>0</v>
      </c>
      <c r="F55" s="190">
        <f t="shared" si="9"/>
        <v>18633</v>
      </c>
      <c r="G55" s="190">
        <f t="shared" si="9"/>
        <v>2449</v>
      </c>
      <c r="H55" s="439">
        <f t="shared" si="2"/>
        <v>0.13143347823753557</v>
      </c>
      <c r="I55" s="190">
        <f t="shared" si="9"/>
        <v>18633</v>
      </c>
      <c r="J55" s="190">
        <f t="shared" si="9"/>
        <v>0</v>
      </c>
      <c r="K55" s="190">
        <f t="shared" si="9"/>
        <v>18633</v>
      </c>
      <c r="L55" s="190">
        <f t="shared" si="9"/>
        <v>0</v>
      </c>
      <c r="M55" s="190">
        <f t="shared" si="9"/>
        <v>0</v>
      </c>
      <c r="N55" s="162">
        <f t="shared" si="1"/>
        <v>18633</v>
      </c>
      <c r="O55" s="162"/>
      <c r="P55" s="162"/>
      <c r="Q55" s="162"/>
      <c r="R55" s="162"/>
      <c r="S55" s="162"/>
      <c r="T55" s="162"/>
    </row>
    <row r="56" spans="1:20" ht="18.75">
      <c r="A56" s="185"/>
      <c r="B56" s="159"/>
      <c r="C56" s="164"/>
      <c r="D56" s="164"/>
      <c r="E56" s="164"/>
      <c r="F56" s="164"/>
      <c r="G56" s="164">
        <f>C56+E56+F56</f>
        <v>0</v>
      </c>
      <c r="H56" s="462"/>
      <c r="I56" s="164"/>
      <c r="J56" s="164"/>
      <c r="K56" s="164"/>
      <c r="L56" s="164"/>
      <c r="M56" s="195"/>
      <c r="N56" s="162">
        <f t="shared" si="1"/>
        <v>0</v>
      </c>
      <c r="O56" s="162"/>
      <c r="P56" s="162"/>
      <c r="Q56" s="162"/>
      <c r="R56" s="162"/>
      <c r="S56" s="162"/>
      <c r="T56" s="162"/>
    </row>
    <row r="57" spans="1:20" ht="18.75">
      <c r="A57" s="175" t="s">
        <v>21</v>
      </c>
      <c r="B57" s="175" t="s">
        <v>177</v>
      </c>
      <c r="C57" s="196">
        <f aca="true" t="shared" si="10" ref="C57:M57">SUM(C18+C21+C24+C45+C55)</f>
        <v>605464</v>
      </c>
      <c r="D57" s="196">
        <f t="shared" si="10"/>
        <v>623844</v>
      </c>
      <c r="E57" s="196">
        <f t="shared" si="10"/>
        <v>-10019</v>
      </c>
      <c r="F57" s="196">
        <f t="shared" si="10"/>
        <v>613825</v>
      </c>
      <c r="G57" s="196">
        <f t="shared" si="10"/>
        <v>26120</v>
      </c>
      <c r="H57" s="462">
        <f t="shared" si="2"/>
        <v>0.04255284486620779</v>
      </c>
      <c r="I57" s="196">
        <f t="shared" si="10"/>
        <v>417936</v>
      </c>
      <c r="J57" s="196">
        <f t="shared" si="10"/>
        <v>195889</v>
      </c>
      <c r="K57" s="196">
        <f t="shared" si="10"/>
        <v>417936</v>
      </c>
      <c r="L57" s="196">
        <f t="shared" si="10"/>
        <v>0</v>
      </c>
      <c r="M57" s="196">
        <f t="shared" si="10"/>
        <v>0</v>
      </c>
      <c r="N57" s="162">
        <f t="shared" si="1"/>
        <v>613825</v>
      </c>
      <c r="O57" s="162"/>
      <c r="P57" s="162"/>
      <c r="Q57" s="162"/>
      <c r="R57" s="162"/>
      <c r="S57" s="162"/>
      <c r="T57" s="162"/>
    </row>
    <row r="58" spans="1:20" ht="18.75">
      <c r="A58" s="129"/>
      <c r="G58" s="164">
        <f>C58+E58+F58</f>
        <v>0</v>
      </c>
      <c r="H58" s="439"/>
      <c r="J58" s="180"/>
      <c r="K58" s="183"/>
      <c r="L58" s="129"/>
      <c r="M58" s="129"/>
      <c r="N58" s="162">
        <f t="shared" si="1"/>
        <v>0</v>
      </c>
      <c r="O58" s="162"/>
      <c r="P58" s="162"/>
      <c r="Q58" s="162"/>
      <c r="R58" s="162"/>
      <c r="S58" s="162"/>
      <c r="T58" s="162"/>
    </row>
    <row r="59" spans="1:20" ht="18.75">
      <c r="A59"/>
      <c r="B59" s="197" t="s">
        <v>178</v>
      </c>
      <c r="C59" s="176"/>
      <c r="D59" s="176"/>
      <c r="E59" s="176"/>
      <c r="F59" s="176"/>
      <c r="G59" s="176">
        <f>C59+E59+F59</f>
        <v>0</v>
      </c>
      <c r="H59" s="439"/>
      <c r="I59" s="176"/>
      <c r="J59" s="176">
        <f>SUM(J58:J58)</f>
        <v>0</v>
      </c>
      <c r="K59" s="176">
        <f>SUM(K58:K58)</f>
        <v>0</v>
      </c>
      <c r="L59" s="176">
        <f>SUM(L58:L58)</f>
        <v>0</v>
      </c>
      <c r="M59" s="176">
        <f>SUM(M58:M58)</f>
        <v>0</v>
      </c>
      <c r="N59" s="162">
        <f t="shared" si="1"/>
        <v>0</v>
      </c>
      <c r="O59" s="162"/>
      <c r="P59" s="162"/>
      <c r="Q59" s="162"/>
      <c r="R59" s="162"/>
      <c r="S59" s="162"/>
      <c r="T59" s="162"/>
    </row>
    <row r="60" spans="1:20" ht="18.75">
      <c r="A60" s="129"/>
      <c r="B60" s="198" t="s">
        <v>179</v>
      </c>
      <c r="C60" s="199">
        <f aca="true" t="shared" si="11" ref="C60:M60">C16+C57+C59</f>
        <v>655379</v>
      </c>
      <c r="D60" s="199">
        <f t="shared" si="11"/>
        <v>705950</v>
      </c>
      <c r="E60" s="199">
        <f t="shared" si="11"/>
        <v>128098</v>
      </c>
      <c r="F60" s="199">
        <f t="shared" si="11"/>
        <v>834048</v>
      </c>
      <c r="G60" s="199">
        <f t="shared" si="11"/>
        <v>30137</v>
      </c>
      <c r="H60" s="439">
        <f t="shared" si="2"/>
        <v>0.03613341198588091</v>
      </c>
      <c r="I60" s="199">
        <f t="shared" si="11"/>
        <v>452611</v>
      </c>
      <c r="J60" s="199">
        <f t="shared" si="11"/>
        <v>381437</v>
      </c>
      <c r="K60" s="199">
        <f t="shared" si="11"/>
        <v>452611</v>
      </c>
      <c r="L60" s="199">
        <f t="shared" si="11"/>
        <v>0</v>
      </c>
      <c r="M60" s="199">
        <f t="shared" si="11"/>
        <v>0</v>
      </c>
      <c r="N60" s="162">
        <f t="shared" si="1"/>
        <v>834048</v>
      </c>
      <c r="O60" s="162"/>
      <c r="P60" s="162"/>
      <c r="Q60" s="162"/>
      <c r="R60" s="162"/>
      <c r="S60" s="162"/>
      <c r="T60" s="162"/>
    </row>
    <row r="61" spans="1:20" ht="18.75">
      <c r="A61" s="129"/>
      <c r="B61" s="129"/>
      <c r="C61" s="200"/>
      <c r="D61" s="200"/>
      <c r="E61" s="200"/>
      <c r="F61" s="200"/>
      <c r="G61" s="164">
        <f>C61+E61+F61</f>
        <v>0</v>
      </c>
      <c r="H61" s="439"/>
      <c r="I61"/>
      <c r="J61" s="180"/>
      <c r="N61" s="162">
        <f t="shared" si="1"/>
        <v>0</v>
      </c>
      <c r="O61" s="162"/>
      <c r="P61" s="162"/>
      <c r="Q61" s="162"/>
      <c r="R61" s="162"/>
      <c r="S61" s="162"/>
      <c r="T61" s="162"/>
    </row>
    <row r="62" spans="1:20" ht="18.75">
      <c r="A62" s="129"/>
      <c r="B62" s="129"/>
      <c r="C62" s="200"/>
      <c r="D62" s="200"/>
      <c r="E62" s="200"/>
      <c r="F62" s="200"/>
      <c r="G62" s="164">
        <f>C62+E62+F62</f>
        <v>0</v>
      </c>
      <c r="H62" s="439"/>
      <c r="I62" s="180"/>
      <c r="J62" s="180"/>
      <c r="K62" s="129"/>
      <c r="L62" s="129"/>
      <c r="M62" s="129"/>
      <c r="N62" s="162">
        <f t="shared" si="1"/>
        <v>0</v>
      </c>
      <c r="O62" s="162"/>
      <c r="P62" s="162"/>
      <c r="Q62" s="162"/>
      <c r="R62" s="162"/>
      <c r="S62" s="162"/>
      <c r="T62" s="162"/>
    </row>
    <row r="63" spans="1:20" ht="18.75">
      <c r="A63" s="129"/>
      <c r="B63" s="129"/>
      <c r="C63" s="200"/>
      <c r="D63" s="200"/>
      <c r="E63" s="200"/>
      <c r="F63" s="200"/>
      <c r="G63" s="164">
        <f>C63+E63+F63</f>
        <v>0</v>
      </c>
      <c r="H63" s="439"/>
      <c r="I63" s="180"/>
      <c r="J63" s="180"/>
      <c r="K63" s="200"/>
      <c r="L63" s="200"/>
      <c r="M63" s="129"/>
      <c r="N63" s="162">
        <f t="shared" si="1"/>
        <v>0</v>
      </c>
      <c r="O63" s="162"/>
      <c r="P63" s="162"/>
      <c r="Q63" s="162"/>
      <c r="R63" s="162"/>
      <c r="S63" s="162"/>
      <c r="T63" s="162"/>
    </row>
    <row r="64" spans="1:20" ht="18.75">
      <c r="A64" s="129"/>
      <c r="B64" s="129"/>
      <c r="C64" s="200"/>
      <c r="D64" s="200"/>
      <c r="E64" s="200"/>
      <c r="F64" s="200"/>
      <c r="G64" s="164">
        <f>C64+E64+F64</f>
        <v>0</v>
      </c>
      <c r="H64" s="439"/>
      <c r="I64" s="180"/>
      <c r="J64" s="180"/>
      <c r="K64" s="201"/>
      <c r="L64" s="201"/>
      <c r="M64" s="129"/>
      <c r="N64" s="162">
        <f t="shared" si="1"/>
        <v>0</v>
      </c>
      <c r="O64" s="162"/>
      <c r="P64" s="162"/>
      <c r="Q64" s="162"/>
      <c r="R64" s="162"/>
      <c r="S64" s="162"/>
      <c r="T64" s="162"/>
    </row>
    <row r="65" spans="1:20" ht="18.75">
      <c r="A65" s="202" t="s">
        <v>24</v>
      </c>
      <c r="B65" s="203" t="s">
        <v>180</v>
      </c>
      <c r="C65" s="204">
        <f aca="true" t="shared" si="12" ref="C65:M65">SUM(C60:C64)</f>
        <v>655379</v>
      </c>
      <c r="D65" s="204">
        <f t="shared" si="12"/>
        <v>705950</v>
      </c>
      <c r="E65" s="204">
        <f t="shared" si="12"/>
        <v>128098</v>
      </c>
      <c r="F65" s="204">
        <f t="shared" si="12"/>
        <v>834048</v>
      </c>
      <c r="G65" s="204">
        <f t="shared" si="12"/>
        <v>30137</v>
      </c>
      <c r="H65" s="467">
        <f t="shared" si="2"/>
        <v>0.03613341198588091</v>
      </c>
      <c r="I65" s="204">
        <f t="shared" si="12"/>
        <v>452611</v>
      </c>
      <c r="J65" s="204">
        <f t="shared" si="12"/>
        <v>381437</v>
      </c>
      <c r="K65" s="204">
        <f t="shared" si="12"/>
        <v>452611</v>
      </c>
      <c r="L65" s="204">
        <f t="shared" si="12"/>
        <v>0</v>
      </c>
      <c r="M65" s="204">
        <f t="shared" si="12"/>
        <v>0</v>
      </c>
      <c r="N65" s="162">
        <f t="shared" si="1"/>
        <v>834048</v>
      </c>
      <c r="O65" s="162"/>
      <c r="P65" s="162"/>
      <c r="Q65" s="162"/>
      <c r="R65" s="162"/>
      <c r="S65" s="162"/>
      <c r="T65" s="162"/>
    </row>
    <row r="66" spans="10:15" ht="24.75" customHeight="1">
      <c r="J66" s="85">
        <f>SUM(I65:J65)</f>
        <v>834048</v>
      </c>
      <c r="M66" s="205"/>
      <c r="N66" s="162"/>
      <c r="O66" s="162"/>
    </row>
    <row r="69" ht="18">
      <c r="C69" s="85">
        <f>C65-C68</f>
        <v>655379</v>
      </c>
    </row>
  </sheetData>
  <sheetProtection selectLockedCells="1" selectUnlockedCells="1"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8" scale="35" r:id="rId1"/>
  <headerFooter alignWithMargins="0">
    <oddHeader>&amp;R 4. melléklet a 3/2018.(II.21.)önkormányzati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2"/>
  <sheetViews>
    <sheetView zoomScale="65" zoomScaleNormal="65" zoomScaleSheetLayoutView="50" workbookViewId="0" topLeftCell="A1">
      <selection activeCell="C10" sqref="C10"/>
    </sheetView>
  </sheetViews>
  <sheetFormatPr defaultColWidth="9.140625" defaultRowHeight="12.75"/>
  <cols>
    <col min="1" max="1" width="9.421875" style="206" customWidth="1"/>
    <col min="2" max="2" width="72.140625" style="206" customWidth="1"/>
    <col min="3" max="3" width="20.140625" style="206" customWidth="1"/>
    <col min="4" max="16384" width="9.140625" style="206" customWidth="1"/>
  </cols>
  <sheetData>
    <row r="1" spans="1:3" ht="56.25" customHeight="1">
      <c r="A1" s="479" t="s">
        <v>181</v>
      </c>
      <c r="B1" s="479"/>
      <c r="C1" s="479"/>
    </row>
    <row r="2" spans="1:4" ht="34.5" customHeight="1">
      <c r="A2" s="134"/>
      <c r="B2" s="134"/>
      <c r="C2" s="135" t="s">
        <v>110</v>
      </c>
      <c r="D2" s="207"/>
    </row>
    <row r="3" spans="1:3" ht="36.75" customHeight="1">
      <c r="A3" s="208" t="s">
        <v>111</v>
      </c>
      <c r="B3" s="209" t="s">
        <v>182</v>
      </c>
      <c r="C3" s="210" t="s">
        <v>183</v>
      </c>
    </row>
    <row r="4" spans="1:3" ht="18">
      <c r="A4" s="211"/>
      <c r="B4" s="212" t="s">
        <v>118</v>
      </c>
      <c r="C4" s="213" t="s">
        <v>119</v>
      </c>
    </row>
    <row r="5" spans="1:3" ht="41.25" customHeight="1">
      <c r="A5" s="214" t="s">
        <v>123</v>
      </c>
      <c r="B5" s="215" t="s">
        <v>184</v>
      </c>
      <c r="C5" s="216">
        <f>'1.melléklet'!C21</f>
        <v>221700</v>
      </c>
    </row>
    <row r="6" spans="1:3" ht="78.75" customHeight="1">
      <c r="A6" s="217" t="s">
        <v>125</v>
      </c>
      <c r="B6" s="218" t="s">
        <v>185</v>
      </c>
      <c r="C6" s="219">
        <v>70169</v>
      </c>
    </row>
    <row r="7" spans="1:3" ht="32.25" customHeight="1">
      <c r="A7" s="217" t="s">
        <v>126</v>
      </c>
      <c r="B7" s="220" t="s">
        <v>186</v>
      </c>
      <c r="C7" s="219"/>
    </row>
    <row r="8" spans="1:3" ht="71.25" customHeight="1">
      <c r="A8" s="217" t="s">
        <v>127</v>
      </c>
      <c r="B8" s="220" t="s">
        <v>187</v>
      </c>
      <c r="C8" s="219"/>
    </row>
    <row r="9" spans="1:3" ht="30.75" customHeight="1">
      <c r="A9" s="221" t="s">
        <v>128</v>
      </c>
      <c r="B9" s="220" t="s">
        <v>188</v>
      </c>
      <c r="C9" s="222">
        <f>'1.melléklet'!C24</f>
        <v>3510</v>
      </c>
    </row>
    <row r="10" spans="1:3" ht="53.25" customHeight="1">
      <c r="A10" s="217" t="s">
        <v>129</v>
      </c>
      <c r="B10" s="223" t="s">
        <v>189</v>
      </c>
      <c r="C10" s="219"/>
    </row>
    <row r="11" spans="1:3" ht="27.75" customHeight="1">
      <c r="A11" s="485" t="s">
        <v>190</v>
      </c>
      <c r="B11" s="485"/>
      <c r="C11" s="224">
        <f>SUM(C5:C10)</f>
        <v>295379</v>
      </c>
    </row>
    <row r="12" spans="1:3" ht="67.5" customHeight="1">
      <c r="A12" s="486" t="s">
        <v>191</v>
      </c>
      <c r="B12" s="486"/>
      <c r="C12" s="486"/>
    </row>
  </sheetData>
  <sheetProtection selectLockedCells="1" selectUnlockedCells="1"/>
  <mergeCells count="3">
    <mergeCell ref="A1:C1"/>
    <mergeCell ref="A11:B11"/>
    <mergeCell ref="A12:C12"/>
  </mergeCells>
  <printOptions/>
  <pageMargins left="0.75" right="0.75" top="1" bottom="1" header="0.5" footer="0.5118055555555555"/>
  <pageSetup horizontalDpi="300" verticalDpi="300" orientation="portrait" paperSize="9" scale="86" r:id="rId1"/>
  <headerFooter alignWithMargins="0">
    <oddHeader>&amp;R5. melléklet a 3/2018.(II.21.)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Edit</cp:lastModifiedBy>
  <cp:lastPrinted>2018-09-05T08:28:07Z</cp:lastPrinted>
  <dcterms:created xsi:type="dcterms:W3CDTF">2018-02-08T12:05:38Z</dcterms:created>
  <dcterms:modified xsi:type="dcterms:W3CDTF">2018-09-05T09:02:06Z</dcterms:modified>
  <cp:category/>
  <cp:version/>
  <cp:contentType/>
  <cp:contentStatus/>
</cp:coreProperties>
</file>