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nkormanyzati-iroda\Testület\2020. május 29\Költségvetési rendelet módosítása\"/>
    </mc:Choice>
  </mc:AlternateContent>
  <xr:revisionPtr revIDLastSave="0" documentId="13_ncr:1_{10EBB691-7D63-4094-A4C9-BD00EFF37521}" xr6:coauthVersionLast="45" xr6:coauthVersionMax="45" xr10:uidLastSave="{00000000-0000-0000-0000-000000000000}"/>
  <bookViews>
    <workbookView xWindow="-120" yWindow="-120" windowWidth="29040" windowHeight="15840" tabRatio="847" xr2:uid="{00000000-000D-0000-FFFF-FFFF00000000}"/>
  </bookViews>
  <sheets>
    <sheet name="1. m. bevételek" sheetId="249" r:id="rId1"/>
    <sheet name="2. m. kiadások" sheetId="250" r:id="rId2"/>
    <sheet name="2.a KÖH részletező" sheetId="251" r:id="rId3"/>
    <sheet name="3. m. létszám" sheetId="224" r:id="rId4"/>
    <sheet name="4. melléklet" sheetId="252" r:id="rId5"/>
    <sheet name="5.a melléklet-hitelek" sheetId="214" r:id="rId6"/>
    <sheet name="5.b melléklet-kezességv." sheetId="219" r:id="rId7"/>
    <sheet name="5.c melléklet-szerződések-KÖH" sheetId="248" r:id="rId8"/>
    <sheet name="5.c melléklet-szerződések-Önk" sheetId="247" r:id="rId9"/>
    <sheet name="6. melléklet" sheetId="220" r:id="rId10"/>
    <sheet name="7. melléklet" sheetId="221" r:id="rId11"/>
    <sheet name="8. melléklet" sheetId="253" r:id="rId12"/>
    <sheet name="8.a melléklet" sheetId="254" r:id="rId13"/>
    <sheet name="9. melléklet" sheetId="228" r:id="rId14"/>
    <sheet name="10. melléklet EU-s" sheetId="238" r:id="rId15"/>
  </sheets>
  <definedNames>
    <definedName name="_xlnm.Print_Titles" localSheetId="0">'1. m. bevételek'!$5:$7</definedName>
    <definedName name="_xlnm.Print_Titles" localSheetId="1">'2. m. kiadások'!$5:$7</definedName>
    <definedName name="_xlnm.Print_Titles" localSheetId="2">'2.a KÖH részletező'!$5:$5</definedName>
    <definedName name="_xlnm.Print_Titles" localSheetId="8">'5.c melléklet-szerződések-Önk'!$1:$8</definedName>
    <definedName name="_xlnm.Print_Area" localSheetId="0">'1. m. bevételek'!$A$1:$K$219</definedName>
    <definedName name="_xlnm.Print_Area" localSheetId="14">'10. melléklet EU-s'!$A$1:$F$192</definedName>
    <definedName name="_xlnm.Print_Area" localSheetId="1">'2. m. kiadások'!$A$1:$K$336</definedName>
    <definedName name="_xlnm.Print_Area" localSheetId="2">'2.a KÖH részletező'!$A$1:$S$11</definedName>
    <definedName name="_xlnm.Print_Area" localSheetId="4">'4. melléklet'!$A$1:$K$31</definedName>
    <definedName name="_xlnm.Print_Area" localSheetId="6">'5.b melléklet-kezességv.'!$A$1:$K$13</definedName>
    <definedName name="_xlnm.Print_Area" localSheetId="7">'5.c melléklet-szerződések-KÖH'!$A$1:$E$80</definedName>
    <definedName name="_xlnm.Print_Area" localSheetId="8">'5.c melléklet-szerződések-Önk'!$A$1:$E$192</definedName>
    <definedName name="_xlnm.Print_Area" localSheetId="9">'6. melléklet'!#REF!</definedName>
    <definedName name="_xlnm.Print_Area" localSheetId="11">'8. melléklet'!$A$1:$O$39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254" l="1"/>
  <c r="L7" i="254"/>
  <c r="P8" i="254"/>
  <c r="J9" i="254"/>
  <c r="L9" i="254"/>
  <c r="K10" i="254"/>
  <c r="L10" i="254"/>
  <c r="E11" i="254"/>
  <c r="F11" i="254"/>
  <c r="G11" i="254"/>
  <c r="H11" i="254"/>
  <c r="M11" i="254"/>
  <c r="N11" i="254"/>
  <c r="O11" i="254"/>
  <c r="H8" i="253"/>
  <c r="N8" i="253"/>
  <c r="J9" i="253"/>
  <c r="K9" i="253"/>
  <c r="N9" i="253"/>
  <c r="E10" i="253"/>
  <c r="J10" i="253"/>
  <c r="K10" i="253"/>
  <c r="O11" i="253"/>
  <c r="H12" i="253"/>
  <c r="O12" i="253" s="1"/>
  <c r="C13" i="253"/>
  <c r="D13" i="253"/>
  <c r="F13" i="253"/>
  <c r="G13" i="253"/>
  <c r="H13" i="253"/>
  <c r="I13" i="253"/>
  <c r="J13" i="253"/>
  <c r="L13" i="253"/>
  <c r="M13" i="253"/>
  <c r="E14" i="253"/>
  <c r="E13" i="253" s="1"/>
  <c r="E17" i="253" s="1"/>
  <c r="F14" i="253"/>
  <c r="K14" i="253"/>
  <c r="K13" i="253" s="1"/>
  <c r="N14" i="253"/>
  <c r="N13" i="253" s="1"/>
  <c r="O15" i="253"/>
  <c r="O16" i="253"/>
  <c r="C17" i="253"/>
  <c r="C20" i="253" s="1"/>
  <c r="D17" i="253"/>
  <c r="D20" i="253" s="1"/>
  <c r="F17" i="253"/>
  <c r="F20" i="253" s="1"/>
  <c r="G17" i="253"/>
  <c r="H17" i="253"/>
  <c r="H20" i="253" s="1"/>
  <c r="I17" i="253"/>
  <c r="J17" i="253"/>
  <c r="J20" i="253" s="1"/>
  <c r="L17" i="253"/>
  <c r="L20" i="253" s="1"/>
  <c r="M17" i="253"/>
  <c r="C18" i="253"/>
  <c r="O18" i="253" s="1"/>
  <c r="G20" i="253"/>
  <c r="I20" i="253"/>
  <c r="G23" i="253"/>
  <c r="H23" i="253"/>
  <c r="H28" i="253" s="1"/>
  <c r="H34" i="253" s="1"/>
  <c r="H36" i="253" s="1"/>
  <c r="I23" i="253"/>
  <c r="G24" i="253"/>
  <c r="H24" i="253"/>
  <c r="O24" i="253" s="1"/>
  <c r="I24" i="253"/>
  <c r="H25" i="253"/>
  <c r="N25" i="253"/>
  <c r="O25" i="253" s="1"/>
  <c r="O26" i="253"/>
  <c r="L27" i="253"/>
  <c r="O27" i="253" s="1"/>
  <c r="C28" i="253"/>
  <c r="C34" i="253" s="1"/>
  <c r="D28" i="253"/>
  <c r="E28" i="253"/>
  <c r="E34" i="253" s="1"/>
  <c r="E36" i="253" s="1"/>
  <c r="F28" i="253"/>
  <c r="G28" i="253"/>
  <c r="G34" i="253" s="1"/>
  <c r="J28" i="253"/>
  <c r="J34" i="253" s="1"/>
  <c r="J36" i="253" s="1"/>
  <c r="K28" i="253"/>
  <c r="L28" i="253"/>
  <c r="L34" i="253" s="1"/>
  <c r="L36" i="253" s="1"/>
  <c r="M28" i="253"/>
  <c r="O29" i="253"/>
  <c r="O30" i="253"/>
  <c r="O31" i="253"/>
  <c r="C32" i="253"/>
  <c r="D32" i="253"/>
  <c r="E32" i="253"/>
  <c r="F32" i="253"/>
  <c r="G32" i="253"/>
  <c r="H32" i="253"/>
  <c r="I32" i="253"/>
  <c r="J32" i="253"/>
  <c r="K32" i="253"/>
  <c r="L32" i="253"/>
  <c r="M32" i="253"/>
  <c r="M34" i="253" s="1"/>
  <c r="M36" i="253" s="1"/>
  <c r="N32" i="253"/>
  <c r="O33" i="253"/>
  <c r="F34" i="253"/>
  <c r="F36" i="253" s="1"/>
  <c r="O35" i="253"/>
  <c r="D9" i="252"/>
  <c r="D11" i="252"/>
  <c r="J13" i="252"/>
  <c r="D15" i="252"/>
  <c r="D16" i="252"/>
  <c r="J16" i="252"/>
  <c r="B18" i="252"/>
  <c r="B31" i="252" s="1"/>
  <c r="C18" i="252"/>
  <c r="H18" i="252"/>
  <c r="I18" i="252"/>
  <c r="D20" i="252"/>
  <c r="D23" i="252"/>
  <c r="J23" i="252"/>
  <c r="D26" i="252"/>
  <c r="B28" i="252"/>
  <c r="C28" i="252"/>
  <c r="C31" i="252" s="1"/>
  <c r="H28" i="252"/>
  <c r="I28" i="252"/>
  <c r="I31" i="252"/>
  <c r="B7" i="251"/>
  <c r="D7" i="251"/>
  <c r="D11" i="251" s="1"/>
  <c r="S7" i="251"/>
  <c r="R8" i="251"/>
  <c r="S8" i="251"/>
  <c r="R9" i="251"/>
  <c r="S9" i="251"/>
  <c r="R10" i="251"/>
  <c r="S10" i="251"/>
  <c r="B11" i="251"/>
  <c r="C11" i="251"/>
  <c r="E11" i="251"/>
  <c r="F11" i="251"/>
  <c r="G11" i="251"/>
  <c r="H11" i="251"/>
  <c r="I11" i="251"/>
  <c r="J11" i="251"/>
  <c r="K11" i="251"/>
  <c r="L11" i="251"/>
  <c r="M11" i="251"/>
  <c r="N11" i="251"/>
  <c r="O11" i="251"/>
  <c r="P11" i="251"/>
  <c r="Q11" i="251"/>
  <c r="S11" i="251"/>
  <c r="D14" i="250"/>
  <c r="J20" i="252" s="1"/>
  <c r="E14" i="250"/>
  <c r="F14" i="250"/>
  <c r="G14" i="250"/>
  <c r="D18" i="250"/>
  <c r="J6" i="254" s="1"/>
  <c r="E18" i="250"/>
  <c r="F18" i="250"/>
  <c r="G18" i="250"/>
  <c r="D19" i="250"/>
  <c r="E19" i="250"/>
  <c r="F19" i="250"/>
  <c r="G19" i="250"/>
  <c r="D28" i="250"/>
  <c r="J7" i="254" s="1"/>
  <c r="K7" i="254" s="1"/>
  <c r="Q7" i="254" s="1"/>
  <c r="S7" i="254" s="1"/>
  <c r="E28" i="250"/>
  <c r="F28" i="250"/>
  <c r="G28" i="250"/>
  <c r="D30" i="250"/>
  <c r="E30" i="250"/>
  <c r="F30" i="250"/>
  <c r="G30" i="250"/>
  <c r="D38" i="250"/>
  <c r="I8" i="254" s="1"/>
  <c r="K8" i="254" s="1"/>
  <c r="Q8" i="254" s="1"/>
  <c r="R8" i="254" s="1"/>
  <c r="E38" i="250"/>
  <c r="F38" i="250"/>
  <c r="G38" i="250"/>
  <c r="D39" i="250"/>
  <c r="E39" i="250"/>
  <c r="F39" i="250"/>
  <c r="G39" i="250"/>
  <c r="D48" i="250"/>
  <c r="I9" i="254" s="1"/>
  <c r="E48" i="250"/>
  <c r="F48" i="250"/>
  <c r="G48" i="250"/>
  <c r="D52" i="250"/>
  <c r="E52" i="250"/>
  <c r="F52" i="250"/>
  <c r="G52" i="250"/>
  <c r="D53" i="250"/>
  <c r="E53" i="250"/>
  <c r="F53" i="250"/>
  <c r="G53" i="250"/>
  <c r="D55" i="250"/>
  <c r="E55" i="250"/>
  <c r="F55" i="250"/>
  <c r="G55" i="250"/>
  <c r="D66" i="250"/>
  <c r="E66" i="250"/>
  <c r="F66" i="250"/>
  <c r="G66" i="250"/>
  <c r="D67" i="250"/>
  <c r="E67" i="250"/>
  <c r="F67" i="250"/>
  <c r="G67" i="250"/>
  <c r="D83" i="250"/>
  <c r="J8" i="252" s="1"/>
  <c r="E83" i="250"/>
  <c r="F83" i="250"/>
  <c r="G83" i="250"/>
  <c r="D98" i="250"/>
  <c r="J9" i="252" s="1"/>
  <c r="E98" i="250"/>
  <c r="F98" i="250"/>
  <c r="G98" i="250"/>
  <c r="D175" i="250"/>
  <c r="J10" i="252" s="1"/>
  <c r="E175" i="250"/>
  <c r="F175" i="250"/>
  <c r="G175" i="250"/>
  <c r="D197" i="250"/>
  <c r="J12" i="252" s="1"/>
  <c r="E197" i="250"/>
  <c r="F197" i="250"/>
  <c r="G197" i="250"/>
  <c r="D202" i="250"/>
  <c r="D208" i="250" s="1"/>
  <c r="J11" i="252" s="1"/>
  <c r="E208" i="250"/>
  <c r="F208" i="250"/>
  <c r="G208" i="250"/>
  <c r="G251" i="250" s="1"/>
  <c r="D233" i="250"/>
  <c r="E233" i="250"/>
  <c r="F233" i="250"/>
  <c r="G233" i="250"/>
  <c r="D242" i="250"/>
  <c r="J15" i="252" s="1"/>
  <c r="E242" i="250"/>
  <c r="F242" i="250"/>
  <c r="G242" i="250"/>
  <c r="D249" i="250"/>
  <c r="E249" i="250"/>
  <c r="F249" i="250"/>
  <c r="G249" i="250"/>
  <c r="E251" i="250"/>
  <c r="F251" i="250"/>
  <c r="D280" i="250"/>
  <c r="E280" i="250"/>
  <c r="F280" i="250"/>
  <c r="G280" i="250"/>
  <c r="D300" i="250"/>
  <c r="E300" i="250"/>
  <c r="F300" i="250"/>
  <c r="G300" i="250"/>
  <c r="D306" i="250"/>
  <c r="J22" i="252" s="1"/>
  <c r="E306" i="250"/>
  <c r="F306" i="250"/>
  <c r="G306" i="250"/>
  <c r="D312" i="250"/>
  <c r="E312" i="250"/>
  <c r="F312" i="250"/>
  <c r="G312" i="250"/>
  <c r="D321" i="250"/>
  <c r="D323" i="250" s="1"/>
  <c r="E321" i="250"/>
  <c r="F321" i="250"/>
  <c r="G321" i="250"/>
  <c r="E323" i="250"/>
  <c r="F323" i="250"/>
  <c r="G323" i="250"/>
  <c r="E325" i="250"/>
  <c r="E336" i="250" s="1"/>
  <c r="F325" i="250"/>
  <c r="D332" i="250"/>
  <c r="E332" i="250"/>
  <c r="F332" i="250"/>
  <c r="F336" i="250" s="1"/>
  <c r="G332" i="250"/>
  <c r="D12" i="249"/>
  <c r="E12" i="249"/>
  <c r="F12" i="249"/>
  <c r="G12" i="249"/>
  <c r="D18" i="249"/>
  <c r="E18" i="249"/>
  <c r="F18" i="249"/>
  <c r="G18" i="249"/>
  <c r="D25" i="249"/>
  <c r="E25" i="249"/>
  <c r="F25" i="249"/>
  <c r="G25" i="249"/>
  <c r="D31" i="249"/>
  <c r="E31" i="249"/>
  <c r="F31" i="249"/>
  <c r="G31" i="249"/>
  <c r="D33" i="249"/>
  <c r="E33" i="249"/>
  <c r="F33" i="249"/>
  <c r="G33" i="249"/>
  <c r="D39" i="249"/>
  <c r="E39" i="249"/>
  <c r="F39" i="249"/>
  <c r="G39" i="249"/>
  <c r="D40" i="249"/>
  <c r="E40" i="249"/>
  <c r="F40" i="249"/>
  <c r="G40" i="249"/>
  <c r="D57" i="249"/>
  <c r="D8" i="252" s="1"/>
  <c r="E57" i="249"/>
  <c r="F57" i="249"/>
  <c r="G57" i="249"/>
  <c r="D65" i="249"/>
  <c r="E65" i="249"/>
  <c r="F65" i="249"/>
  <c r="G65" i="249"/>
  <c r="D69" i="249"/>
  <c r="E69" i="249"/>
  <c r="F69" i="249"/>
  <c r="G69" i="249"/>
  <c r="D74" i="249"/>
  <c r="E74" i="249"/>
  <c r="F74" i="249"/>
  <c r="G74" i="249"/>
  <c r="D76" i="249"/>
  <c r="E76" i="249"/>
  <c r="F76" i="249"/>
  <c r="G76" i="249"/>
  <c r="D84" i="249"/>
  <c r="D10" i="252" s="1"/>
  <c r="E84" i="249"/>
  <c r="F84" i="249"/>
  <c r="G84" i="249"/>
  <c r="D90" i="249"/>
  <c r="E90" i="249"/>
  <c r="F90" i="249"/>
  <c r="G90" i="249"/>
  <c r="D93" i="249"/>
  <c r="E93" i="249"/>
  <c r="F93" i="249"/>
  <c r="G93" i="249"/>
  <c r="D96" i="249"/>
  <c r="E96" i="249"/>
  <c r="F96" i="249"/>
  <c r="G96" i="249"/>
  <c r="D107" i="249"/>
  <c r="E107" i="249"/>
  <c r="F107" i="249"/>
  <c r="G107" i="249"/>
  <c r="D134" i="249"/>
  <c r="E134" i="249"/>
  <c r="F134" i="249"/>
  <c r="G134" i="249"/>
  <c r="D144" i="249"/>
  <c r="E144" i="249"/>
  <c r="F144" i="249"/>
  <c r="G144" i="249"/>
  <c r="D149" i="249"/>
  <c r="E149" i="249"/>
  <c r="F149" i="249"/>
  <c r="G149" i="249"/>
  <c r="D151" i="249"/>
  <c r="E151" i="249"/>
  <c r="F151" i="249"/>
  <c r="G151" i="249"/>
  <c r="D157" i="249"/>
  <c r="D12" i="252" s="1"/>
  <c r="E157" i="249"/>
  <c r="F157" i="249"/>
  <c r="G157" i="249"/>
  <c r="D162" i="249"/>
  <c r="D22" i="252" s="1"/>
  <c r="E162" i="249"/>
  <c r="F162" i="249"/>
  <c r="G162" i="249"/>
  <c r="D164" i="249"/>
  <c r="E164" i="249"/>
  <c r="F164" i="249"/>
  <c r="G164" i="249"/>
  <c r="D172" i="249"/>
  <c r="D24" i="252" s="1"/>
  <c r="E172" i="249"/>
  <c r="F172" i="249"/>
  <c r="G172" i="249"/>
  <c r="D179" i="249"/>
  <c r="D13" i="252" s="1"/>
  <c r="E179" i="249"/>
  <c r="E181" i="249" s="1"/>
  <c r="E183" i="249" s="1"/>
  <c r="E186" i="249" s="1"/>
  <c r="E219" i="249" s="1"/>
  <c r="F179" i="249"/>
  <c r="G179" i="249"/>
  <c r="D181" i="249"/>
  <c r="F181" i="249"/>
  <c r="G181" i="249"/>
  <c r="D183" i="249"/>
  <c r="F183" i="249"/>
  <c r="G183" i="249"/>
  <c r="D186" i="249"/>
  <c r="F186" i="249"/>
  <c r="G186" i="249"/>
  <c r="D198" i="249"/>
  <c r="D14" i="252" s="1"/>
  <c r="E198" i="249"/>
  <c r="F198" i="249"/>
  <c r="G198" i="249"/>
  <c r="D209" i="249"/>
  <c r="D25" i="252" s="1"/>
  <c r="E209" i="249"/>
  <c r="F209" i="249"/>
  <c r="G209" i="249"/>
  <c r="D215" i="249"/>
  <c r="E215" i="249"/>
  <c r="F215" i="249"/>
  <c r="G215" i="249"/>
  <c r="D219" i="249"/>
  <c r="F219" i="249"/>
  <c r="G219" i="249"/>
  <c r="Q10" i="254" l="1"/>
  <c r="R10" i="254" s="1"/>
  <c r="M37" i="253"/>
  <c r="N17" i="253"/>
  <c r="N20" i="253" s="1"/>
  <c r="N38" i="253" s="1"/>
  <c r="N28" i="253"/>
  <c r="N34" i="253" s="1"/>
  <c r="N36" i="253" s="1"/>
  <c r="O23" i="253"/>
  <c r="O28" i="253" s="1"/>
  <c r="M20" i="253"/>
  <c r="M38" i="253" s="1"/>
  <c r="J38" i="253"/>
  <c r="F38" i="253"/>
  <c r="O10" i="253"/>
  <c r="D34" i="253"/>
  <c r="D36" i="253" s="1"/>
  <c r="I28" i="253"/>
  <c r="I34" i="253" s="1"/>
  <c r="I37" i="253" s="1"/>
  <c r="O8" i="253"/>
  <c r="O32" i="253"/>
  <c r="K34" i="253"/>
  <c r="K36" i="253" s="1"/>
  <c r="O9" i="253"/>
  <c r="H31" i="252"/>
  <c r="D18" i="252"/>
  <c r="R7" i="251"/>
  <c r="R11" i="251" s="1"/>
  <c r="J18" i="252"/>
  <c r="J11" i="254"/>
  <c r="J24" i="252"/>
  <c r="J21" i="252"/>
  <c r="D251" i="250"/>
  <c r="D325" i="250" s="1"/>
  <c r="D336" i="250" s="1"/>
  <c r="G325" i="250"/>
  <c r="K9" i="254"/>
  <c r="Q9" i="254" s="1"/>
  <c r="K6" i="254"/>
  <c r="K11" i="254" s="1"/>
  <c r="D28" i="252"/>
  <c r="L11" i="254"/>
  <c r="S9" i="254"/>
  <c r="R9" i="254"/>
  <c r="S8" i="254"/>
  <c r="I11" i="254"/>
  <c r="R7" i="254"/>
  <c r="P11" i="254"/>
  <c r="G36" i="253"/>
  <c r="G38" i="253" s="1"/>
  <c r="G37" i="253"/>
  <c r="C36" i="253"/>
  <c r="C39" i="253" s="1"/>
  <c r="D39" i="253" s="1"/>
  <c r="C37" i="253"/>
  <c r="H38" i="253"/>
  <c r="K17" i="253"/>
  <c r="C38" i="253"/>
  <c r="L38" i="253"/>
  <c r="E20" i="253"/>
  <c r="E38" i="253" s="1"/>
  <c r="E37" i="253"/>
  <c r="I36" i="253"/>
  <c r="I38" i="253" s="1"/>
  <c r="D38" i="253"/>
  <c r="O13" i="253"/>
  <c r="O17" i="253" s="1"/>
  <c r="O20" i="253" s="1"/>
  <c r="O14" i="253"/>
  <c r="L37" i="253"/>
  <c r="H37" i="253"/>
  <c r="D37" i="253"/>
  <c r="J37" i="253"/>
  <c r="F37" i="253"/>
  <c r="G336" i="250"/>
  <c r="S10" i="254" l="1"/>
  <c r="O34" i="253"/>
  <c r="O36" i="253" s="1"/>
  <c r="N37" i="253"/>
  <c r="D31" i="252"/>
  <c r="J28" i="252"/>
  <c r="J31" i="252" s="1"/>
  <c r="Q6" i="254"/>
  <c r="R6" i="254" s="1"/>
  <c r="R11" i="254" s="1"/>
  <c r="O37" i="253"/>
  <c r="O38" i="253"/>
  <c r="K20" i="253"/>
  <c r="K38" i="253" s="1"/>
  <c r="K37" i="253"/>
  <c r="E39" i="253"/>
  <c r="F39" i="253" s="1"/>
  <c r="G39" i="253" s="1"/>
  <c r="H39" i="253" s="1"/>
  <c r="I39" i="253" s="1"/>
  <c r="J39" i="253" s="1"/>
  <c r="K39" i="253" l="1"/>
  <c r="L39" i="253" s="1"/>
  <c r="M39" i="253" s="1"/>
  <c r="N39" i="253" s="1"/>
  <c r="O39" i="253" s="1"/>
  <c r="Q11" i="254"/>
  <c r="S6" i="254"/>
  <c r="S11" i="254" s="1"/>
  <c r="F20" i="224"/>
  <c r="F18" i="224"/>
  <c r="F19" i="224"/>
  <c r="E80" i="248" l="1"/>
  <c r="D80" i="248"/>
  <c r="C16" i="224" l="1"/>
  <c r="D16" i="224"/>
  <c r="E16" i="224"/>
  <c r="B16" i="224"/>
  <c r="C11" i="224"/>
  <c r="D11" i="224"/>
  <c r="E11" i="224"/>
  <c r="B11" i="224"/>
  <c r="C8" i="224"/>
  <c r="D8" i="224"/>
  <c r="E8" i="224"/>
  <c r="B8" i="224"/>
  <c r="F21" i="224"/>
  <c r="F17" i="224"/>
  <c r="F15" i="224"/>
  <c r="F14" i="224"/>
  <c r="F12" i="224"/>
  <c r="F13" i="224"/>
  <c r="F10" i="224"/>
  <c r="F9" i="224"/>
  <c r="F8" i="224" s="1"/>
  <c r="F11" i="224" l="1"/>
  <c r="B23" i="224"/>
  <c r="E23" i="224"/>
  <c r="D23" i="224"/>
  <c r="C23" i="224"/>
  <c r="F16" i="224"/>
  <c r="F23" i="224" l="1"/>
  <c r="E191" i="247" l="1"/>
  <c r="D191" i="247"/>
  <c r="E190" i="247"/>
  <c r="D190" i="247"/>
  <c r="E189" i="247"/>
  <c r="D189" i="247" s="1"/>
  <c r="E188" i="247"/>
  <c r="D188" i="247" s="1"/>
  <c r="E187" i="247"/>
  <c r="D187" i="247" s="1"/>
  <c r="E186" i="247"/>
  <c r="D186" i="247" s="1"/>
  <c r="E185" i="247"/>
  <c r="D185" i="247"/>
  <c r="D181" i="247"/>
  <c r="D180" i="247"/>
  <c r="D179" i="247"/>
  <c r="E177" i="247"/>
  <c r="D177" i="247" s="1"/>
  <c r="D176" i="247"/>
  <c r="D175" i="247"/>
  <c r="E174" i="247"/>
  <c r="E173" i="247"/>
  <c r="D173" i="247" s="1"/>
  <c r="D171" i="247"/>
  <c r="E170" i="247"/>
  <c r="D170" i="247" s="1"/>
  <c r="E169" i="247"/>
  <c r="E164" i="247"/>
  <c r="D164" i="247" s="1"/>
  <c r="D163" i="247"/>
  <c r="D161" i="247"/>
  <c r="D160" i="247"/>
  <c r="D159" i="247"/>
  <c r="D153" i="247"/>
  <c r="E152" i="247"/>
  <c r="D152" i="247"/>
  <c r="D151" i="247"/>
  <c r="D150" i="247"/>
  <c r="D149" i="247"/>
  <c r="E148" i="247"/>
  <c r="D148" i="247" s="1"/>
  <c r="E146" i="247"/>
  <c r="D146" i="247"/>
  <c r="E145" i="247"/>
  <c r="D145" i="247"/>
  <c r="D144" i="247"/>
  <c r="D143" i="247"/>
  <c r="D142" i="247"/>
  <c r="E141" i="247"/>
  <c r="D141" i="247" s="1"/>
  <c r="E139" i="247"/>
  <c r="D139" i="247" s="1"/>
  <c r="E135" i="247"/>
  <c r="D135" i="247"/>
  <c r="D133" i="247"/>
  <c r="E132" i="247"/>
  <c r="D132" i="247" s="1"/>
  <c r="E131" i="247"/>
  <c r="D131" i="247" s="1"/>
  <c r="E130" i="247"/>
  <c r="E127" i="247"/>
  <c r="D123" i="247"/>
  <c r="D122" i="247"/>
  <c r="E120" i="247"/>
  <c r="D120" i="247" s="1"/>
  <c r="D118" i="247"/>
  <c r="D117" i="247"/>
  <c r="E105" i="247"/>
  <c r="D105" i="247" s="1"/>
  <c r="E104" i="247"/>
  <c r="D104" i="247" s="1"/>
  <c r="E101" i="247"/>
  <c r="D101" i="247"/>
  <c r="D100" i="247"/>
  <c r="D98" i="247"/>
  <c r="E93" i="247"/>
  <c r="E92" i="247"/>
  <c r="D92" i="247" s="1"/>
  <c r="D90" i="247"/>
  <c r="D88" i="247"/>
  <c r="E87" i="247"/>
  <c r="E86" i="247"/>
  <c r="D86" i="247" s="1"/>
  <c r="E85" i="247"/>
  <c r="D85" i="247" s="1"/>
  <c r="E84" i="247"/>
  <c r="D84" i="247" s="1"/>
  <c r="E83" i="247"/>
  <c r="D83" i="247" s="1"/>
  <c r="E79" i="247"/>
  <c r="E78" i="247"/>
  <c r="E77" i="247"/>
  <c r="D77" i="247"/>
  <c r="D76" i="247"/>
  <c r="E75" i="247"/>
  <c r="D75" i="247" s="1"/>
  <c r="E74" i="247"/>
  <c r="D74" i="247" s="1"/>
  <c r="E73" i="247"/>
  <c r="D73" i="247" s="1"/>
  <c r="E72" i="247"/>
  <c r="D72" i="247" s="1"/>
  <c r="E61" i="247"/>
  <c r="D61" i="247" s="1"/>
  <c r="D59" i="247"/>
  <c r="D56" i="247"/>
  <c r="E55" i="247"/>
  <c r="D55" i="247"/>
  <c r="D54" i="247"/>
  <c r="D49" i="247"/>
  <c r="E46" i="247"/>
  <c r="D46" i="247" s="1"/>
  <c r="E45" i="247"/>
  <c r="D45" i="247" s="1"/>
  <c r="E43" i="247"/>
  <c r="D43" i="247" s="1"/>
  <c r="E42" i="247"/>
  <c r="D42" i="247" s="1"/>
  <c r="D40" i="247"/>
  <c r="D39" i="247"/>
  <c r="E38" i="247"/>
  <c r="D38" i="247" s="1"/>
  <c r="D37" i="247"/>
  <c r="E36" i="247"/>
  <c r="D36" i="247" s="1"/>
  <c r="D35" i="247"/>
  <c r="E34" i="247"/>
  <c r="D34" i="247" s="1"/>
  <c r="D33" i="247"/>
  <c r="D32" i="247"/>
  <c r="E30" i="247"/>
  <c r="D30" i="247" s="1"/>
  <c r="D29" i="247"/>
  <c r="E28" i="247"/>
  <c r="D28" i="247" s="1"/>
  <c r="E24" i="247"/>
  <c r="D24" i="247" s="1"/>
  <c r="D23" i="247"/>
  <c r="E22" i="247"/>
  <c r="D22" i="247" s="1"/>
  <c r="E21" i="247"/>
  <c r="D21" i="247"/>
  <c r="D19" i="247"/>
  <c r="D18" i="247"/>
  <c r="E17" i="247"/>
  <c r="D17" i="247" s="1"/>
  <c r="D16" i="247"/>
  <c r="E14" i="247"/>
  <c r="D14" i="247"/>
  <c r="E12" i="247"/>
  <c r="D11" i="247"/>
  <c r="D10" i="247"/>
  <c r="D9" i="247"/>
  <c r="E192" i="247" l="1"/>
  <c r="D192" i="247"/>
  <c r="E189" i="238" l="1"/>
  <c r="D189" i="238"/>
  <c r="F188" i="238"/>
  <c r="F187" i="238"/>
  <c r="F186" i="238"/>
  <c r="E79" i="238"/>
  <c r="D79" i="238"/>
  <c r="F78" i="238"/>
  <c r="F79" i="238" s="1"/>
  <c r="F189" i="238" l="1"/>
  <c r="D182" i="238"/>
  <c r="F181" i="238"/>
  <c r="F180" i="238"/>
  <c r="F179" i="238"/>
  <c r="F178" i="238"/>
  <c r="E182" i="238"/>
  <c r="F176" i="238"/>
  <c r="E74" i="238"/>
  <c r="D74" i="238"/>
  <c r="F73" i="238"/>
  <c r="F72" i="238"/>
  <c r="D172" i="238"/>
  <c r="F171" i="238"/>
  <c r="F170" i="238"/>
  <c r="E68" i="238"/>
  <c r="D68" i="238"/>
  <c r="F67" i="238"/>
  <c r="F68" i="238" s="1"/>
  <c r="F74" i="238" l="1"/>
  <c r="E172" i="238"/>
  <c r="F177" i="238"/>
  <c r="F182" i="238" s="1"/>
  <c r="F172" i="238"/>
  <c r="F137" i="238"/>
  <c r="D166" i="238" l="1"/>
  <c r="F165" i="238"/>
  <c r="F164" i="238"/>
  <c r="F162" i="238"/>
  <c r="F161" i="238"/>
  <c r="E166" i="238"/>
  <c r="D148" i="238"/>
  <c r="F147" i="238"/>
  <c r="F146" i="238"/>
  <c r="F144" i="238"/>
  <c r="F143" i="238"/>
  <c r="D157" i="238"/>
  <c r="F156" i="238"/>
  <c r="F155" i="238"/>
  <c r="F154" i="238"/>
  <c r="F153" i="238"/>
  <c r="F152" i="238"/>
  <c r="E157" i="238"/>
  <c r="E139" i="238"/>
  <c r="D139" i="238"/>
  <c r="F138" i="238"/>
  <c r="F136" i="238"/>
  <c r="F135" i="238"/>
  <c r="F134" i="238"/>
  <c r="E130" i="238"/>
  <c r="D130" i="238"/>
  <c r="F129" i="238"/>
  <c r="F128" i="238"/>
  <c r="F127" i="238"/>
  <c r="F126" i="238"/>
  <c r="E122" i="238"/>
  <c r="D122" i="238"/>
  <c r="F121" i="238"/>
  <c r="F122" i="238" s="1"/>
  <c r="E109" i="238"/>
  <c r="D109" i="238"/>
  <c r="F108" i="238"/>
  <c r="F107" i="238"/>
  <c r="F106" i="238"/>
  <c r="F105" i="238"/>
  <c r="E117" i="238"/>
  <c r="D117" i="238"/>
  <c r="F116" i="238"/>
  <c r="F115" i="238"/>
  <c r="F114" i="238"/>
  <c r="F113" i="238"/>
  <c r="E101" i="238"/>
  <c r="D101" i="238"/>
  <c r="F100" i="238"/>
  <c r="F99" i="238"/>
  <c r="F98" i="238"/>
  <c r="F97" i="238"/>
  <c r="E93" i="238"/>
  <c r="D93" i="238"/>
  <c r="F92" i="238"/>
  <c r="F91" i="238"/>
  <c r="E63" i="238"/>
  <c r="D63" i="238"/>
  <c r="F62" i="238"/>
  <c r="F63" i="238" s="1"/>
  <c r="E50" i="238"/>
  <c r="D50" i="238"/>
  <c r="F49" i="238"/>
  <c r="F50" i="238" s="1"/>
  <c r="E56" i="238"/>
  <c r="D56" i="238"/>
  <c r="F55" i="238"/>
  <c r="F54" i="238"/>
  <c r="E43" i="238"/>
  <c r="D43" i="238"/>
  <c r="F42" i="238"/>
  <c r="F43" i="238" s="1"/>
  <c r="E38" i="238"/>
  <c r="D38" i="238"/>
  <c r="F37" i="238"/>
  <c r="F38" i="238" s="1"/>
  <c r="E33" i="238"/>
  <c r="D33" i="238"/>
  <c r="F32" i="238"/>
  <c r="F33" i="238" s="1"/>
  <c r="E23" i="238"/>
  <c r="D23" i="238"/>
  <c r="F22" i="238"/>
  <c r="F23" i="238" s="1"/>
  <c r="E28" i="238"/>
  <c r="D28" i="238"/>
  <c r="F27" i="238"/>
  <c r="F28" i="238" s="1"/>
  <c r="E18" i="238"/>
  <c r="D18" i="238"/>
  <c r="F17" i="238"/>
  <c r="F18" i="238" s="1"/>
  <c r="E13" i="238"/>
  <c r="D13" i="238"/>
  <c r="F12" i="238"/>
  <c r="F11" i="238"/>
  <c r="D83" i="238" l="1"/>
  <c r="D192" i="238"/>
  <c r="E83" i="238"/>
  <c r="F157" i="238"/>
  <c r="F93" i="238"/>
  <c r="F117" i="238"/>
  <c r="F130" i="238"/>
  <c r="F13" i="238"/>
  <c r="E148" i="238"/>
  <c r="E192" i="238" s="1"/>
  <c r="F56" i="238"/>
  <c r="F109" i="238"/>
  <c r="F139" i="238"/>
  <c r="F101" i="238"/>
  <c r="F145" i="238"/>
  <c r="F148" i="238" s="1"/>
  <c r="F163" i="238"/>
  <c r="F83" i="238" l="1"/>
  <c r="F166" i="238"/>
  <c r="F192" i="238" s="1"/>
  <c r="G12" i="228" l="1"/>
  <c r="D46" i="220" l="1"/>
  <c r="C46" i="220"/>
  <c r="B46" i="220"/>
  <c r="D38" i="220"/>
  <c r="C38" i="220"/>
  <c r="D25" i="220"/>
  <c r="C25" i="220"/>
  <c r="B25" i="220"/>
  <c r="D17" i="220"/>
  <c r="C17" i="220"/>
  <c r="B17" i="220"/>
  <c r="B26" i="220" l="1"/>
  <c r="C26" i="220"/>
  <c r="D26" i="220"/>
  <c r="C47" i="220"/>
  <c r="D47" i="220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  <c r="B38" i="220"/>
  <c r="B47" i="2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Kovács Zoltán</author>
  </authors>
  <commentList>
    <comment ref="D73" authorId="0" shapeId="0" xr:uid="{00000000-0006-0000-0E00-000001000000}">
      <text>
        <r>
          <rPr>
            <sz val="9"/>
            <color indexed="81"/>
            <rFont val="Tahoma"/>
            <family val="2"/>
            <charset val="238"/>
          </rPr>
          <t>Kossuth-szoborcsoportot és a lakótornyot összekötő gyalogos híd engedélyezési terve</t>
        </r>
      </text>
    </comment>
  </commentList>
</comments>
</file>

<file path=xl/sharedStrings.xml><?xml version="1.0" encoding="utf-8"?>
<sst xmlns="http://schemas.openxmlformats.org/spreadsheetml/2006/main" count="1829" uniqueCount="1151">
  <si>
    <t>1. Informatikai eszközök, szoftverek beszerzése</t>
  </si>
  <si>
    <t>2.1. Dombóvári Város- és Lakásgazdálkodási Nkft. tagi kölcsön</t>
  </si>
  <si>
    <t>Kölcsönök visszatérülése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</si>
  <si>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</si>
  <si>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</si>
  <si>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</si>
  <si>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</si>
  <si>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</si>
  <si>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</si>
  <si>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</si>
  <si>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</si>
  <si>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</si>
  <si>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</si>
  <si>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</si>
  <si>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</si>
  <si>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</si>
  <si>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</si>
  <si>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</si>
  <si>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</si>
  <si>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</si>
  <si>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</si>
  <si>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</si>
  <si>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</si>
  <si>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</si>
  <si>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</si>
  <si>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</si>
  <si>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</si>
  <si>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</si>
  <si>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</si>
  <si>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</si>
  <si>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</si>
  <si>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</si>
  <si>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</si>
  <si>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</si>
  <si>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</si>
  <si>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</si>
  <si>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</si>
  <si>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</si>
  <si>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</si>
  <si>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</si>
  <si>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</si>
  <si>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</si>
  <si>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</si>
  <si>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</si>
  <si>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</si>
  <si>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</si>
  <si>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</si>
  <si>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</si>
  <si>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</si>
  <si>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</si>
  <si>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</si>
  <si>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</si>
  <si>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</si>
  <si>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</si>
  <si>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</si>
  <si>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</si>
  <si>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</si>
  <si>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</si>
  <si>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</si>
  <si>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</si>
  <si>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</si>
  <si>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</si>
  <si>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</si>
  <si>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</si>
  <si>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</si>
  <si>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</si>
  <si>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</si>
  <si>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</si>
  <si>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</si>
  <si>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</si>
  <si>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</si>
  <si>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</si>
  <si>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</si>
  <si>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</si>
  <si>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</si>
  <si>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</si>
  <si>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</si>
  <si>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</si>
  <si>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</si>
  <si>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</si>
  <si>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</si>
  <si>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</si>
  <si>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</si>
  <si>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</si>
  <si>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</si>
  <si>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</si>
  <si>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</si>
  <si>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</si>
  <si>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</si>
  <si>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</si>
  <si>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</si>
  <si>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</si>
  <si>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</si>
  <si>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</si>
  <si>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</si>
  <si>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</si>
  <si>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</si>
  <si>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</si>
  <si>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</si>
  <si>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</si>
  <si>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</si>
  <si>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</si>
  <si>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</si>
  <si>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</si>
  <si>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</si>
  <si>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</si>
  <si>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</si>
  <si>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</si>
  <si>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</si>
  <si>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</si>
  <si>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</si>
  <si>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</si>
  <si>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</si>
  <si>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</si>
  <si>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</si>
  <si>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</si>
  <si>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</si>
  <si>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</si>
  <si>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</si>
  <si>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</si>
  <si>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</si>
  <si>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</si>
  <si>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</si>
  <si>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</si>
  <si>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</si>
  <si>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</si>
  <si>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</si>
  <si>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</si>
  <si>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</si>
  <si>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</si>
  <si>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</si>
  <si>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</si>
  <si>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</si>
  <si>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</si>
  <si>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</si>
  <si>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</si>
  <si>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</si>
  <si>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</si>
  <si>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</si>
  <si>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</si>
  <si>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</si>
  <si>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</si>
  <si>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</si>
  <si>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</si>
  <si>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</si>
  <si>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</si>
  <si>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</si>
  <si>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</si>
  <si>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</si>
  <si>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</si>
  <si>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Felújítások összesen:</t>
  </si>
  <si>
    <t>2.2. Dombóvári HACS Egyesület kölcsön visszafizetés</t>
  </si>
  <si>
    <t>Felhalmozási célú hitel törlesztés</t>
  </si>
  <si>
    <t>3. Foglalkoztatás eü. szolg.</t>
  </si>
  <si>
    <t>4. Intézményi gáz</t>
  </si>
  <si>
    <t>5. Város- és községgazdálkodás</t>
  </si>
  <si>
    <t>8. Távhő vagyon bérbeadásából származó bevételek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</si>
  <si>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</si>
  <si>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</si>
  <si>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</si>
  <si>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</si>
  <si>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</si>
  <si>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</si>
  <si>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Lakosságtól szennyvízhozzájárulás</t>
  </si>
  <si>
    <t>1.2. Hamulyák Közalapítvány kölcsön visszafizetése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</si>
  <si>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</si>
  <si>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</si>
  <si>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</si>
  <si>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1.2. Integrált Önkormányzati Szolgáltató Szervezet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</si>
  <si>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</si>
  <si>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</si>
  <si>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</si>
  <si>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</si>
  <si>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</si>
  <si>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</si>
  <si>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</si>
  <si>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</si>
  <si>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</si>
  <si>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</si>
  <si>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1.3. DFC kölcsön visszafizetése</t>
  </si>
  <si>
    <t>2.3. Tinódi Ház Nonprofit Kft. tagi kölcsön visszafizetés</t>
  </si>
  <si>
    <t>1. Működési célú maradvány</t>
  </si>
  <si>
    <t>2. Felhalmozási célú maradvány</t>
  </si>
  <si>
    <t>Felhalmozási célú állami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</si>
  <si>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</si>
  <si>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</si>
  <si>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</si>
  <si>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</si>
  <si>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</si>
  <si>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</si>
  <si>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</si>
  <si>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</si>
  <si>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</si>
  <si>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</si>
  <si>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</si>
  <si>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</si>
  <si>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</si>
  <si>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</si>
  <si>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</si>
  <si>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</si>
  <si>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</si>
  <si>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</si>
  <si>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</si>
  <si>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</si>
  <si>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</si>
  <si>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</si>
  <si>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</si>
  <si>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</si>
  <si>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</si>
  <si>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</si>
  <si>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</si>
  <si>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</si>
  <si>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</si>
  <si>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</si>
  <si>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</si>
  <si>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</si>
  <si>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</si>
  <si>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</si>
  <si>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</si>
  <si>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</si>
  <si>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</si>
  <si>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</si>
  <si>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</si>
  <si>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</si>
  <si>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2020.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</si>
  <si>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</si>
  <si>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</si>
  <si>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</si>
  <si>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</si>
  <si>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</si>
  <si>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</si>
  <si>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</si>
  <si>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</si>
  <si>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</si>
  <si>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</si>
  <si>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</si>
  <si>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</si>
  <si>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</si>
  <si>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</si>
  <si>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</si>
  <si>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</si>
  <si>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</si>
  <si>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</si>
  <si>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</si>
  <si>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</si>
  <si>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</si>
  <si>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</si>
  <si>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</si>
  <si>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</si>
  <si>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7.</t>
  </si>
  <si>
    <t>OTP célhitel beruházásokra (1-2-18-4600-0174-4)</t>
  </si>
  <si>
    <t>2025.</t>
  </si>
  <si>
    <t>előirányzata</t>
  </si>
  <si>
    <t>Családalapítási támogatás</t>
  </si>
  <si>
    <t>Szociális, jóléti, kulturális  juttatások</t>
  </si>
  <si>
    <t>Egészségügyi juttatás (védőszemüveg)</t>
  </si>
  <si>
    <t>Vezetői illetménypótlék (jegyző, irodavezetők)</t>
  </si>
  <si>
    <t>Lakásépítés,- vásárlás támogatása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</si>
  <si>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</si>
  <si>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</si>
  <si>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</si>
  <si>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</si>
  <si>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</si>
  <si>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</si>
  <si>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</si>
  <si>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</si>
  <si>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</si>
  <si>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</si>
  <si>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</si>
  <si>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</si>
  <si>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2020-ban</t>
  </si>
  <si>
    <t>Csökkenés 2021-ben</t>
  </si>
  <si>
    <t>Dombóvár Város Önkormányzatának költségvetési mérlege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</si>
  <si>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</si>
  <si>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</si>
  <si>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</si>
  <si>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</si>
  <si>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</si>
  <si>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</si>
  <si>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</si>
  <si>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</si>
  <si>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</si>
  <si>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</si>
  <si>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</si>
  <si>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</si>
  <si>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</si>
  <si>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</si>
  <si>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</si>
  <si>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</si>
  <si>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</si>
  <si>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</si>
  <si>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</si>
  <si>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</si>
  <si>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</si>
  <si>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</si>
  <si>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</si>
  <si>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</si>
  <si>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</si>
  <si>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</si>
  <si>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</si>
  <si>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</si>
  <si>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</si>
  <si>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</si>
  <si>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</si>
  <si>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</si>
  <si>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</si>
  <si>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</si>
  <si>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</si>
  <si>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</si>
  <si>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</si>
  <si>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</si>
  <si>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</si>
  <si>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</si>
  <si>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</si>
  <si>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</si>
  <si>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</si>
  <si>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</si>
  <si>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</si>
  <si>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</si>
  <si>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</si>
  <si>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</si>
  <si>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</si>
  <si>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</si>
  <si>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</si>
  <si>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</si>
  <si>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</si>
  <si>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</si>
  <si>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</si>
  <si>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</si>
  <si>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</si>
  <si>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</si>
  <si>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</si>
  <si>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</si>
  <si>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</si>
  <si>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</si>
  <si>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</si>
  <si>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</si>
  <si>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</si>
  <si>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</si>
  <si>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</si>
  <si>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</si>
  <si>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Dombóvári Német Nemzetiségi Önkormányzat, Dombóvári Horvát Nemzetiségi Önkormányzat</t>
  </si>
  <si>
    <t>Dombóvári Boxklub</t>
  </si>
  <si>
    <t>Dombóvári Kutyás Egyesület</t>
  </si>
  <si>
    <t>Művelődési Ház (Dombóvár, Hunyadi tér 25.) ingatlan, hang- és fénytechnikai eszközök, mobilszínpad</t>
  </si>
  <si>
    <t>Dombóvári Művelődési Ház Nkft.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</si>
  <si>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</si>
  <si>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</si>
  <si>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</si>
  <si>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</si>
  <si>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</si>
  <si>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</si>
  <si>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</si>
  <si>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</si>
  <si>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</si>
  <si>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</si>
  <si>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</si>
  <si>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</si>
  <si>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</si>
  <si>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</si>
  <si>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</si>
  <si>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</si>
  <si>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</si>
  <si>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</si>
  <si>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</si>
  <si>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</si>
  <si>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</si>
  <si>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</si>
  <si>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</si>
  <si>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</si>
  <si>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</si>
  <si>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</si>
  <si>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</si>
  <si>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</si>
  <si>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</si>
  <si>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</si>
  <si>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</si>
  <si>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</si>
  <si>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</si>
  <si>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</si>
  <si>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</si>
  <si>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</si>
  <si>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Állami támogatás + NEAK</t>
  </si>
  <si>
    <t>Önk. tám.</t>
  </si>
  <si>
    <t>Int.fin.</t>
  </si>
  <si>
    <t>Integrált Önkormányzati Szolg. Szerv.</t>
  </si>
  <si>
    <t>2.1. Tinódi Ház Nkft. működésére</t>
  </si>
  <si>
    <t>Dombóvári Focisuli Egyesület</t>
  </si>
  <si>
    <t>Azok a magánszemélyek, akik az ingatlanuk előtt önerőből járdafelújítást végeznek, kérelemre 2 éves időtartamra 50 %-os kommunális adókedvezményt vehetnek igénybe.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</si>
  <si>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</si>
  <si>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</si>
  <si>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</si>
  <si>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</si>
  <si>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</si>
  <si>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</si>
  <si>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</si>
  <si>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Ft-ban</t>
  </si>
  <si>
    <t>Szerződő fél</t>
  </si>
  <si>
    <t>Tárgy</t>
  </si>
  <si>
    <t>Lejárat/ teljesítési határidő</t>
  </si>
  <si>
    <t>ABACUS Számítástechnikai Bt.</t>
  </si>
  <si>
    <t>WinSzoc szoftver jogszabálykövetése</t>
  </si>
  <si>
    <t>határozatlan</t>
  </si>
  <si>
    <t>Allianz Hungária Biztosító RT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</si>
  <si>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</si>
  <si>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</si>
  <si>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</si>
  <si>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</si>
  <si>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</si>
  <si>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</si>
  <si>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</si>
  <si>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</si>
  <si>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</si>
  <si>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</si>
  <si>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</si>
  <si>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</si>
  <si>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</si>
  <si>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</si>
  <si>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</si>
  <si>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</si>
  <si>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</si>
  <si>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</si>
  <si>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</si>
  <si>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</si>
  <si>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</si>
  <si>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</si>
  <si>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</si>
  <si>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</si>
  <si>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</si>
  <si>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</si>
  <si>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</si>
  <si>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</si>
  <si>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</si>
  <si>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</si>
  <si>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</si>
  <si>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</si>
  <si>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</si>
  <si>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</si>
  <si>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</si>
  <si>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</si>
  <si>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</si>
  <si>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</si>
  <si>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</si>
  <si>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</si>
  <si>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</si>
  <si>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</si>
  <si>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</si>
  <si>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</si>
  <si>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</si>
  <si>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</si>
  <si>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</si>
  <si>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</si>
  <si>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</si>
  <si>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</si>
  <si>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</si>
  <si>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</si>
  <si>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</si>
  <si>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</si>
  <si>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</si>
  <si>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</si>
  <si>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</si>
  <si>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</si>
  <si>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mobiltelefon előfizetése-Szakcs (30/501-3166)</t>
  </si>
  <si>
    <t>Márton Zoltán ev.</t>
  </si>
  <si>
    <t>PH épületek fűtési rendszerek üzemeltetése, karbantartása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</si>
  <si>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</si>
  <si>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</si>
  <si>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</si>
  <si>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</si>
  <si>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</si>
  <si>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</si>
  <si>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</si>
  <si>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</si>
  <si>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</si>
  <si>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</si>
  <si>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</si>
  <si>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</si>
  <si>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</si>
  <si>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</si>
  <si>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</si>
  <si>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</si>
  <si>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</si>
  <si>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</si>
  <si>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</si>
  <si>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</si>
  <si>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</si>
  <si>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</si>
  <si>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</si>
  <si>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</si>
  <si>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</si>
  <si>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Telenor Magyarország Zrt.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</si>
  <si>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</si>
  <si>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</si>
  <si>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</si>
  <si>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</si>
  <si>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</si>
  <si>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</si>
  <si>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VARITEL Irodatechnika</t>
  </si>
  <si>
    <t>fénymásoló (KONICA Minolta BizHub 283)bérleti díja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</si>
  <si>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</si>
  <si>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</si>
  <si>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</si>
  <si>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</si>
  <si>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</si>
  <si>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</si>
  <si>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</si>
  <si>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</si>
  <si>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</si>
  <si>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</si>
  <si>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</si>
  <si>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</si>
  <si>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AEGON Magyarország Zrt</t>
  </si>
  <si>
    <t>Vagyonbiztosítás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</si>
  <si>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</si>
  <si>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</si>
  <si>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</si>
  <si>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</si>
  <si>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</si>
  <si>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</si>
  <si>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BIOKOM Nonprofit Kft.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</si>
  <si>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</si>
  <si>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</si>
  <si>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</si>
  <si>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</si>
  <si>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</si>
  <si>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</si>
  <si>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</si>
  <si>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</si>
  <si>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</si>
  <si>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</si>
  <si>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</si>
  <si>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</si>
  <si>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</si>
  <si>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</si>
  <si>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</si>
  <si>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</si>
  <si>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projektmenedzsment feladatok-TOP-5.1.2-15-TL1-2016-00002</t>
  </si>
  <si>
    <t>Dombóvár 1043/4 sz. Társasház</t>
  </si>
  <si>
    <t>Pannónia u. 56. rendelő közös ktg.-fel.ellátási szerz. alap.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</si>
  <si>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</si>
  <si>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</si>
  <si>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</si>
  <si>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</si>
  <si>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</si>
  <si>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</si>
  <si>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Illyés Gyula Gimnáziumért Alapítvány</t>
  </si>
  <si>
    <t>Gimnáziumi Tehetséggondozó Program</t>
  </si>
  <si>
    <t>Dombóvári Szent Lukács Kórház</t>
  </si>
  <si>
    <t>közfeladatok ellátása</t>
  </si>
  <si>
    <t>Dombóvári Vízmű Kft.</t>
  </si>
  <si>
    <t>viziközmű-fejlesztéssel kapcs. műszaki tanácsadói feladatok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</si>
  <si>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</si>
  <si>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</si>
  <si>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</si>
  <si>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</si>
  <si>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</si>
  <si>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</si>
  <si>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</si>
  <si>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</si>
  <si>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</si>
  <si>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</si>
  <si>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</si>
  <si>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</si>
  <si>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</si>
  <si>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</si>
  <si>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</si>
  <si>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</si>
  <si>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</si>
  <si>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</si>
  <si>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</si>
  <si>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</si>
  <si>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</si>
  <si>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</si>
  <si>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</si>
  <si>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</si>
  <si>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</si>
  <si>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kivitelezéshez igazodóan</t>
  </si>
  <si>
    <t>Gond-X Kft.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</si>
  <si>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</si>
  <si>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</si>
  <si>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</si>
  <si>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</si>
  <si>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</si>
  <si>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kerékpár bérlés-Gunaras</t>
  </si>
  <si>
    <t>Halmai József e.v.</t>
  </si>
  <si>
    <t>Intergált Önkormányzati Szolgáltató Szervezet</t>
  </si>
  <si>
    <t>veszélyes hulladék elszállítása-orvosi rendelők</t>
  </si>
  <si>
    <t>INVESTMENT Mérnöki és Fővállalkozó Kft.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</si>
  <si>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</si>
  <si>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</si>
  <si>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</si>
  <si>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</si>
  <si>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</si>
  <si>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</si>
  <si>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</si>
  <si>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</si>
  <si>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</si>
  <si>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</si>
  <si>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</si>
  <si>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</si>
  <si>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</si>
  <si>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</si>
  <si>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Közép-Dunántúli Vizügy.Ig.Balatoni Kir.</t>
  </si>
  <si>
    <t>mederhasználat díja Balatonfenyves tábor</t>
  </si>
  <si>
    <t>Magyar Európa Park Szövetség Egyesület</t>
  </si>
  <si>
    <t>Márkus Mérnöki Iroda Kft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</si>
  <si>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</si>
  <si>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</si>
  <si>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</si>
  <si>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</si>
  <si>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</si>
  <si>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</si>
  <si>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</si>
  <si>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</si>
  <si>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</si>
  <si>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</si>
  <si>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</si>
  <si>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Multi Alarm Zrt.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</si>
  <si>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</si>
  <si>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</si>
  <si>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</si>
  <si>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</si>
  <si>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</si>
  <si>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</si>
  <si>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</si>
  <si>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</si>
  <si>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</si>
  <si>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</si>
  <si>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Qilaq Solution Kft.</t>
  </si>
  <si>
    <t>új honlap kialakítása az INDA11 programhoz kapcsolódóan</t>
  </si>
  <si>
    <t>Reality - Property Kft.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</si>
  <si>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</si>
  <si>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</si>
  <si>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</si>
  <si>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</si>
  <si>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S-BERRY GROUP Kft.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</si>
  <si>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</si>
  <si>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</si>
  <si>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</si>
  <si>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</si>
  <si>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</si>
  <si>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</si>
  <si>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</si>
  <si>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</si>
  <si>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</si>
  <si>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</si>
  <si>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</si>
  <si>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</si>
  <si>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</si>
  <si>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</si>
  <si>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Társasház Kaposszekcső, Liget ltp. 5.</t>
  </si>
  <si>
    <t>közös költség-Liget ltp. 5. A, B, C lépcsőházak (bérlakások)</t>
  </si>
  <si>
    <t>Tinódi Ház Nonprofit Kft.</t>
  </si>
  <si>
    <t>TMK-BAU Építő, Kereskedelmi és Szolgáltató Kft.</t>
  </si>
  <si>
    <t>önkormányzat tulajdonában lévő lakásállomány javítási, karbantartási munkái</t>
  </si>
  <si>
    <t>Topa és Társa Építési Kft.</t>
  </si>
  <si>
    <t>20 db közkifolyó megszüntetésének helyreállítási munkái</t>
  </si>
  <si>
    <t>köztemetés</t>
  </si>
  <si>
    <t>Anubis-Ré Temetkezési Szolgáltató Kft.</t>
  </si>
  <si>
    <t>U Light ESCO Kft.</t>
  </si>
  <si>
    <t>közvilágítási elemek karbantartása-"aktív"</t>
  </si>
  <si>
    <t>Wagner Ernő e.v</t>
  </si>
  <si>
    <t>energetikai tanúsítványok készítése</t>
  </si>
  <si>
    <t>ZNET Telekom Zrt.</t>
  </si>
  <si>
    <t>AirBusiness 10/10 internet-Víztorony</t>
  </si>
  <si>
    <t>2.4. Dombó-Land Kft. tagi kölcsön visszafizetés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</si>
  <si>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</si>
  <si>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</si>
  <si>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</si>
  <si>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</si>
  <si>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</si>
  <si>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</si>
  <si>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</si>
  <si>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</si>
  <si>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</si>
  <si>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</si>
  <si>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</si>
  <si>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</si>
  <si>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</si>
  <si>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</si>
  <si>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</si>
  <si>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</si>
  <si>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</si>
  <si>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1. Szőlőhegyre vezető kerékpárút megépítése</t>
  </si>
  <si>
    <t>támogatás (közművelődési szerződés)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</si>
  <si>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</si>
  <si>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</si>
  <si>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</si>
  <si>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</si>
  <si>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</si>
  <si>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</si>
  <si>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</si>
  <si>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</si>
  <si>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</si>
  <si>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</si>
  <si>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1.3. Földi István Könyvtár</t>
  </si>
  <si>
    <t>2.3. Földi István Könyvtár</t>
  </si>
  <si>
    <t>2018. tény</t>
  </si>
  <si>
    <t>Átvett pénzeszköz, támogatás</t>
  </si>
  <si>
    <t>Eredeti előirányzat</t>
  </si>
  <si>
    <t>Dombóvári Százszorszép Óvoda és Bölcsőde</t>
  </si>
  <si>
    <t>106. cím összesen:</t>
  </si>
  <si>
    <t>1.4. Dombóvári Város- és Lakásgazdálkodási Nkft. tagi kölcsön</t>
  </si>
  <si>
    <t>2. Muzeális intézmények szakmai támogatása - vizesblokk felújítása (Kubinyi Program 2019.)</t>
  </si>
  <si>
    <t>Finanaszírozási bevételek</t>
  </si>
  <si>
    <t>3. Hitelek</t>
  </si>
  <si>
    <t>3.1. Működési hitel</t>
  </si>
  <si>
    <t>3.2. Beruházási hitel</t>
  </si>
  <si>
    <t>3.3. Likvid hitel</t>
  </si>
  <si>
    <t>4. Államháztartáson belüli megelőlegezések</t>
  </si>
  <si>
    <t xml:space="preserve">3. Működési célú visszatérítendő támogatások, kölcsönök visszatérülése nemzetiségi önkormányzatoktól és költségvetési szerveiktől </t>
  </si>
  <si>
    <t>3.1. Dombóvári Roma Nemzetiségi Önkormányzattól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</si>
  <si>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</si>
  <si>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</si>
  <si>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</si>
  <si>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1.4.4. Közös Önkormányzati Hivatal működtetéséhez hozzájárulás Csikóstőttős</t>
  </si>
  <si>
    <t>1.4.5. Közös Önkormányzati Hivatal működtetéséhez hozzájárulás Attala</t>
  </si>
  <si>
    <t>Katona József u. 37. szám alatti Dombóvári Ifjúsági Sporttelep területén 2020. december 31. napjáig térítésmentes használat, közüzemi költségeket és a létesítmény üzemeltetési költségeit az egyesület köteles viselni</t>
  </si>
  <si>
    <t>394/2019. (XII. 18.) Kt. határozat</t>
  </si>
  <si>
    <t>Dombóvár, Kinizsi utca 37. szám alatti Mándl Imre Ökölvívó Terem térítésmentes használata 2020. december 31-ig, a közüzemi költségeket és a létesítmény üzemeltetési költségeit az egyesület köteles viselni</t>
  </si>
  <si>
    <t>388/2019. (XII. 18.) Kt. határozat</t>
  </si>
  <si>
    <t>Őri Nándor dombóvári lakos</t>
  </si>
  <si>
    <t>Szigeterdőben – dombóvári 1882/6 hrsz.-ú kivett közpark, lakótorony megnevezésű ingatlanon – található lakótorony térítésmentes használata haszonkölcsön-szerződéssel – 2019. január 1-től
2021. december 31-ig – működtetésre, téglagyűjteményének bemutatására. Az összes üzemeltetési költséget az önkormányzat köteles viselni.</t>
  </si>
  <si>
    <t>353/2019. (XI. 29.)Kt. határozat</t>
  </si>
  <si>
    <t>dombóvári 0328/1 hrsz.-ú, a gyepmesteri telepet is magában foglaló ingatlan (2024. december 31-ig)</t>
  </si>
  <si>
    <t>472/2014. (XII. 18.) Kt. határozat</t>
  </si>
  <si>
    <t>350/2019. (XI. 29.) Kt. határozat</t>
  </si>
  <si>
    <t>Dombóvári Roma
Nemzetiségi Önkormányzat</t>
  </si>
  <si>
    <t>nemzetiségi feladatok ellátásához a Dombóvár, Szabadság utca 4. alatti, dombóvári 47 hrsz.-ú ingatlannak a kialakult viszonyok szerint a Dombóvár Város Önkormányzata tulajdonába tartozó ingatlanrész térítésmentes használata</t>
  </si>
  <si>
    <t>349/2019. (XI. 29.) Kt. határozat</t>
  </si>
  <si>
    <t>Dombóvár, Bezerédj u. 14. szám alatti, dombóvári 1306. hrsz.-ú ingatlanon épült társas irodaházban alábbi helyiségek használata: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2024. december 31-ig</t>
  </si>
  <si>
    <t>20 %-os adókedvezmény illeti meg azt a magánszemélyt, akinek a rendelet 1. melléklete I., II., vagy III. övezetébe sorolt lakóingatlana előtti közút nem rendelkezik aszfaltburkolattal.</t>
  </si>
  <si>
    <t xml:space="preserve">Adókedvezmény illeti meg azt a magánszemélyt, aki a rendelet 1. melléklete szerinti I. vagy II. övezetben lakást vásárolt és ott állandó lakóhelyet létesített. 
</t>
  </si>
  <si>
    <t xml:space="preserve">Mentes – a Htv. 13-13/A. §-ban foglaltakon túl – az építményadó megfizetése alól:
a) a lakás, amennyiben az adó alanya magánszemély, 
b) garázs, gépjárműtároló – kivéve az ingatlan-nyilvántartásban teremgarázsként feltüntetett épületrészt –, üvegház, pince, présház, hűtőház vagy ilyenként feltüntetésre váró épület, továbbá a melléképület és a melléképületrész. </t>
  </si>
  <si>
    <t>338/2019. (XI. 8.) Kt. határozat</t>
  </si>
  <si>
    <t>Magyar Máltai Szeretetszolgálat Egyesület</t>
  </si>
  <si>
    <t>térítésmentes használati jog a szociális szolgáltatás biztosítása érdekében az ellátási szerződéssel megegyező időtartamra a Dombóvár Város Önkormányzata tulajdonát képező, a Dombóvár, Arany János tér 2. alatti, dombóvári 224/3. hrsz. alatt felvett, valamint a Dombóvár, Szabadság utca 6. alatti, dombóvári 46. hrsz. alatt felvett ingatlanokra</t>
  </si>
  <si>
    <t>371/2018. (XI. 29.) Kt. határozat</t>
  </si>
  <si>
    <t>Kapos-hegyháti
Natúrpark Egyesület</t>
  </si>
  <si>
    <t>helyi természetvédelemmel kapcsolatos feladatok ellátásához – a dombóvári 2923/A/2 hrsz. alatt nyilvántartott, Gyár u. 16. szám alatti, természetőr bázis céljára szolgáló ingatlan térítésmentes használata  2019. január 1-től 2023. december 31-ig, a használó a térítésmentes használat fejében köteles viselni az összes üzemeltetési költséget</t>
  </si>
  <si>
    <t>2020. 01.01. nyitóállomány</t>
  </si>
  <si>
    <t>2026.</t>
  </si>
  <si>
    <t>2027-től</t>
  </si>
  <si>
    <t>2019.12.31-ig</t>
  </si>
  <si>
    <t>egyéb működési célú kiadások (bértámogatások)</t>
  </si>
  <si>
    <t xml:space="preserve"> TOP-7.1.1-16-H-ERFA-2018-00032</t>
  </si>
  <si>
    <t xml:space="preserve"> Szigeterdei Közösségi Tér kialakítása</t>
  </si>
  <si>
    <t>TOP-3.2.1-16-TL1-2018-00020</t>
  </si>
  <si>
    <t>A városháza épületének energetikai korszerűsítése Dombóváron</t>
  </si>
  <si>
    <t>KEHOP-5.4.1-16-2016-00131</t>
  </si>
  <si>
    <t xml:space="preserve"> ENERGIATUDATOS DOMBÓVÁR - Az energiatudatos gondolkodást és életmódot elősegítő tematikus programsorozat szervezése és lebonyolítása a helyi közösségek bevonásával Dombóváron és térségében</t>
  </si>
  <si>
    <t>KÖH Attalai Kirendeltsége</t>
  </si>
  <si>
    <t>KÖH Csikóstőttősi Kirendeltsége</t>
  </si>
  <si>
    <t>2020. évi kiemelt kiadási előirányzata</t>
  </si>
  <si>
    <t>Dombóvári Szivárvány Óvoda</t>
  </si>
  <si>
    <t>Földi István Könyvtár és Helytörténeti Gyűjtemény</t>
  </si>
  <si>
    <t>2. Óvoda udvari játszótér felújítása, mosdók felújítása, helyiségek lapozása, redőnyök</t>
  </si>
  <si>
    <t xml:space="preserve">Működési bevételek </t>
  </si>
  <si>
    <t>2.1. TOP-3.2.1-15-TL1-2016-00025 Épületenergetikai korszerűsítés a Dombóvári Illyés Gyula Gimnázium épületén</t>
  </si>
  <si>
    <t>Több évre kihatással járó kötelezettségvállalások 2019-2020. évi kifizetései (Dombóvár Város Önkormányzata)</t>
  </si>
  <si>
    <t>Várható összeg (Ft/év) 2020.</t>
  </si>
  <si>
    <t>Összeg (Ft/év)  2019.</t>
  </si>
  <si>
    <t>782/3 Társasház Buszmegálló</t>
  </si>
  <si>
    <t>közös költség-Hunyadi téri buszmegálló</t>
  </si>
  <si>
    <t>Bakó Ügyvédi Iroda</t>
  </si>
  <si>
    <t>közbeszerzési tanácsadói feladatok</t>
  </si>
  <si>
    <t>2020.12.31 (évente új szerződés)</t>
  </si>
  <si>
    <t>32 m3-es konténer bérlete-Lucza hegyi hulladékudvar, 15 m3-es konténer bérlete-Lucza hegyi hulladékudvar (padkaszemét gyűjtéséhez)</t>
  </si>
  <si>
    <t>Cél Taxi Dombóvár (Kondricz Attila)</t>
  </si>
  <si>
    <t>személytaxi-szolgáltatás igénybevételének támogatása (65. életévüket betöltött nyugdíjasok egészségügyi/szoc. célú közlekedése)</t>
  </si>
  <si>
    <t>edénybérlet-Mászlony, Szilfás</t>
  </si>
  <si>
    <t>D.Lamani Bt.</t>
  </si>
  <si>
    <t>rehabilitációs környezettervező szakértői feladatok ellátása-TOP-4.3.1-15-TL1-2016-00002</t>
  </si>
  <si>
    <t>kivitelezés műszaki átadásának napja</t>
  </si>
  <si>
    <t>rehabilitációs környezettervező szakértői feladatok ellátása-TOP-4.3.1-15-TL1-2016-00004</t>
  </si>
  <si>
    <t>Dománszki József ev.</t>
  </si>
  <si>
    <t>beruházásokkal és kivitelezésekkel kapcsolatos műszaki tanácsadói feladatok</t>
  </si>
  <si>
    <t>közös ktg.-bérlakások</t>
  </si>
  <si>
    <t>közös költség-Pannónia u. 54. (55 m2, 36 m2-es bérlakások), Pannónia u. 56. (52 m2-es bérlakás)</t>
  </si>
  <si>
    <t>fűtés díja-Hunyadi tér 32. (üres üzlethelyiség, volt Szemem Fénye)</t>
  </si>
  <si>
    <t>fűtés díja-Pannónia út 7. 2 lh. (üres üzlethelyiség)</t>
  </si>
  <si>
    <t>fűtési díj-Pannónia út 27. 4 lh (hőközpont)</t>
  </si>
  <si>
    <t>mosatási szolgáltatás (350,- ft+áfa/kg)</t>
  </si>
  <si>
    <t>Dombóvári Városgazd. Nkft.</t>
  </si>
  <si>
    <t>anyagbeszerzési feladatok ellátása</t>
  </si>
  <si>
    <t>bérlakások továbbszámlázott díjai</t>
  </si>
  <si>
    <t>vissza nem térítendő támogatás közfoglalkoztatásra</t>
  </si>
  <si>
    <t>mászlonyi konyhakertek szántása-TOP-5.2.1-15TL1-2016-00001</t>
  </si>
  <si>
    <t>Dombóvári Zöldküllő Egyesület</t>
  </si>
  <si>
    <t>visszatérítendő támogatás - TOP.7.1.1-16-H-ERFA-00255 (kutyás eszközök beszerzése; visszafizeti a támogatást, ha a támogatási kérelem pozitív elbírálásban részesül)</t>
  </si>
  <si>
    <t>visszatérítendő támogatás - TOP.7.1.1-16-H-ERFA-00177 (Kerékpáros pihenők felújításához előleg megelőlegezése)</t>
  </si>
  <si>
    <t>dr. Halász József</t>
  </si>
  <si>
    <t>védett épület támogatása-Ady Endre u. 28. (729 hrsz., 4 helyiségben nyílászárók külső-belső mázolása, falfelületek javítása)</t>
  </si>
  <si>
    <t>dr. Kutas Péter ügyvéd</t>
  </si>
  <si>
    <t>Árpád u. 2-4-6. szám alatti épület 2005. évi megsüllyedésével kapcsolatos peres eljárásban jogi képviselet</t>
  </si>
  <si>
    <t>dr. Turi Ákos</t>
  </si>
  <si>
    <t>közbeszerzési szaktanácsadói tevékenység-EFOP-3.9.2-16-2017-00047</t>
  </si>
  <si>
    <t>közbeszerzési szaktanácsadói tevékenység-EFOP-1.5.3-16-2017-00063</t>
  </si>
  <si>
    <t>dr. Szenyéri Zoltán</t>
  </si>
  <si>
    <t>250 kérdésből álló ismeretterjesztő kvízjáték összeállítása, vetélkedő levezetése-Dombóvár természeti, kulturális, helytörténeti, turisztikai értékei és emlékeiből</t>
  </si>
  <si>
    <t>levegőfúvó-Dombóvár szennyvíztisztító telep</t>
  </si>
  <si>
    <t>5 db grundfos szivattyú beszerzése-Dombóvár szennyvíztelep, gunarasi átemelő, Teleki u. átemelő, Búzavirág u. átemelő, NKÖSZ fogadó</t>
  </si>
  <si>
    <t>aprító berendezés-Kórház utcai szennyvíz átemelő</t>
  </si>
  <si>
    <t>szennyvíztisztító telep 1 db tartalék nyers szennyvíz feladó szivattyú beszerzése</t>
  </si>
  <si>
    <t>város ivóvízhálózatán bekövetkező, beruházási léptéket elérő hibaelhárítási munkák a rendkívüli helyzetből adódó azonnali feladatok elvégzésére a költségkeret 15%-áig</t>
  </si>
  <si>
    <t>IV. sz. vízműtelep klórozó berendezés jogszabálynak megfelelő biztonságtechnikai fejlesztése (megvalósulás a 2015-2017. év használati díjakból történik)</t>
  </si>
  <si>
    <t>IV. sz. vízműtelep: 2 db tartalék búvárszivattyú beszerzése (1 db az N-1. N-4 és IV/6 kutakba, 1 db az N-6 és IV/7 jelű kutakba)</t>
  </si>
  <si>
    <t>V. sz. vízműtelep klórozó berendezés jogszabálynak megfelelő biztonságtechnikai fejlesztése (megvalósulás a 2015-2017. év használati díjakból történik)</t>
  </si>
  <si>
    <t>energetikai hatékonyság javítása frekvenciaváltó beépítése-szennyvíztelep nyersszennyvíz átemelő, OMRON V-1000 VZA (2 db)</t>
  </si>
  <si>
    <t>IV. vízműtelep vízkezelő berendezés vezetékrendszer átalakítása a GAC szűrők elkülönített regenerálásának érdekében</t>
  </si>
  <si>
    <t>rehabilitációs környezettervező szakértői feladatok-TOP-4.3.1-15-TL1-2016-00003</t>
  </si>
  <si>
    <t>kivitelezés műszaki átádásának napja</t>
  </si>
  <si>
    <t>Szigeterdei lakótorony 24 órás távfelügyelete</t>
  </si>
  <si>
    <t>távfelügyelet, műszaki készenlét és karbantartás-Köztársaság u. inkubátorház</t>
  </si>
  <si>
    <t>Hajas Nikoletta e.v.</t>
  </si>
  <si>
    <t>szerződésmódosítás-csapadékvíz gyűjtésére alkalmas tartályok (eredeti szerződésben szereplő 126 db (2019.07.01-12.31.) helyett 73 db került kiszállításra 2019-ben, a maradék 53 db átadására 2020.04.30-ig kerül sor)</t>
  </si>
  <si>
    <t>2020.02.29 (évente új szerződés)</t>
  </si>
  <si>
    <t>Hírös Mester Szolgáltató és Kereskedelmi Kft.</t>
  </si>
  <si>
    <t>1 db szennyvízátemelő beszerzése (szállítással, telepítéssel, beüzemeléssel együtt)-Köztársaság u. 4636/1. hrsz.</t>
  </si>
  <si>
    <t>3 807 352</t>
  </si>
  <si>
    <t>célcsoport számára tartott programokhoz étkezési szolgáltatás-EFOP-1.5.3-16-2017-00063</t>
  </si>
  <si>
    <t>Kéknefelejcs és Ibolya u. ivóvízhálózat rekonstrukció</t>
  </si>
  <si>
    <t>aláírástól szám. 110 nap</t>
  </si>
  <si>
    <t>Jobbágy Gyula</t>
  </si>
  <si>
    <t>védett épület támogatása-Vasútsor u. 12./A 1/1. (1839/D/5 hrsz., nyílászáró csere és ehhez kapcsolódó javítási munkák)</t>
  </si>
  <si>
    <t>Kapos-hegyháti Natúrpark Egyesület</t>
  </si>
  <si>
    <t>vissza nem térítendő támogatás-TOP-7.1.1-16-H-ERFA-2019-00171 (Szállásréti tó környezetének kertépítészeti és infrastrukturális fejlesztéséhez önrész)</t>
  </si>
  <si>
    <t>Kiss Gyula ev.</t>
  </si>
  <si>
    <t>ivókutak, közkifolyók ellenőrzése, karbantartása</t>
  </si>
  <si>
    <t>2019.10.31 (évente új szerződés)</t>
  </si>
  <si>
    <t>Kovács Péter ev.</t>
  </si>
  <si>
    <t>Dombóvár Város építési szabályzatának módosításához szükséges tanulmány elkészítése a mágocsi elkerülő út és ipari park környezetének területére vonatkozóan</t>
  </si>
  <si>
    <t>2020.03.15 (évente új szerződés november közepétől március közepéig)</t>
  </si>
  <si>
    <t>Gimnázium mellett parkoló kialakítása-I. ütem</t>
  </si>
  <si>
    <t>munkaterület átadásától szám. 60 nap (2019.09.29)</t>
  </si>
  <si>
    <t>szőlőhegyi kerékpárút kivitelezési munkái-I. ütem</t>
  </si>
  <si>
    <t>aláírástól szám. 120 nap</t>
  </si>
  <si>
    <t>III. u. 34. sz. alatt lévő óvoda előtti járda bontása, új járda készítése</t>
  </si>
  <si>
    <t>Jókai u. 13. melléképület bontása</t>
  </si>
  <si>
    <t>Tinódi Ház melletti járdák bontása, föld feltöltése</t>
  </si>
  <si>
    <t>Szőlőhegy, Gárdonyi u. páros oldalán árok tisztítása és szintezése</t>
  </si>
  <si>
    <t>Hunyadi téren parkoló felújítás a Tinódi szobornál</t>
  </si>
  <si>
    <t>Horvay utcai üzletsor parkoló felújítása</t>
  </si>
  <si>
    <t>Kórház-Horvay utcai kereszteződés rendezése</t>
  </si>
  <si>
    <t>építési beruházás-TOP-4.3.1-15-TL1-2016-00002 Mászlony</t>
  </si>
  <si>
    <t>Maár Építész Iroda Kft.</t>
  </si>
  <si>
    <t>egy éves utófelülvizsgálati eljárás során műszaki érdekképviselet-Illyés Gy. Gimnázium energetikai korszerűsítése</t>
  </si>
  <si>
    <t>uszoda tűzjelző, inkubátorház biztonsági rendszer</t>
  </si>
  <si>
    <t>Műszaki ellenőri feladatok-Kéknefelejcs-Ibolya u. ivóvízhálózat rekonstrukció</t>
  </si>
  <si>
    <t>Műszaki ellenőri feladatok-TOP-4.3.1-15-TL1-2016-00002</t>
  </si>
  <si>
    <t>Műszaki ellenőri feladatok-TOP-4.3.1-15-TL1-2016-00003</t>
  </si>
  <si>
    <t>Márkus Tamás ev.</t>
  </si>
  <si>
    <t>műszaki ellenőri feladatok ellátása-Bezerédj u. ivóvízhálózat rekonstrukció I. ütem</t>
  </si>
  <si>
    <t>műszaki ellenőri feladatok ellátása-Nappali melegedő és Népkonyha</t>
  </si>
  <si>
    <t>Mátrai István</t>
  </si>
  <si>
    <t>védett épület támogatása-Teleki u. 55. (224/2 hrsz., homlokzatfelújítás)</t>
  </si>
  <si>
    <t>Medence-Szerviz Kft.</t>
  </si>
  <si>
    <t>Tinódi Ház előtti téren szökőkút kialakítása-2. rész-számla</t>
  </si>
  <si>
    <t>MTOK Magyar Tréning Oktatási Központ Kft.</t>
  </si>
  <si>
    <t>Képzések az EFOP-1.5.3-16-2017-00063 TSZ Keretében</t>
  </si>
  <si>
    <t>Képzések az EFOP-1.5.3-16-2017-00063 keretében</t>
  </si>
  <si>
    <t>Kamera rendszer karbantartás</t>
  </si>
  <si>
    <t>városi térfigyelő kamerarendszer bővítése 3 db térfigyelő kamerával a Kórház u. és Fő u. kereszteződésnél</t>
  </si>
  <si>
    <t>Dombóváron 2 db (Perekac), Gunarasban 4 db (Kernen tér, Kedves u., Tó u.) térfigyelő kamera telepítése</t>
  </si>
  <si>
    <t>Térfigyelő kamerarendszer bővítése 2 db kamerával a Százszorszép Tagóvodánál</t>
  </si>
  <si>
    <t>Nagy Sándor ev.</t>
  </si>
  <si>
    <t>Toyota Dyna 150 típusú kis-tehergépkocsi bérlete (NBJ-197)</t>
  </si>
  <si>
    <t>Népköztársaság u. 40. Társasház</t>
  </si>
  <si>
    <t>közös költség-Pannónia út 40. fsz./1. (bérlakás)</t>
  </si>
  <si>
    <t>műszaki tanácsadói feladatok-uszoda</t>
  </si>
  <si>
    <t>Pilotinvest Kft.</t>
  </si>
  <si>
    <t>Képzési szolgáltatások (Érzelmi intelligencia fejlesztése....)-EFOP-3.9.2-16-2017-00047</t>
  </si>
  <si>
    <t>Dombóvár városkártya rendszer üzemeltetése</t>
  </si>
  <si>
    <t>Reneszánsz Zrt</t>
  </si>
  <si>
    <t>gróf Batthyány Lajos félalakos szobra</t>
  </si>
  <si>
    <t>Régió Könyvszakértő és Számviteli Szolgáltató Kft.</t>
  </si>
  <si>
    <t>könyvvizsgálat-EFOP-3.9.2-16-2017-00047</t>
  </si>
  <si>
    <t>Rimai Rudolf ev.</t>
  </si>
  <si>
    <t>műszaki ellenőri feladatok ellátása-szőlőhegyi kerékpárút kivitelezési munkái I. ütem</t>
  </si>
  <si>
    <t>Rostás Jenőné ev.</t>
  </si>
  <si>
    <t>elektromos eszközök szállítása-TOP-4.3.1-15-TL1-2016-00004</t>
  </si>
  <si>
    <t>közösségi szőlészeti oktatóközpont műszaki átadás-átvételét követő nap</t>
  </si>
  <si>
    <t>elektromos eszközök szállítása-TOP-4.3.1-15-TL1-2016-00002</t>
  </si>
  <si>
    <t>közösségi ház műszaki átadás-átvételét követő nap</t>
  </si>
  <si>
    <t>RP-SC Holding Szolgáltató Kft.</t>
  </si>
  <si>
    <t>Bezerédj u. ivóvízvezeték rekonstrukció I. ütem II. eljárás</t>
  </si>
  <si>
    <t>energetikai tanúsítás/audit elvégzése a beruházás utáni állapotra-TOP-4.3.1-15-TL1-2016-00002</t>
  </si>
  <si>
    <t>energetikai tanúsítás/audit elvégzése a beruházás utáni állapotra-TOP-4.3.1-15-TL1-2016-00004</t>
  </si>
  <si>
    <t>karácsonyi díszvilágítás felszerelése, leszerelése-2019-2020.</t>
  </si>
  <si>
    <t>Kórház u. és Fő u. kereszteződésnél 3 db térfigyelő kamera betáplálás tervezése és kivitelezése</t>
  </si>
  <si>
    <t>Kakasdomb-Erzsébet u. térfigyelő kamerarendszer bővítéséhez betáplálások tervezése és kivitelezése</t>
  </si>
  <si>
    <t>Szalai Kertépítő Szolgáltató Kft.</t>
  </si>
  <si>
    <t>Tinódi Ház előtti tér füvesítési munkái</t>
  </si>
  <si>
    <t>Tanácsköztársaság tér 7-9. társasház</t>
  </si>
  <si>
    <t>közös költség-Platán tér 7. fsz. 3. (bérlakás)</t>
  </si>
  <si>
    <t>Társasház Hunyadi tér 30-32.</t>
  </si>
  <si>
    <t>közös költség-Hunyadi tér 30-32. (25 és 23 m2-es üzletek)</t>
  </si>
  <si>
    <t>Társasház Hunyadi tér 34 A/B.</t>
  </si>
  <si>
    <t>közös költség-Hunyadi tér 34. (üzlet)</t>
  </si>
  <si>
    <t>vissza nem térítendő támogatás-Európai általános adatvédelmi rendelet (GDPR) rendelkezéseinek való megfelelés érdekében szükséges intézkedések fedezetére</t>
  </si>
  <si>
    <t>kivitelezési munkák-Tinódi Ház előtti tér rendezése</t>
  </si>
  <si>
    <t>beton darálás</t>
  </si>
  <si>
    <t>Veolia Energia Magyarország Zrt</t>
  </si>
  <si>
    <t>kamerarendszer karbantartása, üzem.-Víztorony</t>
  </si>
  <si>
    <t>2.6. Mecsek Dráva Önkormányzati Társulás 2019-2020. évi hozzájárulás</t>
  </si>
  <si>
    <t>2020. évi szociális, jóléti és egészségügyi juttatás</t>
  </si>
  <si>
    <t>Cafetéria juttatás (bruttó 200.000 Ft/fő/év)</t>
  </si>
  <si>
    <t>101-104. intézmények összesen</t>
  </si>
  <si>
    <t>4. Lakásgazdálkodás, bérleményhasznosítás - bérleti díj bevételek</t>
  </si>
  <si>
    <t>9. Farkas Attila Uszoda bevétele</t>
  </si>
  <si>
    <t>10. Megtakarítási életbiztosítás</t>
  </si>
  <si>
    <t>1.6. Foglalkoztatás támogatása pályázatokból</t>
  </si>
  <si>
    <t>1.8. Kiegészítő gyermekvédelmi támogatás</t>
  </si>
  <si>
    <t>1.9. EFOP-3.9.2-16-2017-00047 Humán kapacitások fejlesztése a Dombóvári járásban</t>
  </si>
  <si>
    <t>1.10. EFOP-1.5.3-16-2017-00063 Humán szolgáltatások fejlesztése a Dombóvári járásban</t>
  </si>
  <si>
    <t>1.11. TOP CLLD ESZA pályázati támogatás rendezvényekre</t>
  </si>
  <si>
    <t>1.12. 2019. évi Európai Mobilitási Hét és Autómentes Nap rendezvény támogatása</t>
  </si>
  <si>
    <t>1.13. KEHOP-5.4.1-16-2016-00131 Energiatudatos Dombóvár</t>
  </si>
  <si>
    <t>1.14. TOP-5.2.1-15-TL1-2016-00001 Mászlony</t>
  </si>
  <si>
    <t>1.15. TOP-5.2.1-15-TL1-2016-00002 Szigetsor</t>
  </si>
  <si>
    <t>1.16. TOP-5.2.1-15-TL1-2016-00003 Kakasdomb-Erzsébet utca</t>
  </si>
  <si>
    <t>2.2. Döbrököztől szennyvízcsatlakozáshoz hozzájárulás</t>
  </si>
  <si>
    <t>2.3. Farkas Attila Uszoda vizesblokk és öltöző felújítására</t>
  </si>
  <si>
    <t>2.4. TOP-3.2.1-16-TL1-2018-00020 A városháza épületének energetikai korszerűsítése Dombóváron</t>
  </si>
  <si>
    <t>2.5. Zártkerti program</t>
  </si>
  <si>
    <t>2.6. TOP-7.1.1-16-H-ERFA-2018-00032  Szigeterdei Közösségi Tér kialakítása</t>
  </si>
  <si>
    <t>1.1. Tinódi Ház Nonprofit Kft-nek nyújtott visszatérítendő támogatás</t>
  </si>
  <si>
    <t>2.2. Inkubátorház mellett szennyvíz átemelőre vállalkozótól</t>
  </si>
  <si>
    <t>1. Zöld Liget Tagóvoda folyosó lapozása, ajtócsere</t>
  </si>
  <si>
    <t>2. Uszoda gépészeti felújítása</t>
  </si>
  <si>
    <t>1. Bölcsőde járdafelújítás, tető csapadékvíz elvezetés, gyermekátadó helyiség lapozása, WC ajtócsere, kazán</t>
  </si>
  <si>
    <t>1. Múzeum felújítás</t>
  </si>
  <si>
    <t>1. Választott tisztségviselők juttatásai</t>
  </si>
  <si>
    <t>2. Sportpályák (DIS, Szuhay Sportcentrum)</t>
  </si>
  <si>
    <t>3. Farkas Attila Uszoda</t>
  </si>
  <si>
    <t>4. Egyéb foglalkoztatottak személyi juttatásai</t>
  </si>
  <si>
    <t>5. TOP -5.2.1-15-TL1-2016-00001 A dombóvári Mászlony szegregátumban élők társadalmi integrációjának helyi szintű komplex programja</t>
  </si>
  <si>
    <t>6. TOP -5.2.1-15-TL1-2016-00002 A dombóvári Szigetsor-Vasút szegregátumban élők társadalmi integrációjának helyi szintű komplex programja</t>
  </si>
  <si>
    <t>7. TOP -5.2.1-15-TL1-2016-00003 A dombóvári Kakasdomb-Erzsébet utca szegregációval veszélyeztetett területén élők társadalmi integrációjának helyi szintű komplex programja</t>
  </si>
  <si>
    <t>8. EFOP-3.9.2-16-2017-00047 Humán kapacitások fejlesztése a Dombóvári járásban</t>
  </si>
  <si>
    <t>9. EFOP-1.5.3-16-2017-00063 Humán szolgáltatások fejlesztése a Dombóvári járásban</t>
  </si>
  <si>
    <t>10. TOP-7.1.1-16-H-ERFA-2018-00032  Szigeterdei Közösségi Tér kialakítása</t>
  </si>
  <si>
    <t>11. KEHOP-5.4.1-16-2016-00131 Energiatudatos Dombóvár</t>
  </si>
  <si>
    <t>4. Egyéb foglalkoztatottak</t>
  </si>
  <si>
    <t xml:space="preserve">1.10. Gyermek születésének támogatása
</t>
  </si>
  <si>
    <t>1.11. Védőoltások támogatása</t>
  </si>
  <si>
    <t>1.12. Nyílászáró cseréjére</t>
  </si>
  <si>
    <t>1.13. Kiegészítő települési támogatás a TOP-5.2.1-15 projektekhez kapcsolódóan</t>
  </si>
  <si>
    <t>1.14. Gyógyúszás költségeinek támogatása</t>
  </si>
  <si>
    <t>1.15. Személytaxi-szolgáltatás</t>
  </si>
  <si>
    <t>1.1. Dombóvári települési nemzetiségi önkormányzatok támogatására</t>
  </si>
  <si>
    <t>1.2. Dombóvári Szociális és Gyermekjóléti Intézményfenntartó Társulás működésre átadott pénzeszköz</t>
  </si>
  <si>
    <t>1.3. Dombóvári Illyés Gyula Gimnázium Tehetséggondozó Program támogatása</t>
  </si>
  <si>
    <t>2.13. Dombóvári Városgazdálkodási Nkft.-vel kötött közszolgáltatási szerződés ellentételezésének összege</t>
  </si>
  <si>
    <t>2.15. Tinódi Ház klímarendszere felújításának támogatása</t>
  </si>
  <si>
    <t>2.16. Szilveszteri futás támogatása</t>
  </si>
  <si>
    <t>2.17. Dombó-Média Kft. támogatása végelszámolás miatt</t>
  </si>
  <si>
    <t>2.18. Dombóvári Spartacus Sportegyesület támogatása</t>
  </si>
  <si>
    <t>2.19. Dombóvári Városgazdálkodási Nkft. részére önerő mezőgazdasági START mintaprogramhoz</t>
  </si>
  <si>
    <t>3.1. TOP -5.2.1-15-TL1-2016-00001 A dombóvári Mászlony szegregátumban élők társadalmi integrációjának helyi szintű komplex programja</t>
  </si>
  <si>
    <t>3.2. TOP -5.2.1-15-TL1-2016-00002 A dombóvári Szigetsor-Vasút szegregátumban élők társadalmi integrációjának helyi szintű komplex programja</t>
  </si>
  <si>
    <t>3.3. TOP -5.2.1-15-TL1-2016-00003 A dombóvári Kakasdomb-Erzsébet utca szegregációval veszélyeztetett területén élők társadalmi integrációjának helyi szintű komplex programja</t>
  </si>
  <si>
    <t>3.4. Foglalkoztatáshoz önerő</t>
  </si>
  <si>
    <t>5. A helyi önkormányzatok előző évi elszámolásából származó kiadások</t>
  </si>
  <si>
    <t>5.1. 2019. évi állami támogatások elszámolása</t>
  </si>
  <si>
    <t>2. Ingatlanvásárlás</t>
  </si>
  <si>
    <t>3. Ingatlanvásárlás - 947/7 hrsz. Dombóvári Vízmű Kft-től</t>
  </si>
  <si>
    <t>4. Közvilágítás bővítése, korszerűsítése, fejlesztése</t>
  </si>
  <si>
    <t>5. Tárgyi eszközök beszerzése</t>
  </si>
  <si>
    <t>6. Intézményi informatikai beszerzés</t>
  </si>
  <si>
    <t>7. Térfigyelő kamerarendszer bővítése</t>
  </si>
  <si>
    <t>8. Közkifolyók megszüntetése</t>
  </si>
  <si>
    <t>9. EFOP-3.9.2-16-2017-00047 Humán kapacitások fejlesztése a Dombóvári járásban</t>
  </si>
  <si>
    <t>10. TOP-4.3.1-15-TL1-2016-00002 Mászlony - oázis az agrársivatagban</t>
  </si>
  <si>
    <t>11. TOP-4.3.1-15-TL1-2016-00003 A dombóvári Szigetsor-Vasút szegregátumok rehabilitációja</t>
  </si>
  <si>
    <t>12. TOP-4.3.1-15-TL1-2016-00004 DARK projekt</t>
  </si>
  <si>
    <t>13. Kisteherautó városüzemeltetési feladatokhoz</t>
  </si>
  <si>
    <t>14. Parkoló kialakítása vasútállomásnál</t>
  </si>
  <si>
    <t>15. Hunyadi tér szervizútjai melletti parkolóhelyek megfordítása, 3 új parkolóhely kialakítása</t>
  </si>
  <si>
    <t>16. JAM csarnok tűzjelző rendszer fejlesztése</t>
  </si>
  <si>
    <t>17. Víztorony díszkivilágítás</t>
  </si>
  <si>
    <t>18. Dombóvári Illyés Gyula Gimnázium melletti parkoló kialakítás 1. ütem</t>
  </si>
  <si>
    <t>19. Szent László park környezetrendezés</t>
  </si>
  <si>
    <t>21. Kórházi parkoló kialakítás II. üteme</t>
  </si>
  <si>
    <t>22. Szökőkút kialakítása a Tinódi Ház előtti téren</t>
  </si>
  <si>
    <t>23. Inkubátorház mellett szennyvíz átemelő</t>
  </si>
  <si>
    <t>24. TOP-7.1.1-16-H-ERFA-2018-00032  Szigeterdei Közösségi Tér kialakítása</t>
  </si>
  <si>
    <t>1. Tinódi Ház előtti tér rendezése</t>
  </si>
  <si>
    <t>2. Útfelújítások</t>
  </si>
  <si>
    <t>3. Játszóterek felülvizsgálata, a szükséges és lehetséges javítási, felújítási munkák elvégzése</t>
  </si>
  <si>
    <t>4. Horvay utcai üzletsor parkoló felújítás 2. üteme</t>
  </si>
  <si>
    <t>5. Horvay u. - Kórház u. sarkának rendezése</t>
  </si>
  <si>
    <t>6. Temető fejlesztés</t>
  </si>
  <si>
    <t>8. Helyi védelem alatt álló épületek felújítása</t>
  </si>
  <si>
    <t>9. Csapadékvíz átemelő gépészeti és szivattyú felújítása II. ütem</t>
  </si>
  <si>
    <t>10. Bezerédj utcai ivóvízvezeték rekonstrukciója</t>
  </si>
  <si>
    <t>11. Kéknefelejcs és Ibolya u. ivóvízhálózat rekonstrukciója</t>
  </si>
  <si>
    <t>12. Műszaki ellenőri feladatok-Bezerédj u. ivóvízhálózat rekonstrukció I. ütem</t>
  </si>
  <si>
    <t>13. Műszaki ellenőri feladatok-Kéknefelejcs-Ibolya u. ivóvízhálózat rekonstr.</t>
  </si>
  <si>
    <t>14. TOP-3.2.1-16-TL1-2018-00020 A városháza épületének energetikai korszerűsítése Dombóváron</t>
  </si>
  <si>
    <t>2.1. Dombóvári Kosárlabda Suli Khe. részére önrész biztosítása kosárlabdacsarnok világítás korszerűsítéséhez</t>
  </si>
  <si>
    <t>2018-20. év</t>
  </si>
  <si>
    <t>2020. eredeti</t>
  </si>
  <si>
    <t>Működési célú támogatások államháztartáson belülről</t>
  </si>
  <si>
    <t>20. Parkoló kialakítása Járási Hivatal mögött, rendőrség mellet, Ady utcában</t>
  </si>
  <si>
    <t>17. Kamatfizetés</t>
  </si>
  <si>
    <t>17.1. Működési hitel után</t>
  </si>
  <si>
    <t>17.2. Beruházási hitel után</t>
  </si>
  <si>
    <t xml:space="preserve">18. Központi orvosi ügyelet </t>
  </si>
  <si>
    <t>19. Gyermek- és ifjúsági önkormányzat</t>
  </si>
  <si>
    <t>20. Jogi tanácsadás</t>
  </si>
  <si>
    <t>21. Városi rendezvények</t>
  </si>
  <si>
    <t>22. Testvérvárosi, külkapcsolati kiadások</t>
  </si>
  <si>
    <t>23. Önkormányzati jogalkotás kiadásai</t>
  </si>
  <si>
    <t>24. Helyi tömegközlekedés biztosítása</t>
  </si>
  <si>
    <t>25. Városmarketing és kommunikációs feladatok</t>
  </si>
  <si>
    <t>26. Víziközmű-fejlesztésekkel kapcs. műszaki tanácsadás</t>
  </si>
  <si>
    <t>27. Balatonfenyvesi és Gunarasi Ifjúsági Tábor üzemeltetése</t>
  </si>
  <si>
    <t>27.1. Balatonfenyves</t>
  </si>
  <si>
    <t>27.2. Gunaras</t>
  </si>
  <si>
    <t>28. Víznyelőrácsok cseréje</t>
  </si>
  <si>
    <t>29. ÁFA befizetés (építési telkek, víziközmű bérleti díj)</t>
  </si>
  <si>
    <t>30. Sportpályák üzemeltetése</t>
  </si>
  <si>
    <t>31. Hulladékudvar üzemeltetése</t>
  </si>
  <si>
    <t>32. Városkártya rendszer</t>
  </si>
  <si>
    <t>létszámkerete 2020. évben</t>
  </si>
  <si>
    <t>Szivárvány Óvoda</t>
  </si>
  <si>
    <t>Zöld Liget Óvoda</t>
  </si>
  <si>
    <t>Százszorszép Óvoda</t>
  </si>
  <si>
    <t>Tündérkert Bölcsőde</t>
  </si>
  <si>
    <t>Dombóvár</t>
  </si>
  <si>
    <t>Szakcs</t>
  </si>
  <si>
    <t>Attala</t>
  </si>
  <si>
    <t>Csikóstőttős</t>
  </si>
  <si>
    <t>2019. mód. ei.</t>
  </si>
  <si>
    <t>Több évre kihatással járó kötelezettségvállalások 2019-2020. évi kifizetései (Dombóvári Közös Önkormányzati Hivatal)</t>
  </si>
  <si>
    <t>Összeg (Ft/év)  2019</t>
  </si>
  <si>
    <t>Albacomp RI Kft.</t>
  </si>
  <si>
    <t>Elektronikus információbiztonsági feladatok ellátása</t>
  </si>
  <si>
    <t>gépjármű-felelősség biztosítás /EIE, JHG, LLP, JLV, LKU/, Casco+kieg. életbiztosítás / JHG, EIE, JLV, LKU/</t>
  </si>
  <si>
    <t>Bukor Éva e.v.</t>
  </si>
  <si>
    <t>Szakmai segítségnyújtás</t>
  </si>
  <si>
    <t xml:space="preserve"> -    </t>
  </si>
  <si>
    <t>Dombóvárhő</t>
  </si>
  <si>
    <t>felelősségbiztosítás, casco-JLV-415,EIE-487,LLP-126, LHL-651 (Szakcs)</t>
  </si>
  <si>
    <t>Konica Minolta Kft.</t>
  </si>
  <si>
    <t>Konica Minolta bizhub C250i fénymásoló - bérleti díj, és másolati díjak</t>
  </si>
  <si>
    <t xml:space="preserve"> - </t>
  </si>
  <si>
    <t>vezetékes telefonok - Szakcs</t>
  </si>
  <si>
    <t>villamosenergia-Szabadság u. 14.</t>
  </si>
  <si>
    <t>internet-előfizetési díj, internet optikai szálbérlet,kábelTV,Szakcs</t>
  </si>
  <si>
    <t>mobil távközlési szolgáltatások és mobil telefonok vásárlása, és uszoda</t>
  </si>
  <si>
    <t>Vincellérné dr. Illés Krisztina</t>
  </si>
  <si>
    <t>Dombóvári Egyesített Humán Szolgáltató Intézmény</t>
  </si>
  <si>
    <t>2023. év</t>
  </si>
  <si>
    <t>Tulajdonjog, illetve haszonélvezeti jog alapján a kedvezmény 1.219 adózót, a mentesség 1.698 adózót érintett az előző évben.</t>
  </si>
  <si>
    <t>Pénzma-   radv. + alulfin.</t>
  </si>
  <si>
    <t>Intézmények finanszírozása 2020. évben</t>
  </si>
  <si>
    <t>2.14. Dombóvári Ifjúsági Fúvószenekar támogatása</t>
  </si>
  <si>
    <t>7. Zártkerti program</t>
  </si>
  <si>
    <t>15. Víziközmű fejlesztés (előző évek)</t>
  </si>
  <si>
    <t>3.1. TOP-4.3.1-15-TL1-2016-00002 Mászlony - oázis az agrársivatagban</t>
  </si>
  <si>
    <t>3.2. TOP-4.3.1-15-TL1-2016-00003 A dombóvári Szigetsor-Vasút szegregátumok rehabilitációja</t>
  </si>
  <si>
    <t>3.3. TOP-4.3.1-15-TL1-2016-00004 DARK projekt</t>
  </si>
  <si>
    <t>3.4. Árpád utca 2-4-6 per</t>
  </si>
  <si>
    <t>3.5. TOP-7.1.1-16-H-ERFA-2018-00032  Szigeterdei Közösségi Tér kialakítása tartalék</t>
  </si>
  <si>
    <t>33. Településrendezési eszközök felülvizsgálata és módosítása</t>
  </si>
  <si>
    <t>34. Karácsonyi díszkivilágítás felszerelése, leszerelése</t>
  </si>
  <si>
    <t>35. TOP -5.2.1-15-TL1-2016-00001 A dombóvári Mászlony szegregátumban élők társadalmi integrációjának helyi szintű komplex programja</t>
  </si>
  <si>
    <t>36. TOP -5.2.1-15-TL1-2016-00002 pályázat A dombóvári Szigetsor-Vasút szegregátumban élők társadalmi integrációjának helyi szintű komplex programja</t>
  </si>
  <si>
    <t>37. TOP -5.2.1-15-TL1-2016-00003 A dombóvári Kakasdomb-Erzsébet utca szegregációval veszélyeztetett területén élők társadalmi integrációjának helyi szintű komplex programja</t>
  </si>
  <si>
    <t>38. TOP-5.1.2-15-TL1-2016-00002 pályázat Foglalkoztatási paktum létrehozása Tamási és Dombóvár városok környezetében</t>
  </si>
  <si>
    <t>39. EFOP-3.9.2-16-2017-00047 Humán kapacitások fejlesztése a Dombóvári járásban</t>
  </si>
  <si>
    <t>40. EFOP-1.5.3-16-2017-00063 Humán szolgáltatások fejlesztése a Dombóvári járásban</t>
  </si>
  <si>
    <t>41. TOP-4.3.1-15-TL1-2016-00002 Mászlony - oázis az agrársivatagban</t>
  </si>
  <si>
    <t>42. TOP-4.3.1-15-TL1-2016-00003 A dombóvári Szigetsor-Vasút szegregátumok rehabilitációja</t>
  </si>
  <si>
    <t>43. TOP-4.3.1-15-TL1-2016-00004 DARK projekt</t>
  </si>
  <si>
    <t>44. Régi szemétgyűjtők, utcabútorok cseréje</t>
  </si>
  <si>
    <t>45. Csapadékvízgyűjtő tartályok vásárlása</t>
  </si>
  <si>
    <t>46. Farkas Attila Uszoda üzemeltetése</t>
  </si>
  <si>
    <t>47. Önkormányzati lakások javítási, felújítási munkái</t>
  </si>
  <si>
    <t>48. Önkéntes lakossági járdaprogram</t>
  </si>
  <si>
    <t>49. Padkanyesések a városban</t>
  </si>
  <si>
    <t>50. Szociális alapon igényelhető kaszálás</t>
  </si>
  <si>
    <t>51. Internet hozzáférési pontok kialakításának költségei WiFi4EU</t>
  </si>
  <si>
    <t>52. Szúnyoggyérítés Dombóvár város közigazgatási területén</t>
  </si>
  <si>
    <t>53. Új közlekedési jelző- és utcanév táblák beszerzése</t>
  </si>
  <si>
    <t>54. Hőlégballonos függeszkedés</t>
  </si>
  <si>
    <t>55. Tolnai Népújság 2019.09.21-i számából 3000 példány megvásárlása (Dombóvár Almanach)</t>
  </si>
  <si>
    <t>56. Dombóvár Almanach megjelentetése a Tolnai Népújságban</t>
  </si>
  <si>
    <t>57. Újdombóvári Őszi Fesztiválra ideiglenes villamos hálózat kiépítése</t>
  </si>
  <si>
    <t>58. Adóellenőrzéshez adószakértő megbízása</t>
  </si>
  <si>
    <t>59. TOP-3.2.1-16-TL1-2018-00020 A városháza épületének energetikai korszerűsítése Dombóváron</t>
  </si>
  <si>
    <t>60. TOP-7.1.1-16-H-ERFA-2018-00032  Szigeterdei Közösségi Tér kialakítása</t>
  </si>
  <si>
    <t>61. KEHOP-5.4.1-16-2016-00131 Energiatudatos Dombóvár</t>
  </si>
  <si>
    <t>105. cím összesen</t>
  </si>
  <si>
    <t>2020. évi bevételei</t>
  </si>
  <si>
    <t>2020. évi kiadásai</t>
  </si>
  <si>
    <t>2020. évi nyitó</t>
  </si>
  <si>
    <t>2020. évi növekedés</t>
  </si>
  <si>
    <t>Csökkenés 2022-ben</t>
  </si>
  <si>
    <t>rágcsáló, kártevő és rovarirtás</t>
  </si>
  <si>
    <t>Dombóvár Város Önkormányzata 2020. évi előirányzat felhasználási terve</t>
  </si>
  <si>
    <t>2.2. 2 db műfüves labdarúgó pálya megvalósításához önerő</t>
  </si>
  <si>
    <t>1. melléklet a 7/2020. (II. 29.) önkormányzati rendelethez</t>
  </si>
  <si>
    <t>2. melléklet a 7/2020. (II. 29.) önkormányzati rendelethez</t>
  </si>
  <si>
    <t>2.a. melléklet a 7/2020. (II. 29.) önkormányzati rendelethez</t>
  </si>
  <si>
    <t>3. melléklet a 7/2020. (II. 29.) önkormányzati rendelethez</t>
  </si>
  <si>
    <t>4. melléklet a 7/2020. (II. 29.) önkormányzati rendelethez</t>
  </si>
  <si>
    <t>5.a melléklet a 7/2020. (II. 29.) önkormányzati rendelethez</t>
  </si>
  <si>
    <t>5.b melléklet a 7/2020. (II. 29.) önkormányzati rendelethez</t>
  </si>
  <si>
    <t>5.c melléklet a 7/2020. (II. 29.)  önkormányzati rendelethez</t>
  </si>
  <si>
    <t>6. melléklet a 7/2020. (II. 29.) önkormányzati rendelethez</t>
  </si>
  <si>
    <t>7. melléklet a 7/2020. (II. 29.) önkormányzati rendelethez</t>
  </si>
  <si>
    <t>8. melléklet a 7/2020. (II. 29.) önkormányzati rendelethez</t>
  </si>
  <si>
    <t>9. melléklet a 7/2020. (II. 29.) önkormányzati rendelethez</t>
  </si>
  <si>
    <t>10. melléklet a 7/2020. (II. 29.) önkormányzati rendelethez</t>
  </si>
  <si>
    <t>1.6.3. Önkormányzat (pályázatok)</t>
  </si>
  <si>
    <t>1.6.2. Önkormányzat (állami támogatás előleg)</t>
  </si>
  <si>
    <t>1.6.1. Önkormányzat</t>
  </si>
  <si>
    <t>1.5. Dombóvári Közös Önkormányzati Hivatal</t>
  </si>
  <si>
    <t>1.4 Szászorszép Óvoda és Bölcsöde</t>
  </si>
  <si>
    <t xml:space="preserve">1.1. Dombóvári Szivárvány Óvoda </t>
  </si>
  <si>
    <t>1.17. Kaposmenti Társulástól kapott támogatás</t>
  </si>
  <si>
    <t>3.1 Könyvtári célú érdekeltségnövelő támogatás</t>
  </si>
  <si>
    <t>3. Felhalmozási célú költségvetési támogatások</t>
  </si>
  <si>
    <t>2.3. Kulturális illetménypótlék</t>
  </si>
  <si>
    <t>2.2.2. Egészségügyi kiegészítő pótlék</t>
  </si>
  <si>
    <t xml:space="preserve">2.2.1. Szociális ágazati összevont pótlék </t>
  </si>
  <si>
    <t>2.1. A költségvetési szerveknél foglalkoztatottak 2019. évi áthúzódó és 2020. évi kompenzációja</t>
  </si>
  <si>
    <t>2. Működési célú költségvetési támogatások és kiegészítő támogatások (B115)</t>
  </si>
  <si>
    <t>1. Közfoglalkoztatás támogatása</t>
  </si>
  <si>
    <t>2. Bértámogatás</t>
  </si>
  <si>
    <t>Módosított előirányzat</t>
  </si>
  <si>
    <t>1.1 Német Nemzetiségi Önkormányzat részére pályázati önrész biztosítása</t>
  </si>
  <si>
    <t>16. Városháza épületében szalagfüggöny beszerzése</t>
  </si>
  <si>
    <t>25. Szuhay Sportcentrum villamos mérőhely kiépítése</t>
  </si>
  <si>
    <t>3.5. Maradvány igénybevétele</t>
  </si>
  <si>
    <t>2.20 GDPR megfeleléshez biztosított támogatás (Dombó-Land Kft, Tinódi Ház Nkft)</t>
  </si>
  <si>
    <t>2.1.2. Visszatérítendő támogatás Tinódi Ház Nkft</t>
  </si>
  <si>
    <t>1.5 Kaposmenti Társulás részére hozzájárulás biztosításacsaládsegítő és gyermekvédelmi feladatok ellátásához 2020.01.01-2020.04.30 időszakra</t>
  </si>
  <si>
    <t>1.4 Régészeti tárgyú pályázathoz önrész biztosítása</t>
  </si>
  <si>
    <t>1.2.1 GDPR megfeleléshez biztosított támogatás</t>
  </si>
  <si>
    <t>62.Városháza belső festési munkái</t>
  </si>
  <si>
    <t>23.1 Pandémia miatti védekezés kiadásái</t>
  </si>
  <si>
    <t>4. Kisteherautó vásárlás</t>
  </si>
  <si>
    <t>2. Könyvtári állomány fejlesztése</t>
  </si>
  <si>
    <t>módosított előirányzat</t>
  </si>
  <si>
    <t>Működési célú támogatások államháztartáson kivülről</t>
  </si>
  <si>
    <t>2020. mód. ei.</t>
  </si>
  <si>
    <t>8/a. melléklet a 7/2020. (II.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</si>
</sst>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F_t_-;\-* #,##0\ _F_t_-;_-* &quot;-&quot;\ _F_t_-;_-@_-"/>
    <numFmt numFmtId="165" formatCode="0.0%"/>
    <numFmt numFmtId="166" formatCode="0.0"/>
    <numFmt numFmtId="167" formatCode="#,##0.0000"/>
    <numFmt numFmtId="168" formatCode="#,##0_ ;\-#,##0\ "/>
  </numFmts>
  <fonts count="6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49" fillId="0" borderId="0"/>
    <xf numFmtId="0" fontId="3" fillId="0" borderId="0"/>
    <xf numFmtId="0" fontId="3" fillId="0" borderId="0"/>
    <xf numFmtId="0" fontId="49" fillId="0" borderId="0"/>
    <xf numFmtId="0" fontId="3" fillId="0" borderId="0" applyBorder="0"/>
    <xf numFmtId="0" fontId="3" fillId="0" borderId="0" applyBorder="0"/>
  </cellStyleXfs>
  <cellXfs count="691">
    <xf numFmtId="0" fontId="0" fillId="0" borderId="0" xfId="0"/>
    <xf numFmtId="0" fontId="22" fillId="0" borderId="0" xfId="53" applyFont="1"/>
    <xf numFmtId="0" fontId="25" fillId="0" borderId="0" xfId="53" applyFont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0" xfId="53" applyFont="1" applyBorder="1"/>
    <xf numFmtId="0" fontId="22" fillId="0" borderId="0" xfId="53" applyFont="1" applyAlignment="1">
      <alignment vertical="center"/>
    </xf>
    <xf numFmtId="0" fontId="26" fillId="0" borderId="0" xfId="53" applyFont="1"/>
    <xf numFmtId="0" fontId="26" fillId="0" borderId="0" xfId="53" applyFont="1" applyBorder="1" applyAlignment="1">
      <alignment horizontal="right"/>
    </xf>
    <xf numFmtId="0" fontId="2" fillId="0" borderId="0" xfId="51" applyFill="1"/>
    <xf numFmtId="0" fontId="2" fillId="0" borderId="0" xfId="51"/>
    <xf numFmtId="0" fontId="38" fillId="0" borderId="0" xfId="51" applyFont="1"/>
    <xf numFmtId="0" fontId="40" fillId="0" borderId="0" xfId="51" applyFont="1"/>
    <xf numFmtId="0" fontId="39" fillId="0" borderId="0" xfId="51" applyFont="1" applyAlignment="1">
      <alignment wrapText="1"/>
    </xf>
    <xf numFmtId="0" fontId="32" fillId="0" borderId="0" xfId="53" applyFont="1" applyFill="1" applyBorder="1" applyAlignment="1"/>
    <xf numFmtId="0" fontId="33" fillId="0" borderId="0" xfId="53" applyFont="1" applyFill="1" applyBorder="1" applyAlignment="1"/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3" fontId="44" fillId="0" borderId="0" xfId="51" applyNumberFormat="1" applyFont="1"/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0" fontId="49" fillId="0" borderId="0" xfId="62" applyFont="1"/>
    <xf numFmtId="0" fontId="49" fillId="0" borderId="0" xfId="62" applyFont="1" applyAlignment="1">
      <alignment wrapText="1"/>
    </xf>
    <xf numFmtId="0" fontId="49" fillId="0" borderId="0" xfId="62" applyFont="1" applyFill="1"/>
    <xf numFmtId="0" fontId="49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49" fillId="0" borderId="0" xfId="62" applyFont="1" applyAlignment="1">
      <alignment horizontal="right"/>
    </xf>
    <xf numFmtId="0" fontId="49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49" fillId="0" borderId="10" xfId="62" applyFont="1" applyFill="1" applyBorder="1" applyAlignment="1">
      <alignment vertical="center"/>
    </xf>
    <xf numFmtId="0" fontId="49" fillId="0" borderId="10" xfId="62" applyFont="1" applyFill="1" applyBorder="1" applyAlignment="1">
      <alignment vertical="center" wrapText="1"/>
    </xf>
    <xf numFmtId="0" fontId="49" fillId="0" borderId="10" xfId="62" applyFont="1" applyFill="1" applyBorder="1" applyAlignment="1">
      <alignment horizontal="center" vertical="center"/>
    </xf>
    <xf numFmtId="3" fontId="49" fillId="0" borderId="10" xfId="62" applyNumberFormat="1" applyFont="1" applyFill="1" applyBorder="1" applyAlignment="1">
      <alignment horizontal="right" vertical="center"/>
    </xf>
    <xf numFmtId="49" fontId="49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49" fillId="0" borderId="0" xfId="62" applyNumberFormat="1" applyFont="1"/>
    <xf numFmtId="3" fontId="49" fillId="0" borderId="36" xfId="62" applyNumberFormat="1" applyFont="1" applyFill="1" applyBorder="1" applyAlignment="1">
      <alignment horizontal="right" vertical="center"/>
    </xf>
    <xf numFmtId="3" fontId="49" fillId="0" borderId="10" xfId="62" applyNumberFormat="1" applyFont="1" applyFill="1" applyBorder="1" applyAlignment="1">
      <alignment vertical="center"/>
    </xf>
    <xf numFmtId="0" fontId="49" fillId="0" borderId="0" xfId="62" applyFont="1" applyBorder="1"/>
    <xf numFmtId="3" fontId="49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1" fillId="0" borderId="0" xfId="64" applyNumberFormat="1" applyFont="1" applyAlignment="1">
      <alignment horizontal="right"/>
    </xf>
    <xf numFmtId="3" fontId="32" fillId="0" borderId="0" xfId="64" applyNumberFormat="1" applyFont="1"/>
    <xf numFmtId="0" fontId="50" fillId="0" borderId="0" xfId="64" applyFont="1"/>
    <xf numFmtId="0" fontId="51" fillId="0" borderId="10" xfId="64" applyFont="1" applyBorder="1" applyAlignment="1">
      <alignment horizontal="left"/>
    </xf>
    <xf numFmtId="0" fontId="50" fillId="0" borderId="10" xfId="64" applyFont="1" applyBorder="1"/>
    <xf numFmtId="3" fontId="50" fillId="0" borderId="10" xfId="64" applyNumberFormat="1" applyFont="1" applyFill="1" applyBorder="1"/>
    <xf numFmtId="0" fontId="50" fillId="0" borderId="10" xfId="64" applyFont="1" applyBorder="1" applyAlignment="1">
      <alignment wrapText="1"/>
    </xf>
    <xf numFmtId="3" fontId="50" fillId="0" borderId="10" xfId="65" applyNumberFormat="1" applyFont="1" applyFill="1" applyBorder="1"/>
    <xf numFmtId="0" fontId="52" fillId="0" borderId="10" xfId="64" applyFont="1" applyBorder="1"/>
    <xf numFmtId="0" fontId="53" fillId="0" borderId="10" xfId="64" applyFont="1" applyBorder="1"/>
    <xf numFmtId="3" fontId="53" fillId="0" borderId="10" xfId="64" applyNumberFormat="1" applyFont="1" applyFill="1" applyBorder="1"/>
    <xf numFmtId="0" fontId="50" fillId="0" borderId="10" xfId="64" applyFont="1" applyFill="1" applyBorder="1"/>
    <xf numFmtId="0" fontId="53" fillId="0" borderId="10" xfId="64" applyFont="1" applyFill="1" applyBorder="1"/>
    <xf numFmtId="0" fontId="51" fillId="0" borderId="10" xfId="64" applyFont="1" applyFill="1" applyBorder="1"/>
    <xf numFmtId="3" fontId="51" fillId="0" borderId="10" xfId="64" applyNumberFormat="1" applyFont="1" applyFill="1" applyBorder="1"/>
    <xf numFmtId="0" fontId="51" fillId="0" borderId="10" xfId="64" applyFont="1" applyFill="1" applyBorder="1" applyAlignment="1">
      <alignment horizontal="left"/>
    </xf>
    <xf numFmtId="0" fontId="51" fillId="0" borderId="10" xfId="64" applyFont="1" applyBorder="1"/>
    <xf numFmtId="0" fontId="50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4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4" fillId="0" borderId="10" xfId="51" applyFont="1" applyFill="1" applyBorder="1"/>
    <xf numFmtId="1" fontId="49" fillId="0" borderId="10" xfId="60" applyNumberFormat="1" applyFont="1" applyFill="1" applyBorder="1"/>
    <xf numFmtId="165" fontId="49" fillId="0" borderId="10" xfId="60" applyNumberFormat="1" applyFont="1" applyFill="1" applyBorder="1"/>
    <xf numFmtId="0" fontId="49" fillId="0" borderId="0" xfId="65"/>
    <xf numFmtId="3" fontId="49" fillId="0" borderId="0" xfId="65" applyNumberFormat="1"/>
    <xf numFmtId="0" fontId="56" fillId="0" borderId="0" xfId="65" applyFont="1"/>
    <xf numFmtId="0" fontId="55" fillId="0" borderId="0" xfId="65" applyFont="1"/>
    <xf numFmtId="0" fontId="49" fillId="0" borderId="44" xfId="65" applyBorder="1"/>
    <xf numFmtId="0" fontId="49" fillId="0" borderId="45" xfId="65" applyBorder="1"/>
    <xf numFmtId="0" fontId="49" fillId="0" borderId="46" xfId="65" applyBorder="1"/>
    <xf numFmtId="0" fontId="49" fillId="0" borderId="47" xfId="65" applyBorder="1" applyAlignment="1">
      <alignment wrapText="1"/>
    </xf>
    <xf numFmtId="0" fontId="47" fillId="0" borderId="48" xfId="65" applyFont="1" applyBorder="1"/>
    <xf numFmtId="0" fontId="59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3" fontId="26" fillId="0" borderId="0" xfId="62" applyNumberFormat="1" applyFont="1" applyFill="1" applyBorder="1"/>
    <xf numFmtId="0" fontId="2" fillId="0" borderId="0" xfId="0" applyFont="1" applyFill="1"/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3" fontId="0" fillId="0" borderId="0" xfId="0" applyNumberFormat="1" applyFill="1"/>
    <xf numFmtId="3" fontId="2" fillId="0" borderId="0" xfId="0" applyNumberFormat="1" applyFont="1" applyFill="1"/>
    <xf numFmtId="3" fontId="0" fillId="24" borderId="0" xfId="0" applyNumberFormat="1" applyFill="1"/>
    <xf numFmtId="0" fontId="0" fillId="24" borderId="0" xfId="0" applyFill="1"/>
    <xf numFmtId="3" fontId="0" fillId="0" borderId="0" xfId="0" applyNumberFormat="1"/>
    <xf numFmtId="3" fontId="45" fillId="0" borderId="0" xfId="0" applyNumberFormat="1" applyFont="1" applyFill="1"/>
    <xf numFmtId="3" fontId="2" fillId="0" borderId="0" xfId="0" applyNumberFormat="1" applyFont="1"/>
    <xf numFmtId="0" fontId="2" fillId="0" borderId="0" xfId="0" applyFo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51" applyFill="1" applyAlignment="1"/>
    <xf numFmtId="3" fontId="32" fillId="0" borderId="0" xfId="64" applyNumberFormat="1" applyFont="1" applyFill="1"/>
    <xf numFmtId="3" fontId="50" fillId="0" borderId="0" xfId="64" applyNumberFormat="1" applyFont="1" applyFill="1"/>
    <xf numFmtId="3" fontId="51" fillId="0" borderId="0" xfId="64" applyNumberFormat="1" applyFont="1" applyFill="1" applyAlignment="1">
      <alignment horizontal="right"/>
    </xf>
    <xf numFmtId="3" fontId="51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0" fillId="0" borderId="0" xfId="64" applyNumberFormat="1" applyFont="1" applyFill="1" applyBorder="1"/>
    <xf numFmtId="3" fontId="0" fillId="0" borderId="11" xfId="0" applyNumberFormat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7" fillId="0" borderId="0" xfId="51" applyFont="1" applyFill="1" applyBorder="1" applyAlignment="1">
      <alignment horizontal="left"/>
    </xf>
    <xf numFmtId="0" fontId="47" fillId="0" borderId="10" xfId="5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right" vertical="center"/>
    </xf>
    <xf numFmtId="0" fontId="45" fillId="0" borderId="0" xfId="51" applyFont="1" applyFill="1"/>
    <xf numFmtId="0" fontId="26" fillId="0" borderId="0" xfId="62" applyFont="1" applyFill="1" applyBorder="1" applyAlignment="1">
      <alignment horizontal="center"/>
    </xf>
    <xf numFmtId="9" fontId="61" fillId="0" borderId="0" xfId="0" applyNumberFormat="1" applyFont="1" applyFill="1"/>
    <xf numFmtId="49" fontId="2" fillId="0" borderId="0" xfId="0" applyNumberFormat="1" applyFont="1" applyFill="1"/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7" fillId="0" borderId="0" xfId="61" applyFont="1" applyFill="1" applyBorder="1" applyAlignment="1">
      <alignment horizontal="center" vertical="center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right"/>
    </xf>
    <xf numFmtId="3" fontId="26" fillId="0" borderId="0" xfId="61" applyNumberFormat="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3" fontId="28" fillId="0" borderId="11" xfId="61" applyNumberFormat="1" applyFont="1" applyFill="1" applyBorder="1" applyAlignment="1">
      <alignment horizontal="right" vertical="center"/>
    </xf>
    <xf numFmtId="0" fontId="26" fillId="0" borderId="0" xfId="62" applyFont="1" applyFill="1" applyBorder="1" applyAlignment="1">
      <alignment horizontal="center"/>
    </xf>
    <xf numFmtId="3" fontId="50" fillId="0" borderId="0" xfId="64" applyNumberFormat="1" applyFont="1" applyAlignment="1">
      <alignment horizontal="right"/>
    </xf>
    <xf numFmtId="0" fontId="45" fillId="0" borderId="0" xfId="51" applyFont="1" applyFill="1" applyAlignment="1">
      <alignment horizontal="left" wrapText="1"/>
    </xf>
    <xf numFmtId="0" fontId="21" fillId="0" borderId="10" xfId="51" applyFont="1" applyFill="1" applyBorder="1"/>
    <xf numFmtId="0" fontId="54" fillId="0" borderId="0" xfId="0" applyFont="1"/>
    <xf numFmtId="14" fontId="2" fillId="0" borderId="0" xfId="51" applyNumberFormat="1" applyFont="1" applyFill="1"/>
    <xf numFmtId="3" fontId="54" fillId="0" borderId="0" xfId="51" applyNumberFormat="1" applyFont="1" applyFill="1"/>
    <xf numFmtId="3" fontId="38" fillId="0" borderId="0" xfId="62" applyNumberFormat="1" applyFont="1" applyFill="1" applyBorder="1" applyAlignment="1">
      <alignment horizontal="right"/>
    </xf>
    <xf numFmtId="0" fontId="38" fillId="0" borderId="0" xfId="62" applyFont="1" applyFill="1" applyBorder="1" applyAlignment="1">
      <alignment wrapText="1"/>
    </xf>
    <xf numFmtId="49" fontId="38" fillId="0" borderId="0" xfId="62" applyNumberFormat="1" applyFont="1" applyFill="1" applyBorder="1" applyAlignment="1">
      <alignment wrapText="1"/>
    </xf>
    <xf numFmtId="0" fontId="38" fillId="0" borderId="0" xfId="62" applyFont="1" applyFill="1" applyBorder="1" applyAlignment="1">
      <alignment horizontal="center"/>
    </xf>
    <xf numFmtId="0" fontId="38" fillId="0" borderId="0" xfId="62" applyFont="1" applyFill="1" applyBorder="1" applyAlignment="1">
      <alignment horizontal="center" wrapText="1"/>
    </xf>
    <xf numFmtId="3" fontId="38" fillId="0" borderId="0" xfId="62" applyNumberFormat="1" applyFont="1" applyFill="1" applyBorder="1" applyAlignment="1">
      <alignment horizontal="center"/>
    </xf>
    <xf numFmtId="3" fontId="38" fillId="0" borderId="0" xfId="62" applyNumberFormat="1" applyFont="1" applyFill="1" applyBorder="1"/>
    <xf numFmtId="167" fontId="62" fillId="0" borderId="0" xfId="62" applyNumberFormat="1" applyFont="1" applyFill="1" applyBorder="1" applyAlignment="1">
      <alignment horizontal="center" vertical="center"/>
    </xf>
    <xf numFmtId="0" fontId="38" fillId="0" borderId="16" xfId="62" applyFont="1" applyFill="1" applyBorder="1" applyAlignment="1">
      <alignment horizontal="left" vertical="center" wrapText="1"/>
    </xf>
    <xf numFmtId="49" fontId="38" fillId="0" borderId="32" xfId="62" applyNumberFormat="1" applyFont="1" applyFill="1" applyBorder="1" applyAlignment="1">
      <alignment horizontal="left" vertical="center" wrapText="1"/>
    </xf>
    <xf numFmtId="0" fontId="38" fillId="0" borderId="32" xfId="62" applyFont="1" applyFill="1" applyBorder="1" applyAlignment="1">
      <alignment horizontal="center" vertical="center" wrapText="1"/>
    </xf>
    <xf numFmtId="3" fontId="38" fillId="0" borderId="32" xfId="62" applyNumberFormat="1" applyFont="1" applyFill="1" applyBorder="1" applyAlignment="1">
      <alignment horizontal="right" vertical="center" wrapText="1"/>
    </xf>
    <xf numFmtId="3" fontId="38" fillId="0" borderId="17" xfId="62" applyNumberFormat="1" applyFont="1" applyFill="1" applyBorder="1" applyAlignment="1">
      <alignment horizontal="right" vertical="center" wrapText="1"/>
    </xf>
    <xf numFmtId="0" fontId="38" fillId="0" borderId="19" xfId="62" applyFont="1" applyFill="1" applyBorder="1" applyAlignment="1">
      <alignment horizontal="left" vertical="center" wrapText="1"/>
    </xf>
    <xf numFmtId="49" fontId="38" fillId="0" borderId="10" xfId="62" applyNumberFormat="1" applyFont="1" applyFill="1" applyBorder="1" applyAlignment="1">
      <alignment horizontal="left" vertical="center" wrapText="1"/>
    </xf>
    <xf numFmtId="0" fontId="38" fillId="0" borderId="10" xfId="62" applyFont="1" applyFill="1" applyBorder="1" applyAlignment="1">
      <alignment horizontal="center" vertical="center" wrapText="1"/>
    </xf>
    <xf numFmtId="3" fontId="38" fillId="0" borderId="10" xfId="62" applyNumberFormat="1" applyFont="1" applyFill="1" applyBorder="1" applyAlignment="1">
      <alignment horizontal="right" vertical="center" wrapText="1"/>
    </xf>
    <xf numFmtId="3" fontId="38" fillId="0" borderId="20" xfId="62" applyNumberFormat="1" applyFont="1" applyFill="1" applyBorder="1" applyAlignment="1">
      <alignment horizontal="right" vertical="center" wrapText="1"/>
    </xf>
    <xf numFmtId="0" fontId="38" fillId="24" borderId="19" xfId="62" applyFont="1" applyFill="1" applyBorder="1" applyAlignment="1">
      <alignment wrapText="1"/>
    </xf>
    <xf numFmtId="49" fontId="38" fillId="0" borderId="10" xfId="62" applyNumberFormat="1" applyFont="1" applyFill="1" applyBorder="1" applyAlignment="1">
      <alignment wrapText="1"/>
    </xf>
    <xf numFmtId="14" fontId="38" fillId="0" borderId="10" xfId="62" applyNumberFormat="1" applyFont="1" applyFill="1" applyBorder="1" applyAlignment="1">
      <alignment horizontal="center"/>
    </xf>
    <xf numFmtId="3" fontId="38" fillId="0" borderId="10" xfId="62" applyNumberFormat="1" applyFont="1" applyFill="1" applyBorder="1" applyAlignment="1">
      <alignment horizontal="right"/>
    </xf>
    <xf numFmtId="3" fontId="38" fillId="0" borderId="20" xfId="62" applyNumberFormat="1" applyFont="1" applyFill="1" applyBorder="1" applyAlignment="1"/>
    <xf numFmtId="0" fontId="38" fillId="0" borderId="19" xfId="62" applyFont="1" applyFill="1" applyBorder="1" applyAlignment="1">
      <alignment wrapText="1"/>
    </xf>
    <xf numFmtId="14" fontId="38" fillId="24" borderId="10" xfId="62" applyNumberFormat="1" applyFont="1" applyFill="1" applyBorder="1" applyAlignment="1">
      <alignment horizontal="center"/>
    </xf>
    <xf numFmtId="3" fontId="38" fillId="24" borderId="10" xfId="62" applyNumberFormat="1" applyFont="1" applyFill="1" applyBorder="1" applyAlignment="1">
      <alignment horizontal="right"/>
    </xf>
    <xf numFmtId="0" fontId="38" fillId="0" borderId="10" xfId="62" applyFont="1" applyFill="1" applyBorder="1" applyAlignment="1">
      <alignment wrapText="1"/>
    </xf>
    <xf numFmtId="0" fontId="38" fillId="0" borderId="10" xfId="62" applyFont="1" applyFill="1" applyBorder="1" applyAlignment="1">
      <alignment horizontal="center"/>
    </xf>
    <xf numFmtId="3" fontId="38" fillId="0" borderId="10" xfId="62" applyNumberFormat="1" applyFont="1" applyFill="1" applyBorder="1" applyAlignment="1"/>
    <xf numFmtId="0" fontId="38" fillId="0" borderId="10" xfId="0" applyFont="1" applyBorder="1" applyAlignment="1">
      <alignment wrapText="1"/>
    </xf>
    <xf numFmtId="0" fontId="38" fillId="24" borderId="10" xfId="0" applyFont="1" applyFill="1" applyBorder="1" applyAlignment="1">
      <alignment wrapText="1"/>
    </xf>
    <xf numFmtId="0" fontId="38" fillId="24" borderId="10" xfId="62" applyFont="1" applyFill="1" applyBorder="1" applyAlignment="1">
      <alignment horizontal="center"/>
    </xf>
    <xf numFmtId="3" fontId="38" fillId="24" borderId="10" xfId="62" applyNumberFormat="1" applyFont="1" applyFill="1" applyBorder="1" applyAlignment="1"/>
    <xf numFmtId="3" fontId="38" fillId="24" borderId="20" xfId="62" applyNumberFormat="1" applyFont="1" applyFill="1" applyBorder="1" applyAlignment="1"/>
    <xf numFmtId="0" fontId="38" fillId="24" borderId="10" xfId="62" applyFont="1" applyFill="1" applyBorder="1" applyAlignment="1">
      <alignment horizontal="left" wrapText="1"/>
    </xf>
    <xf numFmtId="0" fontId="38" fillId="0" borderId="19" xfId="62" applyFont="1" applyFill="1" applyBorder="1" applyAlignment="1">
      <alignment horizontal="left" wrapText="1"/>
    </xf>
    <xf numFmtId="0" fontId="38" fillId="0" borderId="10" xfId="62" applyFont="1" applyFill="1" applyBorder="1" applyAlignment="1">
      <alignment horizontal="left" wrapText="1"/>
    </xf>
    <xf numFmtId="0" fontId="38" fillId="0" borderId="43" xfId="62" applyFont="1" applyFill="1" applyBorder="1" applyAlignment="1">
      <alignment horizontal="left" wrapText="1"/>
    </xf>
    <xf numFmtId="0" fontId="38" fillId="0" borderId="43" xfId="62" applyFont="1" applyFill="1" applyBorder="1" applyAlignment="1">
      <alignment horizontal="center"/>
    </xf>
    <xf numFmtId="3" fontId="38" fillId="0" borderId="43" xfId="62" applyNumberFormat="1" applyFont="1" applyFill="1" applyBorder="1" applyAlignment="1">
      <alignment horizontal="right"/>
    </xf>
    <xf numFmtId="3" fontId="38" fillId="0" borderId="69" xfId="62" applyNumberFormat="1" applyFont="1" applyFill="1" applyBorder="1" applyAlignment="1"/>
    <xf numFmtId="0" fontId="38" fillId="0" borderId="72" xfId="62" applyFont="1" applyFill="1" applyBorder="1" applyAlignment="1">
      <alignment horizontal="left" wrapText="1"/>
    </xf>
    <xf numFmtId="14" fontId="38" fillId="0" borderId="43" xfId="62" applyNumberFormat="1" applyFont="1" applyFill="1" applyBorder="1" applyAlignment="1">
      <alignment horizontal="center" wrapText="1"/>
    </xf>
    <xf numFmtId="14" fontId="38" fillId="0" borderId="10" xfId="62" applyNumberFormat="1" applyFont="1" applyFill="1" applyBorder="1" applyAlignment="1">
      <alignment horizontal="center" wrapText="1"/>
    </xf>
    <xf numFmtId="3" fontId="38" fillId="0" borderId="10" xfId="62" applyNumberFormat="1" applyFont="1" applyFill="1" applyBorder="1" applyAlignment="1">
      <alignment horizontal="right" vertical="center"/>
    </xf>
    <xf numFmtId="3" fontId="38" fillId="0" borderId="20" xfId="62" applyNumberFormat="1" applyFont="1" applyFill="1" applyBorder="1" applyAlignment="1">
      <alignment horizontal="right" vertical="center"/>
    </xf>
    <xf numFmtId="49" fontId="38" fillId="0" borderId="12" xfId="62" applyNumberFormat="1" applyFont="1" applyFill="1" applyBorder="1" applyAlignment="1">
      <alignment horizontal="left" vertical="center" wrapText="1"/>
    </xf>
    <xf numFmtId="0" fontId="38" fillId="0" borderId="12" xfId="62" applyFont="1" applyFill="1" applyBorder="1" applyAlignment="1">
      <alignment horizontal="center" vertical="center" wrapText="1"/>
    </xf>
    <xf numFmtId="3" fontId="38" fillId="0" borderId="12" xfId="62" applyNumberFormat="1" applyFont="1" applyFill="1" applyBorder="1" applyAlignment="1">
      <alignment horizontal="right" vertical="center" wrapText="1"/>
    </xf>
    <xf numFmtId="3" fontId="38" fillId="0" borderId="26" xfId="62" applyNumberFormat="1" applyFont="1" applyFill="1" applyBorder="1" applyAlignment="1">
      <alignment horizontal="right" vertical="center" wrapText="1"/>
    </xf>
    <xf numFmtId="3" fontId="38" fillId="0" borderId="20" xfId="0" applyNumberFormat="1" applyFont="1" applyFill="1" applyBorder="1"/>
    <xf numFmtId="14" fontId="38" fillId="0" borderId="10" xfId="62" applyNumberFormat="1" applyFont="1" applyFill="1" applyBorder="1" applyAlignment="1">
      <alignment horizontal="left" wrapText="1"/>
    </xf>
    <xf numFmtId="14" fontId="38" fillId="0" borderId="0" xfId="0" applyNumberFormat="1" applyFont="1" applyFill="1" applyAlignment="1">
      <alignment horizontal="center"/>
    </xf>
    <xf numFmtId="0" fontId="38" fillId="0" borderId="0" xfId="0" applyFont="1" applyAlignment="1">
      <alignment wrapText="1"/>
    </xf>
    <xf numFmtId="3" fontId="38" fillId="0" borderId="20" xfId="62" applyNumberFormat="1" applyFont="1" applyFill="1" applyBorder="1" applyAlignment="1">
      <alignment horizontal="right"/>
    </xf>
    <xf numFmtId="3" fontId="38" fillId="0" borderId="10" xfId="0" applyNumberFormat="1" applyFont="1" applyBorder="1"/>
    <xf numFmtId="3" fontId="38" fillId="0" borderId="12" xfId="0" applyNumberFormat="1" applyFont="1" applyBorder="1"/>
    <xf numFmtId="0" fontId="38" fillId="0" borderId="19" xfId="0" applyFont="1" applyFill="1" applyBorder="1" applyAlignment="1">
      <alignment wrapText="1"/>
    </xf>
    <xf numFmtId="49" fontId="38" fillId="0" borderId="10" xfId="0" applyNumberFormat="1" applyFont="1" applyFill="1" applyBorder="1" applyAlignment="1">
      <alignment wrapText="1"/>
    </xf>
    <xf numFmtId="14" fontId="38" fillId="0" borderId="10" xfId="0" applyNumberFormat="1" applyFont="1" applyFill="1" applyBorder="1" applyAlignment="1">
      <alignment horizontal="center"/>
    </xf>
    <xf numFmtId="14" fontId="38" fillId="0" borderId="10" xfId="0" applyNumberFormat="1" applyFont="1" applyFill="1" applyBorder="1" applyAlignment="1">
      <alignment horizontal="left" wrapText="1"/>
    </xf>
    <xf numFmtId="3" fontId="38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 applyAlignment="1">
      <alignment wrapText="1"/>
    </xf>
    <xf numFmtId="0" fontId="38" fillId="0" borderId="19" xfId="0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left" wrapText="1"/>
    </xf>
    <xf numFmtId="3" fontId="38" fillId="0" borderId="20" xfId="0" applyNumberFormat="1" applyFont="1" applyFill="1" applyBorder="1" applyAlignment="1"/>
    <xf numFmtId="14" fontId="38" fillId="0" borderId="10" xfId="0" applyNumberFormat="1" applyFont="1" applyFill="1" applyBorder="1" applyAlignment="1">
      <alignment horizontal="center" wrapText="1"/>
    </xf>
    <xf numFmtId="0" fontId="38" fillId="0" borderId="72" xfId="62" applyFont="1" applyFill="1" applyBorder="1" applyAlignment="1">
      <alignment wrapText="1"/>
    </xf>
    <xf numFmtId="49" fontId="38" fillId="0" borderId="43" xfId="62" applyNumberFormat="1" applyFont="1" applyFill="1" applyBorder="1" applyAlignment="1">
      <alignment wrapText="1"/>
    </xf>
    <xf numFmtId="14" fontId="38" fillId="0" borderId="43" xfId="62" applyNumberFormat="1" applyFont="1" applyFill="1" applyBorder="1" applyAlignment="1">
      <alignment horizontal="center"/>
    </xf>
    <xf numFmtId="0" fontId="59" fillId="0" borderId="0" xfId="0" applyFont="1" applyFill="1"/>
    <xf numFmtId="14" fontId="38" fillId="24" borderId="10" xfId="0" applyNumberFormat="1" applyFont="1" applyFill="1" applyBorder="1" applyAlignment="1">
      <alignment horizontal="center"/>
    </xf>
    <xf numFmtId="3" fontId="44" fillId="0" borderId="67" xfId="62" applyNumberFormat="1" applyFont="1" applyFill="1" applyBorder="1" applyAlignment="1">
      <alignment horizontal="right"/>
    </xf>
    <xf numFmtId="3" fontId="44" fillId="0" borderId="68" xfId="62" applyNumberFormat="1" applyFont="1" applyFill="1" applyBorder="1" applyAlignment="1">
      <alignment horizontal="right"/>
    </xf>
    <xf numFmtId="0" fontId="63" fillId="0" borderId="10" xfId="62" applyFont="1" applyFill="1" applyBorder="1" applyAlignment="1">
      <alignment wrapText="1"/>
    </xf>
    <xf numFmtId="49" fontId="63" fillId="0" borderId="10" xfId="62" applyNumberFormat="1" applyFont="1" applyFill="1" applyBorder="1" applyAlignment="1">
      <alignment wrapText="1"/>
    </xf>
    <xf numFmtId="0" fontId="63" fillId="0" borderId="10" xfId="62" applyFont="1" applyFill="1" applyBorder="1" applyAlignment="1">
      <alignment horizontal="center"/>
    </xf>
    <xf numFmtId="164" fontId="63" fillId="0" borderId="10" xfId="62" applyNumberFormat="1" applyFont="1" applyFill="1" applyBorder="1" applyAlignment="1">
      <alignment horizontal="right" wrapText="1"/>
    </xf>
    <xf numFmtId="3" fontId="63" fillId="0" borderId="10" xfId="62" applyNumberFormat="1" applyFont="1" applyFill="1" applyBorder="1"/>
    <xf numFmtId="14" fontId="63" fillId="0" borderId="10" xfId="62" applyNumberFormat="1" applyFont="1" applyFill="1" applyBorder="1" applyAlignment="1">
      <alignment horizontal="center"/>
    </xf>
    <xf numFmtId="0" fontId="63" fillId="0" borderId="10" xfId="51" applyFont="1" applyFill="1" applyBorder="1" applyAlignment="1">
      <alignment wrapText="1"/>
    </xf>
    <xf numFmtId="49" fontId="63" fillId="0" borderId="10" xfId="51" applyNumberFormat="1" applyFont="1" applyFill="1" applyBorder="1" applyAlignment="1">
      <alignment wrapText="1"/>
    </xf>
    <xf numFmtId="14" fontId="63" fillId="0" borderId="10" xfId="51" applyNumberFormat="1" applyFont="1" applyFill="1" applyBorder="1" applyAlignment="1">
      <alignment horizontal="center" wrapText="1"/>
    </xf>
    <xf numFmtId="0" fontId="63" fillId="0" borderId="10" xfId="62" applyFont="1" applyFill="1" applyBorder="1" applyAlignment="1">
      <alignment horizontal="left"/>
    </xf>
    <xf numFmtId="0" fontId="63" fillId="0" borderId="10" xfId="62" applyFont="1" applyFill="1" applyBorder="1" applyAlignment="1">
      <alignment horizontal="left" wrapText="1"/>
    </xf>
    <xf numFmtId="14" fontId="63" fillId="0" borderId="10" xfId="51" applyNumberFormat="1" applyFont="1" applyFill="1" applyBorder="1" applyAlignment="1">
      <alignment horizontal="center"/>
    </xf>
    <xf numFmtId="0" fontId="64" fillId="0" borderId="10" xfId="51" applyFont="1" applyBorder="1" applyAlignment="1">
      <alignment horizontal="right"/>
    </xf>
    <xf numFmtId="14" fontId="63" fillId="0" borderId="10" xfId="62" applyNumberFormat="1" applyFont="1" applyFill="1" applyBorder="1" applyAlignment="1">
      <alignment horizontal="center" wrapText="1"/>
    </xf>
    <xf numFmtId="49" fontId="63" fillId="0" borderId="10" xfId="62" applyNumberFormat="1" applyFont="1" applyFill="1" applyBorder="1" applyAlignment="1">
      <alignment horizontal="left" wrapText="1"/>
    </xf>
    <xf numFmtId="0" fontId="63" fillId="0" borderId="10" xfId="51" applyFont="1" applyBorder="1" applyAlignment="1">
      <alignment horizontal="right"/>
    </xf>
    <xf numFmtId="164" fontId="63" fillId="0" borderId="10" xfId="62" applyNumberFormat="1" applyFont="1" applyFill="1" applyBorder="1" applyAlignment="1">
      <alignment horizontal="center" wrapText="1"/>
    </xf>
    <xf numFmtId="0" fontId="64" fillId="0" borderId="10" xfId="51" applyFont="1" applyBorder="1" applyAlignment="1">
      <alignment wrapText="1"/>
    </xf>
    <xf numFmtId="164" fontId="63" fillId="24" borderId="10" xfId="62" applyNumberFormat="1" applyFont="1" applyFill="1" applyBorder="1" applyAlignment="1">
      <alignment horizontal="right" wrapText="1"/>
    </xf>
    <xf numFmtId="168" fontId="63" fillId="0" borderId="10" xfId="62" applyNumberFormat="1" applyFont="1" applyFill="1" applyBorder="1" applyAlignment="1">
      <alignment horizontal="right" wrapText="1"/>
    </xf>
    <xf numFmtId="14" fontId="63" fillId="24" borderId="10" xfId="62" applyNumberFormat="1" applyFont="1" applyFill="1" applyBorder="1" applyAlignment="1">
      <alignment horizontal="center" wrapText="1"/>
    </xf>
    <xf numFmtId="14" fontId="63" fillId="24" borderId="10" xfId="62" applyNumberFormat="1" applyFont="1" applyFill="1" applyBorder="1" applyAlignment="1">
      <alignment horizontal="center"/>
    </xf>
    <xf numFmtId="0" fontId="63" fillId="0" borderId="10" xfId="62" applyFont="1" applyFill="1" applyBorder="1" applyAlignment="1">
      <alignment horizontal="center" wrapText="1"/>
    </xf>
    <xf numFmtId="0" fontId="44" fillId="0" borderId="41" xfId="62" applyFont="1" applyFill="1" applyBorder="1" applyAlignment="1">
      <alignment horizontal="right"/>
    </xf>
    <xf numFmtId="164" fontId="44" fillId="0" borderId="41" xfId="62" applyNumberFormat="1" applyFont="1" applyFill="1" applyBorder="1" applyAlignment="1">
      <alignment horizontal="right" wrapText="1"/>
    </xf>
    <xf numFmtId="14" fontId="38" fillId="0" borderId="0" xfId="62" applyNumberFormat="1" applyFont="1" applyFill="1" applyBorder="1" applyAlignment="1">
      <alignment horizontal="center"/>
    </xf>
    <xf numFmtId="3" fontId="38" fillId="0" borderId="0" xfId="62" applyNumberFormat="1" applyFont="1" applyFill="1" applyBorder="1" applyAlignment="1"/>
    <xf numFmtId="3" fontId="50" fillId="0" borderId="0" xfId="64" applyNumberFormat="1" applyFont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38" fillId="0" borderId="0" xfId="0" applyFont="1" applyFill="1" applyAlignment="1">
      <alignment wrapText="1"/>
    </xf>
    <xf numFmtId="0" fontId="32" fillId="0" borderId="0" xfId="53" applyFont="1" applyFill="1" applyBorder="1" applyAlignment="1">
      <alignment horizontal="right"/>
    </xf>
    <xf numFmtId="0" fontId="32" fillId="0" borderId="10" xfId="53" applyFont="1" applyBorder="1"/>
    <xf numFmtId="0" fontId="22" fillId="0" borderId="10" xfId="53" applyFont="1" applyBorder="1" applyAlignment="1">
      <alignment horizontal="right"/>
    </xf>
    <xf numFmtId="0" fontId="22" fillId="0" borderId="13" xfId="53" applyFont="1" applyBorder="1"/>
    <xf numFmtId="3" fontId="22" fillId="0" borderId="10" xfId="53" applyNumberFormat="1" applyFont="1" applyBorder="1"/>
    <xf numFmtId="0" fontId="22" fillId="0" borderId="12" xfId="53" applyFont="1" applyBorder="1"/>
    <xf numFmtId="0" fontId="32" fillId="0" borderId="12" xfId="53" applyFont="1" applyBorder="1"/>
    <xf numFmtId="0" fontId="22" fillId="0" borderId="12" xfId="53" applyFont="1" applyBorder="1" applyAlignment="1">
      <alignment horizontal="right"/>
    </xf>
    <xf numFmtId="0" fontId="22" fillId="0" borderId="14" xfId="53" applyFont="1" applyBorder="1"/>
    <xf numFmtId="3" fontId="34" fillId="0" borderId="24" xfId="53" applyNumberFormat="1" applyFont="1" applyBorder="1"/>
    <xf numFmtId="3" fontId="34" fillId="0" borderId="41" xfId="53" applyNumberFormat="1" applyFont="1" applyBorder="1"/>
    <xf numFmtId="3" fontId="34" fillId="0" borderId="22" xfId="53" applyNumberFormat="1" applyFont="1" applyBorder="1"/>
    <xf numFmtId="3" fontId="34" fillId="0" borderId="33" xfId="53" applyNumberFormat="1" applyFont="1" applyBorder="1"/>
    <xf numFmtId="0" fontId="34" fillId="0" borderId="23" xfId="53" applyFont="1" applyBorder="1"/>
    <xf numFmtId="0" fontId="32" fillId="0" borderId="24" xfId="53" applyFont="1" applyBorder="1" applyAlignment="1">
      <alignment horizontal="right"/>
    </xf>
    <xf numFmtId="0" fontId="32" fillId="0" borderId="22" xfId="53" applyFont="1" applyBorder="1"/>
    <xf numFmtId="3" fontId="32" fillId="0" borderId="20" xfId="53" applyNumberFormat="1" applyFont="1" applyBorder="1"/>
    <xf numFmtId="3" fontId="32" fillId="0" borderId="10" xfId="53" applyNumberFormat="1" applyFont="1" applyBorder="1"/>
    <xf numFmtId="3" fontId="32" fillId="0" borderId="19" xfId="53" applyNumberFormat="1" applyFont="1" applyBorder="1"/>
    <xf numFmtId="0" fontId="32" fillId="0" borderId="20" xfId="53" applyFont="1" applyBorder="1"/>
    <xf numFmtId="0" fontId="32" fillId="0" borderId="19" xfId="53" applyFont="1" applyBorder="1"/>
    <xf numFmtId="0" fontId="32" fillId="0" borderId="21" xfId="53" applyFont="1" applyBorder="1"/>
    <xf numFmtId="0" fontId="32" fillId="0" borderId="20" xfId="53" applyFont="1" applyBorder="1" applyAlignment="1">
      <alignment horizontal="right"/>
    </xf>
    <xf numFmtId="3" fontId="32" fillId="0" borderId="31" xfId="53" applyNumberFormat="1" applyFont="1" applyBorder="1"/>
    <xf numFmtId="0" fontId="35" fillId="0" borderId="20" xfId="53" applyFont="1" applyBorder="1" applyAlignment="1">
      <alignment horizontal="right"/>
    </xf>
    <xf numFmtId="0" fontId="23" fillId="0" borderId="10" xfId="53" applyFont="1" applyBorder="1"/>
    <xf numFmtId="0" fontId="23" fillId="0" borderId="13" xfId="53" applyFont="1" applyBorder="1"/>
    <xf numFmtId="3" fontId="33" fillId="0" borderId="20" xfId="53" applyNumberFormat="1" applyFont="1" applyBorder="1"/>
    <xf numFmtId="3" fontId="33" fillId="0" borderId="10" xfId="53" applyNumberFormat="1" applyFont="1" applyBorder="1"/>
    <xf numFmtId="3" fontId="33" fillId="0" borderId="19" xfId="53" applyNumberFormat="1" applyFont="1" applyBorder="1"/>
    <xf numFmtId="0" fontId="33" fillId="0" borderId="21" xfId="53" applyFont="1" applyBorder="1"/>
    <xf numFmtId="0" fontId="33" fillId="0" borderId="20" xfId="53" applyFont="1" applyBorder="1" applyAlignment="1">
      <alignment horizontal="right"/>
    </xf>
    <xf numFmtId="0" fontId="33" fillId="0" borderId="19" xfId="53" applyFont="1" applyBorder="1"/>
    <xf numFmtId="3" fontId="33" fillId="0" borderId="31" xfId="53" applyNumberFormat="1" applyFont="1" applyBorder="1"/>
    <xf numFmtId="0" fontId="34" fillId="0" borderId="20" xfId="53" applyFont="1" applyBorder="1" applyAlignment="1">
      <alignment horizontal="right"/>
    </xf>
    <xf numFmtId="0" fontId="34" fillId="0" borderId="20" xfId="53" applyFont="1" applyBorder="1"/>
    <xf numFmtId="0" fontId="34" fillId="0" borderId="10" xfId="53" applyFont="1" applyBorder="1"/>
    <xf numFmtId="0" fontId="34" fillId="0" borderId="19" xfId="53" applyFont="1" applyBorder="1"/>
    <xf numFmtId="0" fontId="34" fillId="0" borderId="21" xfId="53" applyFont="1" applyBorder="1"/>
    <xf numFmtId="3" fontId="34" fillId="0" borderId="20" xfId="53" applyNumberFormat="1" applyFont="1" applyBorder="1"/>
    <xf numFmtId="3" fontId="34" fillId="0" borderId="10" xfId="53" applyNumberFormat="1" applyFont="1" applyBorder="1"/>
    <xf numFmtId="3" fontId="34" fillId="0" borderId="19" xfId="53" applyNumberFormat="1" applyFont="1" applyBorder="1"/>
    <xf numFmtId="0" fontId="33" fillId="0" borderId="25" xfId="53" applyFont="1" applyBorder="1"/>
    <xf numFmtId="0" fontId="21" fillId="0" borderId="10" xfId="53" applyFont="1" applyBorder="1"/>
    <xf numFmtId="0" fontId="21" fillId="0" borderId="13" xfId="53" applyFont="1" applyBorder="1"/>
    <xf numFmtId="0" fontId="24" fillId="0" borderId="10" xfId="53" applyFont="1" applyBorder="1"/>
    <xf numFmtId="0" fontId="24" fillId="0" borderId="13" xfId="53" applyFont="1" applyBorder="1"/>
    <xf numFmtId="3" fontId="32" fillId="0" borderId="20" xfId="53" applyNumberFormat="1" applyFont="1" applyBorder="1" applyAlignment="1">
      <alignment vertical="top" wrapText="1"/>
    </xf>
    <xf numFmtId="3" fontId="32" fillId="0" borderId="10" xfId="53" applyNumberFormat="1" applyFont="1" applyBorder="1" applyAlignment="1">
      <alignment vertical="top" wrapText="1"/>
    </xf>
    <xf numFmtId="3" fontId="32" fillId="0" borderId="19" xfId="53" applyNumberFormat="1" applyFont="1" applyBorder="1" applyAlignment="1">
      <alignment vertical="top" wrapText="1"/>
    </xf>
    <xf numFmtId="0" fontId="32" fillId="0" borderId="21" xfId="53" applyFont="1" applyBorder="1" applyAlignment="1">
      <alignment vertical="top" wrapText="1"/>
    </xf>
    <xf numFmtId="0" fontId="32" fillId="0" borderId="20" xfId="53" applyFont="1" applyBorder="1" applyAlignment="1">
      <alignment horizontal="right" vertical="center"/>
    </xf>
    <xf numFmtId="3" fontId="34" fillId="0" borderId="20" xfId="51" applyNumberFormat="1" applyFont="1" applyBorder="1"/>
    <xf numFmtId="3" fontId="34" fillId="0" borderId="10" xfId="51" applyNumberFormat="1" applyFont="1" applyBorder="1"/>
    <xf numFmtId="3" fontId="34" fillId="0" borderId="19" xfId="51" applyNumberFormat="1" applyFont="1" applyBorder="1"/>
    <xf numFmtId="3" fontId="34" fillId="0" borderId="20" xfId="53" applyNumberFormat="1" applyFont="1" applyBorder="1" applyAlignment="1">
      <alignment wrapText="1"/>
    </xf>
    <xf numFmtId="3" fontId="34" fillId="0" borderId="10" xfId="53" applyNumberFormat="1" applyFont="1" applyBorder="1" applyAlignment="1">
      <alignment wrapText="1"/>
    </xf>
    <xf numFmtId="3" fontId="34" fillId="0" borderId="19" xfId="53" applyNumberFormat="1" applyFont="1" applyBorder="1" applyAlignment="1">
      <alignment wrapText="1"/>
    </xf>
    <xf numFmtId="0" fontId="34" fillId="0" borderId="21" xfId="53" applyFont="1" applyBorder="1" applyAlignment="1">
      <alignment wrapText="1"/>
    </xf>
    <xf numFmtId="3" fontId="32" fillId="0" borderId="20" xfId="53" applyNumberFormat="1" applyFont="1" applyBorder="1" applyAlignment="1">
      <alignment wrapText="1"/>
    </xf>
    <xf numFmtId="3" fontId="32" fillId="0" borderId="10" xfId="53" applyNumberFormat="1" applyFont="1" applyBorder="1" applyAlignment="1">
      <alignment wrapText="1"/>
    </xf>
    <xf numFmtId="3" fontId="32" fillId="0" borderId="19" xfId="53" applyNumberFormat="1" applyFont="1" applyBorder="1" applyAlignment="1">
      <alignment wrapText="1"/>
    </xf>
    <xf numFmtId="0" fontId="32" fillId="0" borderId="21" xfId="53" applyFont="1" applyBorder="1" applyAlignment="1">
      <alignment wrapText="1"/>
    </xf>
    <xf numFmtId="3" fontId="35" fillId="0" borderId="20" xfId="53" applyNumberFormat="1" applyFont="1" applyBorder="1" applyAlignment="1">
      <alignment wrapText="1"/>
    </xf>
    <xf numFmtId="3" fontId="35" fillId="0" borderId="10" xfId="53" applyNumberFormat="1" applyFont="1" applyBorder="1" applyAlignment="1">
      <alignment wrapText="1"/>
    </xf>
    <xf numFmtId="3" fontId="35" fillId="0" borderId="19" xfId="53" applyNumberFormat="1" applyFont="1" applyBorder="1" applyAlignment="1">
      <alignment wrapText="1"/>
    </xf>
    <xf numFmtId="3" fontId="35" fillId="0" borderId="31" xfId="53" applyNumberFormat="1" applyFont="1" applyBorder="1" applyAlignment="1">
      <alignment wrapText="1"/>
    </xf>
    <xf numFmtId="0" fontId="35" fillId="0" borderId="21" xfId="53" applyFont="1" applyBorder="1" applyAlignment="1">
      <alignment wrapText="1"/>
    </xf>
    <xf numFmtId="3" fontId="33" fillId="0" borderId="20" xfId="53" applyNumberFormat="1" applyFont="1" applyBorder="1" applyAlignment="1">
      <alignment wrapText="1"/>
    </xf>
    <xf numFmtId="3" fontId="33" fillId="0" borderId="10" xfId="53" applyNumberFormat="1" applyFont="1" applyBorder="1" applyAlignment="1">
      <alignment wrapText="1"/>
    </xf>
    <xf numFmtId="3" fontId="33" fillId="0" borderId="19" xfId="53" applyNumberFormat="1" applyFont="1" applyBorder="1" applyAlignment="1">
      <alignment wrapText="1"/>
    </xf>
    <xf numFmtId="0" fontId="33" fillId="0" borderId="21" xfId="53" applyFont="1" applyBorder="1" applyAlignment="1">
      <alignment wrapText="1"/>
    </xf>
    <xf numFmtId="3" fontId="33" fillId="0" borderId="31" xfId="53" applyNumberFormat="1" applyFont="1" applyBorder="1" applyAlignment="1">
      <alignment wrapText="1"/>
    </xf>
    <xf numFmtId="3" fontId="32" fillId="0" borderId="31" xfId="53" applyNumberFormat="1" applyFont="1" applyBorder="1" applyAlignment="1">
      <alignment wrapText="1"/>
    </xf>
    <xf numFmtId="0" fontId="22" fillId="0" borderId="20" xfId="53" applyFont="1" applyBorder="1"/>
    <xf numFmtId="0" fontId="22" fillId="0" borderId="19" xfId="53" applyFont="1" applyBorder="1"/>
    <xf numFmtId="0" fontId="34" fillId="0" borderId="36" xfId="53" applyFont="1" applyBorder="1" applyAlignment="1">
      <alignment horizontal="right"/>
    </xf>
    <xf numFmtId="0" fontId="32" fillId="0" borderId="13" xfId="53" applyFont="1" applyBorder="1"/>
    <xf numFmtId="3" fontId="32" fillId="0" borderId="13" xfId="53" applyNumberFormat="1" applyFont="1" applyBorder="1" applyAlignment="1">
      <alignment wrapText="1"/>
    </xf>
    <xf numFmtId="0" fontId="33" fillId="0" borderId="20" xfId="53" applyFont="1" applyBorder="1" applyAlignment="1">
      <alignment wrapText="1"/>
    </xf>
    <xf numFmtId="0" fontId="33" fillId="0" borderId="10" xfId="53" applyFont="1" applyBorder="1" applyAlignment="1">
      <alignment wrapText="1"/>
    </xf>
    <xf numFmtId="0" fontId="33" fillId="0" borderId="19" xfId="53" applyFont="1" applyBorder="1" applyAlignment="1">
      <alignment wrapText="1"/>
    </xf>
    <xf numFmtId="3" fontId="33" fillId="0" borderId="35" xfId="53" applyNumberFormat="1" applyFont="1" applyBorder="1" applyAlignment="1">
      <alignment wrapText="1"/>
    </xf>
    <xf numFmtId="0" fontId="32" fillId="0" borderId="20" xfId="53" applyFont="1" applyBorder="1" applyAlignment="1">
      <alignment wrapText="1"/>
    </xf>
    <xf numFmtId="0" fontId="32" fillId="0" borderId="10" xfId="53" applyFont="1" applyBorder="1" applyAlignment="1">
      <alignment wrapText="1"/>
    </xf>
    <xf numFmtId="0" fontId="32" fillId="0" borderId="19" xfId="53" applyFont="1" applyBorder="1" applyAlignment="1">
      <alignment wrapText="1"/>
    </xf>
    <xf numFmtId="0" fontId="24" fillId="0" borderId="19" xfId="53" applyFont="1" applyBorder="1"/>
    <xf numFmtId="0" fontId="32" fillId="0" borderId="31" xfId="53" applyFont="1" applyBorder="1" applyAlignment="1">
      <alignment wrapText="1"/>
    </xf>
    <xf numFmtId="0" fontId="35" fillId="0" borderId="19" xfId="53" applyFont="1" applyBorder="1"/>
    <xf numFmtId="0" fontId="35" fillId="0" borderId="20" xfId="53" applyFont="1" applyBorder="1" applyAlignment="1">
      <alignment wrapText="1"/>
    </xf>
    <xf numFmtId="0" fontId="35" fillId="0" borderId="10" xfId="53" applyFont="1" applyBorder="1" applyAlignment="1">
      <alignment wrapText="1"/>
    </xf>
    <xf numFmtId="0" fontId="35" fillId="0" borderId="19" xfId="53" applyFont="1" applyBorder="1" applyAlignment="1">
      <alignment wrapText="1"/>
    </xf>
    <xf numFmtId="3" fontId="35" fillId="0" borderId="35" xfId="53" applyNumberFormat="1" applyFont="1" applyBorder="1" applyAlignment="1">
      <alignment wrapText="1"/>
    </xf>
    <xf numFmtId="3" fontId="32" fillId="0" borderId="35" xfId="53" applyNumberFormat="1" applyFont="1" applyBorder="1" applyAlignment="1">
      <alignment wrapText="1"/>
    </xf>
    <xf numFmtId="3" fontId="35" fillId="0" borderId="20" xfId="53" applyNumberFormat="1" applyFont="1" applyBorder="1"/>
    <xf numFmtId="3" fontId="35" fillId="0" borderId="10" xfId="53" applyNumberFormat="1" applyFont="1" applyBorder="1"/>
    <xf numFmtId="3" fontId="35" fillId="0" borderId="19" xfId="53" applyNumberFormat="1" applyFont="1" applyBorder="1"/>
    <xf numFmtId="3" fontId="32" fillId="0" borderId="35" xfId="53" applyNumberFormat="1" applyFont="1" applyBorder="1"/>
    <xf numFmtId="3" fontId="33" fillId="0" borderId="35" xfId="53" applyNumberFormat="1" applyFont="1" applyBorder="1"/>
    <xf numFmtId="16" fontId="32" fillId="0" borderId="21" xfId="53" applyNumberFormat="1" applyFont="1" applyBorder="1" applyAlignment="1">
      <alignment wrapText="1"/>
    </xf>
    <xf numFmtId="0" fontId="32" fillId="0" borderId="21" xfId="53" quotePrefix="1" applyFont="1" applyBorder="1" applyAlignment="1">
      <alignment wrapText="1"/>
    </xf>
    <xf numFmtId="3" fontId="32" fillId="0" borderId="34" xfId="53" applyNumberFormat="1" applyFont="1" applyBorder="1"/>
    <xf numFmtId="0" fontId="32" fillId="0" borderId="21" xfId="0" applyFont="1" applyBorder="1"/>
    <xf numFmtId="0" fontId="32" fillId="0" borderId="36" xfId="53" applyFont="1" applyBorder="1" applyAlignment="1">
      <alignment horizontal="right"/>
    </xf>
    <xf numFmtId="0" fontId="32" fillId="0" borderId="0" xfId="0" applyFont="1" applyAlignment="1">
      <alignment wrapText="1"/>
    </xf>
    <xf numFmtId="0" fontId="34" fillId="0" borderId="20" xfId="53" applyFont="1" applyBorder="1" applyAlignment="1">
      <alignment wrapText="1"/>
    </xf>
    <xf numFmtId="0" fontId="34" fillId="0" borderId="10" xfId="53" applyFont="1" applyBorder="1" applyAlignment="1">
      <alignment wrapText="1"/>
    </xf>
    <xf numFmtId="0" fontId="34" fillId="0" borderId="19" xfId="53" applyFont="1" applyBorder="1" applyAlignment="1">
      <alignment wrapText="1"/>
    </xf>
    <xf numFmtId="3" fontId="34" fillId="0" borderId="35" xfId="53" applyNumberFormat="1" applyFont="1" applyBorder="1"/>
    <xf numFmtId="3" fontId="34" fillId="0" borderId="31" xfId="53" applyNumberFormat="1" applyFont="1" applyBorder="1"/>
    <xf numFmtId="0" fontId="32" fillId="0" borderId="20" xfId="53" applyFont="1" applyBorder="1" applyAlignment="1">
      <alignment horizontal="center"/>
    </xf>
    <xf numFmtId="0" fontId="34" fillId="0" borderId="19" xfId="53" applyFont="1" applyBorder="1" applyAlignment="1">
      <alignment horizontal="center"/>
    </xf>
    <xf numFmtId="0" fontId="34" fillId="0" borderId="31" xfId="53" applyFont="1" applyBorder="1" applyAlignment="1">
      <alignment wrapText="1"/>
    </xf>
    <xf numFmtId="0" fontId="32" fillId="0" borderId="35" xfId="53" applyFont="1" applyBorder="1"/>
    <xf numFmtId="0" fontId="34" fillId="0" borderId="17" xfId="53" applyFont="1" applyBorder="1"/>
    <xf numFmtId="0" fontId="34" fillId="0" borderId="32" xfId="53" applyFont="1" applyBorder="1"/>
    <xf numFmtId="0" fontId="34" fillId="0" borderId="16" xfId="53" applyFont="1" applyBorder="1"/>
    <xf numFmtId="0" fontId="34" fillId="0" borderId="18" xfId="53" applyFont="1" applyBorder="1"/>
    <xf numFmtId="0" fontId="34" fillId="0" borderId="17" xfId="53" applyFont="1" applyBorder="1" applyAlignment="1">
      <alignment horizontal="right"/>
    </xf>
    <xf numFmtId="0" fontId="32" fillId="0" borderId="30" xfId="53" applyFont="1" applyBorder="1" applyAlignment="1">
      <alignment horizontal="center" wrapText="1"/>
    </xf>
    <xf numFmtId="0" fontId="32" fillId="0" borderId="29" xfId="53" applyFont="1" applyBorder="1" applyAlignment="1">
      <alignment horizontal="center" wrapText="1"/>
    </xf>
    <xf numFmtId="3" fontId="32" fillId="0" borderId="29" xfId="53" applyNumberFormat="1" applyFont="1" applyBorder="1" applyAlignment="1">
      <alignment horizontal="center" wrapText="1"/>
    </xf>
    <xf numFmtId="3" fontId="32" fillId="0" borderId="28" xfId="53" applyNumberFormat="1" applyFont="1" applyBorder="1" applyAlignment="1">
      <alignment horizontal="right"/>
    </xf>
    <xf numFmtId="0" fontId="32" fillId="0" borderId="23" xfId="53" applyFont="1" applyBorder="1"/>
    <xf numFmtId="0" fontId="34" fillId="0" borderId="18" xfId="53" applyFont="1" applyBorder="1" applyAlignment="1">
      <alignment horizontal="center"/>
    </xf>
    <xf numFmtId="0" fontId="34" fillId="0" borderId="17" xfId="53" applyFont="1" applyBorder="1" applyAlignment="1">
      <alignment horizontal="center"/>
    </xf>
    <xf numFmtId="0" fontId="34" fillId="0" borderId="16" xfId="53" applyFont="1" applyBorder="1" applyAlignment="1">
      <alignment horizontal="center"/>
    </xf>
    <xf numFmtId="0" fontId="22" fillId="0" borderId="0" xfId="53" applyFont="1" applyBorder="1"/>
    <xf numFmtId="0" fontId="22" fillId="0" borderId="15" xfId="53" applyFont="1" applyBorder="1"/>
    <xf numFmtId="0" fontId="34" fillId="0" borderId="15" xfId="53" applyFont="1" applyBorder="1" applyAlignment="1">
      <alignment horizontal="center"/>
    </xf>
    <xf numFmtId="0" fontId="34" fillId="0" borderId="0" xfId="53" applyFont="1" applyBorder="1" applyAlignment="1">
      <alignment horizontal="center"/>
    </xf>
    <xf numFmtId="0" fontId="32" fillId="0" borderId="0" xfId="53" applyFont="1" applyBorder="1"/>
    <xf numFmtId="0" fontId="32" fillId="0" borderId="14" xfId="53" applyFont="1" applyBorder="1"/>
    <xf numFmtId="3" fontId="34" fillId="0" borderId="40" xfId="53" applyNumberFormat="1" applyFont="1" applyBorder="1"/>
    <xf numFmtId="0" fontId="34" fillId="0" borderId="33" xfId="53" applyFont="1" applyBorder="1"/>
    <xf numFmtId="0" fontId="32" fillId="0" borderId="24" xfId="53" applyFont="1" applyBorder="1"/>
    <xf numFmtId="3" fontId="32" fillId="0" borderId="36" xfId="53" applyNumberFormat="1" applyFont="1" applyBorder="1"/>
    <xf numFmtId="0" fontId="32" fillId="0" borderId="31" xfId="53" applyFont="1" applyBorder="1"/>
    <xf numFmtId="3" fontId="34" fillId="0" borderId="35" xfId="53" applyNumberFormat="1" applyFont="1" applyBorder="1" applyAlignment="1">
      <alignment horizontal="right"/>
    </xf>
    <xf numFmtId="3" fontId="34" fillId="0" borderId="10" xfId="53" applyNumberFormat="1" applyFont="1" applyBorder="1" applyAlignment="1">
      <alignment horizontal="right"/>
    </xf>
    <xf numFmtId="3" fontId="34" fillId="0" borderId="31" xfId="53" applyNumberFormat="1" applyFont="1" applyBorder="1" applyAlignment="1">
      <alignment horizontal="right"/>
    </xf>
    <xf numFmtId="0" fontId="35" fillId="0" borderId="31" xfId="53" applyFont="1" applyBorder="1"/>
    <xf numFmtId="3" fontId="34" fillId="0" borderId="20" xfId="53" applyNumberFormat="1" applyFont="1" applyBorder="1" applyAlignment="1">
      <alignment horizontal="right"/>
    </xf>
    <xf numFmtId="3" fontId="34" fillId="0" borderId="19" xfId="53" applyNumberFormat="1" applyFont="1" applyBorder="1" applyAlignment="1">
      <alignment horizontal="right"/>
    </xf>
    <xf numFmtId="3" fontId="22" fillId="0" borderId="20" xfId="53" applyNumberFormat="1" applyFont="1" applyBorder="1"/>
    <xf numFmtId="3" fontId="22" fillId="0" borderId="19" xfId="53" applyNumberFormat="1" applyFont="1" applyBorder="1"/>
    <xf numFmtId="0" fontId="35" fillId="0" borderId="20" xfId="53" applyFont="1" applyBorder="1" applyAlignment="1">
      <alignment horizontal="center"/>
    </xf>
    <xf numFmtId="0" fontId="36" fillId="0" borderId="31" xfId="53" applyFont="1" applyBorder="1"/>
    <xf numFmtId="0" fontId="36" fillId="0" borderId="20" xfId="53" applyFont="1" applyBorder="1"/>
    <xf numFmtId="0" fontId="34" fillId="0" borderId="31" xfId="53" applyFont="1" applyBorder="1"/>
    <xf numFmtId="0" fontId="35" fillId="0" borderId="20" xfId="53" applyFont="1" applyBorder="1"/>
    <xf numFmtId="0" fontId="35" fillId="0" borderId="10" xfId="53" applyFont="1" applyBorder="1"/>
    <xf numFmtId="3" fontId="35" fillId="0" borderId="35" xfId="53" applyNumberFormat="1" applyFont="1" applyBorder="1"/>
    <xf numFmtId="3" fontId="35" fillId="0" borderId="31" xfId="53" applyNumberFormat="1" applyFont="1" applyBorder="1"/>
    <xf numFmtId="0" fontId="32" fillId="0" borderId="20" xfId="53" applyFont="1" applyBorder="1" applyAlignment="1">
      <alignment horizontal="center" wrapText="1"/>
    </xf>
    <xf numFmtId="0" fontId="33" fillId="0" borderId="31" xfId="53" applyFont="1" applyBorder="1"/>
    <xf numFmtId="16" fontId="32" fillId="0" borderId="31" xfId="53" applyNumberFormat="1" applyFont="1" applyBorder="1" applyAlignment="1">
      <alignment wrapText="1"/>
    </xf>
    <xf numFmtId="3" fontId="32" fillId="0" borderId="13" xfId="53" applyNumberFormat="1" applyFont="1" applyBorder="1"/>
    <xf numFmtId="3" fontId="22" fillId="0" borderId="35" xfId="53" applyNumberFormat="1" applyFont="1" applyBorder="1"/>
    <xf numFmtId="3" fontId="22" fillId="0" borderId="31" xfId="53" applyNumberFormat="1" applyFont="1" applyBorder="1"/>
    <xf numFmtId="0" fontId="32" fillId="0" borderId="19" xfId="53" applyFont="1" applyBorder="1" applyAlignment="1">
      <alignment horizontal="center"/>
    </xf>
    <xf numFmtId="3" fontId="33" fillId="0" borderId="36" xfId="53" applyNumberFormat="1" applyFont="1" applyBorder="1"/>
    <xf numFmtId="0" fontId="33" fillId="0" borderId="19" xfId="53" applyFont="1" applyBorder="1" applyAlignment="1">
      <alignment horizontal="center"/>
    </xf>
    <xf numFmtId="0" fontId="22" fillId="0" borderId="10" xfId="53" applyFont="1" applyBorder="1" applyAlignment="1">
      <alignment wrapText="1"/>
    </xf>
    <xf numFmtId="0" fontId="22" fillId="0" borderId="13" xfId="53" applyFont="1" applyBorder="1" applyAlignment="1">
      <alignment wrapText="1"/>
    </xf>
    <xf numFmtId="3" fontId="32" fillId="0" borderId="36" xfId="53" applyNumberFormat="1" applyFont="1" applyBorder="1" applyAlignment="1">
      <alignment wrapText="1"/>
    </xf>
    <xf numFmtId="0" fontId="32" fillId="0" borderId="19" xfId="53" applyFont="1" applyBorder="1" applyAlignment="1">
      <alignment horizontal="center" wrapText="1"/>
    </xf>
    <xf numFmtId="0" fontId="33" fillId="0" borderId="20" xfId="53" applyFont="1" applyBorder="1" applyAlignment="1">
      <alignment horizontal="center"/>
    </xf>
    <xf numFmtId="0" fontId="34" fillId="0" borderId="20" xfId="53" applyFont="1" applyBorder="1" applyAlignment="1">
      <alignment horizontal="center"/>
    </xf>
    <xf numFmtId="0" fontId="34" fillId="0" borderId="26" xfId="53" applyFont="1" applyBorder="1"/>
    <xf numFmtId="0" fontId="34" fillId="0" borderId="12" xfId="53" applyFont="1" applyBorder="1"/>
    <xf numFmtId="0" fontId="34" fillId="0" borderId="25" xfId="53" applyFont="1" applyBorder="1"/>
    <xf numFmtId="0" fontId="34" fillId="0" borderId="27" xfId="53" applyFont="1" applyBorder="1"/>
    <xf numFmtId="0" fontId="34" fillId="0" borderId="26" xfId="53" applyFont="1" applyBorder="1" applyAlignment="1">
      <alignment horizontal="center"/>
    </xf>
    <xf numFmtId="0" fontId="34" fillId="0" borderId="25" xfId="53" applyFont="1" applyBorder="1" applyAlignment="1">
      <alignment horizontal="center"/>
    </xf>
    <xf numFmtId="0" fontId="22" fillId="0" borderId="10" xfId="53" applyFont="1" applyBorder="1" applyAlignment="1">
      <alignment horizontal="center" vertical="center"/>
    </xf>
    <xf numFmtId="0" fontId="34" fillId="0" borderId="33" xfId="53" applyFont="1" applyBorder="1" applyAlignment="1">
      <alignment horizontal="center" vertical="center"/>
    </xf>
    <xf numFmtId="0" fontId="32" fillId="0" borderId="24" xfId="53" applyFont="1" applyBorder="1" applyAlignment="1">
      <alignment horizontal="center" vertical="center"/>
    </xf>
    <xf numFmtId="0" fontId="34" fillId="0" borderId="22" xfId="53" applyFont="1" applyBorder="1" applyAlignment="1">
      <alignment horizontal="center" vertical="center"/>
    </xf>
    <xf numFmtId="1" fontId="34" fillId="0" borderId="27" xfId="53" applyNumberFormat="1" applyFont="1" applyBorder="1" applyAlignment="1">
      <alignment horizontal="center" vertical="center"/>
    </xf>
    <xf numFmtId="3" fontId="34" fillId="0" borderId="17" xfId="53" applyNumberFormat="1" applyFont="1" applyBorder="1" applyAlignment="1">
      <alignment horizontal="center"/>
    </xf>
    <xf numFmtId="3" fontId="34" fillId="0" borderId="16" xfId="53" applyNumberFormat="1" applyFont="1" applyBorder="1" applyAlignment="1">
      <alignment horizontal="center"/>
    </xf>
    <xf numFmtId="3" fontId="34" fillId="0" borderId="15" xfId="53" applyNumberFormat="1" applyFont="1" applyBorder="1" applyAlignment="1">
      <alignment horizontal="center"/>
    </xf>
    <xf numFmtId="0" fontId="22" fillId="0" borderId="73" xfId="53" applyFont="1" applyBorder="1" applyAlignment="1">
      <alignment horizontal="right"/>
    </xf>
    <xf numFmtId="0" fontId="22" fillId="0" borderId="0" xfId="53" applyFont="1" applyBorder="1" applyAlignment="1">
      <alignment horizontal="right"/>
    </xf>
    <xf numFmtId="0" fontId="33" fillId="0" borderId="0" xfId="53" applyFont="1" applyBorder="1" applyAlignment="1">
      <alignment horizontal="right"/>
    </xf>
    <xf numFmtId="0" fontId="33" fillId="0" borderId="0" xfId="53" applyFont="1" applyBorder="1"/>
    <xf numFmtId="0" fontId="22" fillId="0" borderId="0" xfId="53" applyFont="1" applyAlignment="1">
      <alignment wrapText="1"/>
    </xf>
    <xf numFmtId="0" fontId="24" fillId="0" borderId="0" xfId="53" applyFont="1"/>
    <xf numFmtId="3" fontId="28" fillId="0" borderId="19" xfId="53" applyNumberFormat="1" applyFont="1" applyBorder="1"/>
    <xf numFmtId="3" fontId="28" fillId="0" borderId="36" xfId="53" applyNumberFormat="1" applyFont="1" applyBorder="1" applyAlignment="1">
      <alignment wrapText="1"/>
    </xf>
    <xf numFmtId="3" fontId="26" fillId="0" borderId="20" xfId="53" applyNumberFormat="1" applyFont="1" applyBorder="1"/>
    <xf numFmtId="3" fontId="26" fillId="0" borderId="19" xfId="53" applyNumberFormat="1" applyFont="1" applyBorder="1"/>
    <xf numFmtId="3" fontId="26" fillId="0" borderId="36" xfId="53" applyNumberFormat="1" applyFont="1" applyBorder="1"/>
    <xf numFmtId="3" fontId="26" fillId="0" borderId="13" xfId="53" applyNumberFormat="1" applyFont="1" applyBorder="1"/>
    <xf numFmtId="3" fontId="26" fillId="0" borderId="36" xfId="53" applyNumberFormat="1" applyFont="1" applyBorder="1" applyAlignment="1">
      <alignment wrapText="1"/>
    </xf>
    <xf numFmtId="0" fontId="26" fillId="0" borderId="20" xfId="53" applyFont="1" applyBorder="1" applyAlignment="1">
      <alignment horizontal="center" vertical="center" wrapText="1"/>
    </xf>
    <xf numFmtId="0" fontId="26" fillId="0" borderId="19" xfId="53" applyFont="1" applyBorder="1" applyAlignment="1">
      <alignment horizontal="center" vertical="center" wrapText="1"/>
    </xf>
    <xf numFmtId="0" fontId="26" fillId="0" borderId="36" xfId="53" applyFont="1" applyBorder="1" applyAlignment="1">
      <alignment horizontal="center" vertical="center" wrapText="1"/>
    </xf>
    <xf numFmtId="0" fontId="26" fillId="0" borderId="13" xfId="53" applyFont="1" applyBorder="1" applyAlignment="1">
      <alignment horizontal="center" vertical="center" wrapText="1"/>
    </xf>
    <xf numFmtId="0" fontId="26" fillId="0" borderId="36" xfId="53" applyFont="1" applyBorder="1" applyAlignment="1">
      <alignment vertical="center" wrapText="1"/>
    </xf>
    <xf numFmtId="0" fontId="2" fillId="0" borderId="0" xfId="52"/>
    <xf numFmtId="0" fontId="32" fillId="0" borderId="0" xfId="53" applyFont="1" applyBorder="1" applyAlignment="1">
      <alignment horizontal="right"/>
    </xf>
    <xf numFmtId="3" fontId="41" fillId="0" borderId="0" xfId="51" applyNumberFormat="1" applyFont="1"/>
    <xf numFmtId="0" fontId="41" fillId="0" borderId="0" xfId="59" applyFont="1" applyAlignment="1">
      <alignment wrapText="1"/>
    </xf>
    <xf numFmtId="3" fontId="40" fillId="0" borderId="0" xfId="51" applyNumberFormat="1" applyFont="1"/>
    <xf numFmtId="0" fontId="42" fillId="0" borderId="0" xfId="59" applyFont="1" applyAlignment="1">
      <alignment wrapText="1"/>
    </xf>
    <xf numFmtId="3" fontId="42" fillId="0" borderId="0" xfId="59" applyNumberFormat="1" applyFont="1"/>
    <xf numFmtId="3" fontId="42" fillId="0" borderId="0" xfId="51" applyNumberFormat="1" applyFont="1"/>
    <xf numFmtId="0" fontId="40" fillId="0" borderId="0" xfId="51" applyFont="1" applyAlignment="1">
      <alignment wrapText="1"/>
    </xf>
    <xf numFmtId="3" fontId="40" fillId="0" borderId="0" xfId="59" applyNumberFormat="1" applyFont="1"/>
    <xf numFmtId="0" fontId="40" fillId="0" borderId="0" xfId="59" applyFont="1" applyAlignment="1">
      <alignment wrapText="1"/>
    </xf>
    <xf numFmtId="3" fontId="40" fillId="0" borderId="0" xfId="59" applyNumberFormat="1" applyFont="1" applyAlignment="1">
      <alignment vertical="center"/>
    </xf>
    <xf numFmtId="0" fontId="40" fillId="0" borderId="0" xfId="59" applyFont="1" applyAlignment="1">
      <alignment vertical="center" wrapText="1"/>
    </xf>
    <xf numFmtId="0" fontId="42" fillId="0" borderId="0" xfId="51" applyFont="1"/>
    <xf numFmtId="3" fontId="40" fillId="0" borderId="0" xfId="59" applyNumberFormat="1" applyFont="1" applyAlignment="1">
      <alignment horizontal="center"/>
    </xf>
    <xf numFmtId="0" fontId="40" fillId="0" borderId="0" xfId="59" applyFont="1" applyAlignment="1">
      <alignment horizontal="center" wrapText="1"/>
    </xf>
    <xf numFmtId="0" fontId="40" fillId="0" borderId="0" xfId="59" applyFont="1" applyAlignment="1">
      <alignment horizontal="center"/>
    </xf>
    <xf numFmtId="0" fontId="40" fillId="0" borderId="0" xfId="59" applyFont="1" applyAlignment="1">
      <alignment horizontal="center" vertical="center"/>
    </xf>
    <xf numFmtId="0" fontId="42" fillId="0" borderId="0" xfId="59" applyFont="1" applyAlignment="1">
      <alignment vertical="center"/>
    </xf>
    <xf numFmtId="0" fontId="40" fillId="0" borderId="0" xfId="59" applyFont="1" applyAlignment="1">
      <alignment vertical="center"/>
    </xf>
    <xf numFmtId="0" fontId="40" fillId="0" borderId="0" xfId="59" applyFont="1"/>
    <xf numFmtId="3" fontId="42" fillId="0" borderId="0" xfId="59" applyNumberFormat="1" applyFont="1" applyAlignment="1">
      <alignment horizontal="right"/>
    </xf>
    <xf numFmtId="3" fontId="49" fillId="0" borderId="10" xfId="65" applyNumberFormat="1" applyBorder="1"/>
    <xf numFmtId="0" fontId="49" fillId="0" borderId="10" xfId="65" applyBorder="1"/>
    <xf numFmtId="3" fontId="46" fillId="0" borderId="10" xfId="65" applyNumberFormat="1" applyFont="1" applyBorder="1"/>
    <xf numFmtId="3" fontId="47" fillId="0" borderId="10" xfId="65" applyNumberFormat="1" applyFont="1" applyBorder="1"/>
    <xf numFmtId="0" fontId="47" fillId="0" borderId="10" xfId="65" applyFont="1" applyBorder="1"/>
    <xf numFmtId="0" fontId="49" fillId="0" borderId="10" xfId="65" applyBorder="1" applyAlignment="1">
      <alignment wrapText="1"/>
    </xf>
    <xf numFmtId="0" fontId="46" fillId="0" borderId="10" xfId="65" applyFont="1" applyBorder="1"/>
    <xf numFmtId="166" fontId="49" fillId="0" borderId="0" xfId="65" applyNumberFormat="1"/>
    <xf numFmtId="3" fontId="47" fillId="0" borderId="0" xfId="65" applyNumberFormat="1" applyFont="1"/>
    <xf numFmtId="0" fontId="47" fillId="0" borderId="0" xfId="65" applyFont="1"/>
    <xf numFmtId="0" fontId="46" fillId="0" borderId="10" xfId="65" applyFont="1" applyBorder="1" applyAlignment="1">
      <alignment wrapText="1"/>
    </xf>
    <xf numFmtId="0" fontId="49" fillId="0" borderId="10" xfId="65" applyBorder="1" applyAlignment="1">
      <alignment horizontal="right"/>
    </xf>
    <xf numFmtId="3" fontId="49" fillId="0" borderId="10" xfId="65" applyNumberFormat="1" applyBorder="1" applyAlignment="1">
      <alignment horizontal="center"/>
    </xf>
    <xf numFmtId="0" fontId="47" fillId="0" borderId="0" xfId="65" applyFont="1" applyAlignment="1">
      <alignment horizontal="center"/>
    </xf>
    <xf numFmtId="0" fontId="47" fillId="0" borderId="0" xfId="65" applyFont="1" applyAlignment="1">
      <alignment horizontal="right"/>
    </xf>
    <xf numFmtId="0" fontId="49" fillId="0" borderId="0" xfId="65" applyAlignment="1">
      <alignment horizontal="right"/>
    </xf>
    <xf numFmtId="3" fontId="49" fillId="0" borderId="65" xfId="65" applyNumberFormat="1" applyBorder="1"/>
    <xf numFmtId="3" fontId="49" fillId="0" borderId="64" xfId="65" applyNumberFormat="1" applyBorder="1"/>
    <xf numFmtId="3" fontId="49" fillId="0" borderId="63" xfId="65" applyNumberFormat="1" applyBorder="1"/>
    <xf numFmtId="3" fontId="49" fillId="0" borderId="60" xfId="65" applyNumberFormat="1" applyBorder="1"/>
    <xf numFmtId="3" fontId="49" fillId="0" borderId="57" xfId="65" applyNumberFormat="1" applyBorder="1"/>
    <xf numFmtId="3" fontId="49" fillId="0" borderId="56" xfId="65" applyNumberFormat="1" applyBorder="1"/>
    <xf numFmtId="3" fontId="49" fillId="0" borderId="59" xfId="65" applyNumberFormat="1" applyBorder="1"/>
    <xf numFmtId="3" fontId="49" fillId="0" borderId="58" xfId="65" applyNumberFormat="1" applyBorder="1"/>
    <xf numFmtId="0" fontId="58" fillId="0" borderId="56" xfId="65" applyFont="1" applyBorder="1"/>
    <xf numFmtId="0" fontId="58" fillId="0" borderId="55" xfId="65" applyFont="1" applyBorder="1"/>
    <xf numFmtId="0" fontId="58" fillId="0" borderId="54" xfId="65" applyFont="1" applyBorder="1"/>
    <xf numFmtId="3" fontId="49" fillId="0" borderId="52" xfId="65" applyNumberFormat="1" applyBorder="1"/>
    <xf numFmtId="3" fontId="49" fillId="0" borderId="13" xfId="65" applyNumberFormat="1" applyBorder="1"/>
    <xf numFmtId="3" fontId="49" fillId="0" borderId="19" xfId="65" applyNumberFormat="1" applyBorder="1"/>
    <xf numFmtId="3" fontId="49" fillId="0" borderId="36" xfId="65" applyNumberFormat="1" applyBorder="1"/>
    <xf numFmtId="0" fontId="58" fillId="0" borderId="13" xfId="65" applyFont="1" applyBorder="1"/>
    <xf numFmtId="0" fontId="58" fillId="0" borderId="34" xfId="65" applyFont="1" applyBorder="1"/>
    <xf numFmtId="0" fontId="58" fillId="0" borderId="53" xfId="65" applyFont="1" applyBorder="1"/>
    <xf numFmtId="0" fontId="57" fillId="0" borderId="13" xfId="65" applyFont="1" applyBorder="1"/>
    <xf numFmtId="0" fontId="57" fillId="0" borderId="34" xfId="65" applyFont="1" applyBorder="1"/>
    <xf numFmtId="3" fontId="40" fillId="0" borderId="51" xfId="53" applyNumberFormat="1" applyFont="1" applyBorder="1"/>
    <xf numFmtId="0" fontId="49" fillId="0" borderId="50" xfId="65" applyBorder="1"/>
    <xf numFmtId="0" fontId="49" fillId="0" borderId="47" xfId="65" applyBorder="1"/>
    <xf numFmtId="0" fontId="49" fillId="0" borderId="46" xfId="65" applyBorder="1" applyAlignment="1">
      <alignment wrapText="1"/>
    </xf>
    <xf numFmtId="0" fontId="49" fillId="0" borderId="49" xfId="65" applyBorder="1" applyAlignment="1">
      <alignment wrapText="1"/>
    </xf>
    <xf numFmtId="0" fontId="49" fillId="0" borderId="47" xfId="65" applyBorder="1" applyAlignment="1">
      <alignment horizontal="center" wrapText="1"/>
    </xf>
    <xf numFmtId="1" fontId="34" fillId="0" borderId="37" xfId="53" applyNumberFormat="1" applyFont="1" applyBorder="1" applyAlignment="1">
      <alignment horizontal="center"/>
    </xf>
    <xf numFmtId="1" fontId="34" fillId="0" borderId="38" xfId="53" applyNumberFormat="1" applyFont="1" applyBorder="1" applyAlignment="1">
      <alignment horizontal="center"/>
    </xf>
    <xf numFmtId="1" fontId="34" fillId="0" borderId="39" xfId="53" applyNumberFormat="1" applyFont="1" applyBorder="1" applyAlignment="1">
      <alignment horizontal="center"/>
    </xf>
    <xf numFmtId="0" fontId="34" fillId="0" borderId="31" xfId="53" applyFont="1" applyBorder="1"/>
    <xf numFmtId="0" fontId="2" fillId="0" borderId="34" xfId="51" applyBorder="1"/>
    <xf numFmtId="0" fontId="2" fillId="0" borderId="35" xfId="51" applyBorder="1"/>
    <xf numFmtId="0" fontId="22" fillId="0" borderId="0" xfId="53" applyFont="1" applyBorder="1" applyAlignment="1">
      <alignment horizontal="right"/>
    </xf>
    <xf numFmtId="0" fontId="22" fillId="0" borderId="73" xfId="53" applyFont="1" applyBorder="1" applyAlignment="1">
      <alignment horizontal="right"/>
    </xf>
    <xf numFmtId="0" fontId="2" fillId="0" borderId="38" xfId="51" applyBorder="1" applyAlignment="1">
      <alignment horizontal="center"/>
    </xf>
    <xf numFmtId="0" fontId="2" fillId="0" borderId="39" xfId="51" applyBorder="1" applyAlignment="1">
      <alignment horizontal="center"/>
    </xf>
    <xf numFmtId="0" fontId="26" fillId="0" borderId="31" xfId="53" applyFont="1" applyBorder="1" applyAlignment="1">
      <alignment horizontal="center" vertical="center" wrapText="1"/>
    </xf>
    <xf numFmtId="0" fontId="26" fillId="0" borderId="35" xfId="53" applyFont="1" applyBorder="1" applyAlignment="1">
      <alignment horizontal="center" vertical="center" wrapText="1"/>
    </xf>
    <xf numFmtId="0" fontId="26" fillId="0" borderId="34" xfId="53" applyFont="1" applyBorder="1" applyAlignment="1">
      <alignment horizontal="center" vertical="center" wrapText="1"/>
    </xf>
    <xf numFmtId="0" fontId="28" fillId="0" borderId="19" xfId="53" applyFont="1" applyBorder="1" applyAlignment="1">
      <alignment horizontal="center" vertical="center" wrapText="1"/>
    </xf>
    <xf numFmtId="0" fontId="28" fillId="0" borderId="20" xfId="53" applyFont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/>
    <xf numFmtId="0" fontId="2" fillId="0" borderId="0" xfId="52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4" fillId="0" borderId="0" xfId="51" applyFont="1" applyFill="1" applyAlignment="1">
      <alignment wrapText="1"/>
    </xf>
    <xf numFmtId="0" fontId="38" fillId="0" borderId="0" xfId="62" applyFont="1" applyFill="1" applyBorder="1" applyAlignment="1">
      <alignment horizontal="center"/>
    </xf>
    <xf numFmtId="0" fontId="44" fillId="0" borderId="32" xfId="62" applyFont="1" applyFill="1" applyBorder="1" applyAlignment="1">
      <alignment horizontal="center" vertical="center" wrapText="1"/>
    </xf>
    <xf numFmtId="0" fontId="44" fillId="0" borderId="10" xfId="62" applyFont="1" applyFill="1" applyBorder="1" applyAlignment="1">
      <alignment horizontal="center" vertical="center" wrapText="1"/>
    </xf>
    <xf numFmtId="49" fontId="44" fillId="0" borderId="32" xfId="62" applyNumberFormat="1" applyFont="1" applyFill="1" applyBorder="1" applyAlignment="1">
      <alignment horizontal="center" vertical="center" wrapText="1"/>
    </xf>
    <xf numFmtId="49" fontId="44" fillId="0" borderId="10" xfId="62" applyNumberFormat="1" applyFont="1" applyFill="1" applyBorder="1" applyAlignment="1">
      <alignment horizontal="center" vertical="center" wrapText="1"/>
    </xf>
    <xf numFmtId="0" fontId="44" fillId="0" borderId="32" xfId="62" applyFont="1" applyFill="1" applyBorder="1" applyAlignment="1">
      <alignment horizontal="center" wrapText="1"/>
    </xf>
    <xf numFmtId="0" fontId="44" fillId="0" borderId="10" xfId="62" applyFont="1" applyFill="1" applyBorder="1" applyAlignment="1">
      <alignment horizontal="center" wrapText="1"/>
    </xf>
    <xf numFmtId="0" fontId="44" fillId="0" borderId="32" xfId="62" applyNumberFormat="1" applyFont="1" applyFill="1" applyBorder="1" applyAlignment="1">
      <alignment horizontal="center" vertical="center" wrapText="1"/>
    </xf>
    <xf numFmtId="0" fontId="44" fillId="0" borderId="10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44" fillId="0" borderId="33" xfId="62" applyFont="1" applyFill="1" applyBorder="1" applyAlignment="1">
      <alignment horizontal="right"/>
    </xf>
    <xf numFmtId="0" fontId="44" fillId="0" borderId="70" xfId="62" applyFont="1" applyFill="1" applyBorder="1" applyAlignment="1">
      <alignment horizontal="right"/>
    </xf>
    <xf numFmtId="0" fontId="44" fillId="0" borderId="71" xfId="62" applyFont="1" applyFill="1" applyBorder="1" applyAlignment="1">
      <alignment horizontal="right"/>
    </xf>
    <xf numFmtId="0" fontId="44" fillId="0" borderId="16" xfId="62" applyFont="1" applyFill="1" applyBorder="1" applyAlignment="1">
      <alignment horizontal="center" vertical="center" wrapText="1"/>
    </xf>
    <xf numFmtId="0" fontId="44" fillId="0" borderId="22" xfId="62" applyFont="1" applyFill="1" applyBorder="1" applyAlignment="1">
      <alignment horizontal="center" vertical="center" wrapText="1"/>
    </xf>
    <xf numFmtId="49" fontId="44" fillId="0" borderId="41" xfId="62" applyNumberFormat="1" applyFont="1" applyFill="1" applyBorder="1" applyAlignment="1">
      <alignment horizontal="center" vertical="center" wrapText="1"/>
    </xf>
    <xf numFmtId="0" fontId="44" fillId="0" borderId="66" xfId="62" applyFont="1" applyFill="1" applyBorder="1" applyAlignment="1">
      <alignment horizontal="center" vertical="center" wrapText="1"/>
    </xf>
    <xf numFmtId="0" fontId="44" fillId="0" borderId="67" xfId="62" applyFont="1" applyFill="1" applyBorder="1" applyAlignment="1">
      <alignment horizontal="center" vertical="center" wrapText="1"/>
    </xf>
    <xf numFmtId="0" fontId="44" fillId="0" borderId="41" xfId="62" applyNumberFormat="1" applyFont="1" applyFill="1" applyBorder="1" applyAlignment="1">
      <alignment horizontal="center" vertical="center" wrapText="1"/>
    </xf>
    <xf numFmtId="0" fontId="44" fillId="0" borderId="17" xfId="62" applyNumberFormat="1" applyFont="1" applyFill="1" applyBorder="1" applyAlignment="1">
      <alignment horizontal="center" vertical="center" wrapText="1"/>
    </xf>
    <xf numFmtId="0" fontId="44" fillId="0" borderId="24" xfId="62" applyNumberFormat="1" applyFont="1" applyFill="1" applyBorder="1" applyAlignment="1">
      <alignment horizontal="center" vertical="center" wrapText="1"/>
    </xf>
    <xf numFmtId="0" fontId="51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47" fillId="0" borderId="0" xfId="65" applyFont="1" applyAlignment="1">
      <alignment horizontal="center"/>
    </xf>
    <xf numFmtId="0" fontId="55" fillId="0" borderId="0" xfId="65" applyFont="1" applyAlignment="1">
      <alignment horizontal="center"/>
    </xf>
    <xf numFmtId="0" fontId="48" fillId="0" borderId="61" xfId="65" applyFont="1" applyBorder="1"/>
    <xf numFmtId="0" fontId="48" fillId="0" borderId="62" xfId="65" applyFont="1" applyBorder="1"/>
    <xf numFmtId="0" fontId="48" fillId="0" borderId="63" xfId="65" applyFont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 6.számú melléklet" xfId="64" xr:uid="{00000000-0005-0000-0000-000036000000}"/>
    <cellStyle name="Normál_2005.11.sz.melléklet_10.sz.mell-2012 évi ktgvetés-12.01.24 Bea" xfId="61" xr:uid="{00000000-0005-0000-0000-000037000000}"/>
    <cellStyle name="Normál_2006 Zárszámadási rendelet 1,2,3,4,5,6,8,9,10,11,12,13,14,15 sz. mellékletei" xfId="63" xr:uid="{00000000-0005-0000-0000-000038000000}"/>
    <cellStyle name="Normál_2009. ktv.rendelet" xfId="53" xr:uid="{00000000-0005-0000-0000-000039000000}"/>
    <cellStyle name="Normál_3. sz. melléklet létszám" xfId="66" xr:uid="{00000000-0005-0000-0000-00003A000000}"/>
    <cellStyle name="Normál_koltsegvetes_melleklet" xfId="67" xr:uid="{00000000-0005-0000-0000-00003B000000}"/>
    <cellStyle name="Normál_költségvetési rendelet 3 4 5 5b 5c 6 9 9a 11 16a 16b mellékletei" xfId="65" xr:uid="{00000000-0005-0000-0000-00003C000000}"/>
    <cellStyle name="Normál_költségvetési rendelet 3,4,5,5b,5c,6,9,9a,11,16a,16b mellékletei-2008-3" xfId="62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5972-0855-427C-BB9B-429597CAC695}">
  <sheetPr>
    <pageSetUpPr fitToPage="1"/>
  </sheetPr>
  <dimension ref="A1:L273"/>
  <sheetViews>
    <sheetView tabSelected="1" view="pageBreakPreview" zoomScale="75" zoomScaleNormal="75" zoomScaleSheetLayoutView="75" workbookViewId="0">
      <pane ySplit="6" topLeftCell="A7" activePane="bottomLeft" state="frozen"/>
      <selection pane="bottomLeft" activeCell="C5" sqref="C5"/>
    </sheetView>
  </sheetViews>
  <sheetFormatPr defaultColWidth="9.140625" defaultRowHeight="16.5" x14ac:dyDescent="0.25"/>
  <cols>
    <col min="1" max="1" width="5.42578125" style="352" customWidth="1"/>
    <col min="2" max="2" width="7.28515625" style="351" customWidth="1"/>
    <col min="3" max="3" width="64.5703125" style="350" customWidth="1"/>
    <col min="4" max="4" width="10.5703125" style="5" customWidth="1"/>
    <col min="5" max="5" width="10.42578125" style="5" customWidth="1"/>
    <col min="6" max="7" width="9.140625" style="5"/>
    <col min="8" max="9" width="10" style="5" bestFit="1" customWidth="1"/>
    <col min="10" max="16384" width="9.140625" style="5"/>
  </cols>
  <sheetData>
    <row r="1" spans="1:12" s="354" customFormat="1" x14ac:dyDescent="0.25">
      <c r="A1" s="476"/>
      <c r="B1" s="480"/>
      <c r="C1" s="480"/>
      <c r="D1" s="480"/>
      <c r="E1" s="620" t="s">
        <v>1104</v>
      </c>
      <c r="F1" s="620"/>
      <c r="G1" s="620"/>
      <c r="H1" s="620"/>
      <c r="I1" s="620"/>
      <c r="J1" s="620"/>
      <c r="K1" s="621"/>
    </row>
    <row r="2" spans="1:12" x14ac:dyDescent="0.25">
      <c r="A2" s="479"/>
      <c r="B2" s="479"/>
      <c r="C2" s="479" t="s">
        <v>4</v>
      </c>
      <c r="D2" s="476"/>
      <c r="E2" s="476"/>
      <c r="F2" s="476"/>
      <c r="G2" s="476"/>
      <c r="H2" s="476"/>
      <c r="I2" s="476"/>
      <c r="J2" s="476"/>
      <c r="K2" s="476"/>
    </row>
    <row r="3" spans="1:12" ht="17.25" thickBot="1" x14ac:dyDescent="0.3">
      <c r="A3" s="478"/>
      <c r="B3" s="478"/>
      <c r="C3" s="478" t="s">
        <v>1096</v>
      </c>
      <c r="D3" s="477"/>
      <c r="E3" s="477"/>
      <c r="F3" s="477"/>
      <c r="G3" s="477"/>
      <c r="H3" s="476"/>
      <c r="I3" s="476"/>
      <c r="J3" s="476"/>
      <c r="K3" s="476"/>
    </row>
    <row r="4" spans="1:12" ht="17.25" thickBot="1" x14ac:dyDescent="0.3">
      <c r="A4" s="475"/>
      <c r="B4" s="474"/>
      <c r="C4" s="473"/>
      <c r="D4" s="614" t="s">
        <v>699</v>
      </c>
      <c r="E4" s="615"/>
      <c r="F4" s="615"/>
      <c r="G4" s="616"/>
      <c r="H4" s="614" t="s">
        <v>1133</v>
      </c>
      <c r="I4" s="615"/>
      <c r="J4" s="615"/>
      <c r="K4" s="616"/>
      <c r="L4" s="352"/>
    </row>
    <row r="5" spans="1:12" ht="45.75" thickBot="1" x14ac:dyDescent="0.3">
      <c r="A5" s="364"/>
      <c r="B5" s="363"/>
      <c r="C5" s="472"/>
      <c r="D5" s="471" t="s">
        <v>25</v>
      </c>
      <c r="E5" s="470" t="s">
        <v>42</v>
      </c>
      <c r="F5" s="469" t="s">
        <v>43</v>
      </c>
      <c r="G5" s="468" t="s">
        <v>44</v>
      </c>
      <c r="H5" s="471" t="s">
        <v>25</v>
      </c>
      <c r="I5" s="470" t="s">
        <v>42</v>
      </c>
      <c r="J5" s="469" t="s">
        <v>43</v>
      </c>
      <c r="K5" s="468" t="s">
        <v>44</v>
      </c>
      <c r="L5" s="352"/>
    </row>
    <row r="6" spans="1:12" x14ac:dyDescent="0.25">
      <c r="A6" s="465" t="s">
        <v>5</v>
      </c>
      <c r="B6" s="467" t="s">
        <v>6</v>
      </c>
      <c r="C6" s="466" t="s">
        <v>7</v>
      </c>
      <c r="D6" s="465"/>
      <c r="E6" s="464"/>
      <c r="F6" s="464"/>
      <c r="G6" s="463"/>
      <c r="H6" s="424"/>
      <c r="K6" s="423"/>
      <c r="L6" s="352"/>
    </row>
    <row r="7" spans="1:12" x14ac:dyDescent="0.25">
      <c r="A7" s="369"/>
      <c r="B7" s="371"/>
      <c r="C7" s="370"/>
      <c r="D7" s="369"/>
      <c r="E7" s="350"/>
      <c r="F7" s="350"/>
      <c r="G7" s="368"/>
      <c r="H7" s="424"/>
      <c r="K7" s="423"/>
      <c r="L7" s="352"/>
    </row>
    <row r="8" spans="1:12" x14ac:dyDescent="0.25">
      <c r="A8" s="386">
        <v>101</v>
      </c>
      <c r="B8" s="371"/>
      <c r="C8" s="407" t="s">
        <v>754</v>
      </c>
      <c r="D8" s="386"/>
      <c r="E8" s="385"/>
      <c r="F8" s="385"/>
      <c r="G8" s="384"/>
      <c r="H8" s="424"/>
      <c r="K8" s="423"/>
      <c r="L8" s="352"/>
    </row>
    <row r="9" spans="1:12" x14ac:dyDescent="0.25">
      <c r="A9" s="386"/>
      <c r="B9" s="371" t="s">
        <v>8</v>
      </c>
      <c r="C9" s="370" t="s">
        <v>101</v>
      </c>
      <c r="D9" s="367">
        <v>6100</v>
      </c>
      <c r="E9" s="366">
        <v>6100</v>
      </c>
      <c r="F9" s="350"/>
      <c r="G9" s="368"/>
      <c r="H9" s="367">
        <v>3600</v>
      </c>
      <c r="I9" s="366">
        <v>3600</v>
      </c>
      <c r="J9" s="366">
        <v>0</v>
      </c>
      <c r="K9" s="365">
        <v>0</v>
      </c>
      <c r="L9" s="352"/>
    </row>
    <row r="10" spans="1:12" x14ac:dyDescent="0.25">
      <c r="A10" s="386"/>
      <c r="B10" s="371" t="s">
        <v>16</v>
      </c>
      <c r="C10" s="411" t="s">
        <v>712</v>
      </c>
      <c r="D10" s="372"/>
      <c r="E10" s="366"/>
      <c r="F10" s="350"/>
      <c r="G10" s="462"/>
      <c r="H10" s="367"/>
      <c r="I10" s="366"/>
      <c r="J10" s="366"/>
      <c r="K10" s="365"/>
      <c r="L10" s="352"/>
    </row>
    <row r="11" spans="1:12" x14ac:dyDescent="0.25">
      <c r="A11" s="386"/>
      <c r="B11" s="371"/>
      <c r="C11" s="411" t="s">
        <v>1131</v>
      </c>
      <c r="D11" s="372"/>
      <c r="E11" s="366"/>
      <c r="F11" s="350"/>
      <c r="G11" s="462"/>
      <c r="H11" s="367">
        <v>101</v>
      </c>
      <c r="I11" s="366">
        <v>101</v>
      </c>
      <c r="J11" s="366"/>
      <c r="K11" s="365"/>
      <c r="L11" s="352"/>
    </row>
    <row r="12" spans="1:12" x14ac:dyDescent="0.25">
      <c r="A12" s="369"/>
      <c r="B12" s="371"/>
      <c r="C12" s="387" t="s">
        <v>10</v>
      </c>
      <c r="D12" s="458">
        <f>SUM(D9)</f>
        <v>6100</v>
      </c>
      <c r="E12" s="389">
        <f>SUM(E9)</f>
        <v>6100</v>
      </c>
      <c r="F12" s="389">
        <f>SUM(F9)</f>
        <v>0</v>
      </c>
      <c r="G12" s="457">
        <f>SUM(G9)</f>
        <v>0</v>
      </c>
      <c r="H12" s="390">
        <v>3701</v>
      </c>
      <c r="I12" s="389">
        <v>3701</v>
      </c>
      <c r="J12" s="389">
        <v>0</v>
      </c>
      <c r="K12" s="388">
        <v>0</v>
      </c>
      <c r="L12" s="352"/>
    </row>
    <row r="13" spans="1:12" x14ac:dyDescent="0.25">
      <c r="A13" s="369"/>
      <c r="B13" s="371"/>
      <c r="C13" s="387"/>
      <c r="D13" s="458"/>
      <c r="E13" s="389"/>
      <c r="F13" s="389"/>
      <c r="G13" s="457"/>
      <c r="H13" s="367"/>
      <c r="I13" s="366"/>
      <c r="J13" s="366"/>
      <c r="K13" s="365"/>
      <c r="L13" s="352"/>
    </row>
    <row r="14" spans="1:12" x14ac:dyDescent="0.25">
      <c r="A14" s="386">
        <v>102</v>
      </c>
      <c r="B14" s="371"/>
      <c r="C14" s="461" t="s">
        <v>700</v>
      </c>
      <c r="D14" s="386"/>
      <c r="E14" s="385"/>
      <c r="F14" s="385"/>
      <c r="G14" s="384"/>
      <c r="H14" s="367"/>
      <c r="I14" s="366"/>
      <c r="J14" s="366"/>
      <c r="K14" s="365"/>
      <c r="L14" s="352"/>
    </row>
    <row r="15" spans="1:12" x14ac:dyDescent="0.25">
      <c r="A15" s="386"/>
      <c r="B15" s="371" t="s">
        <v>8</v>
      </c>
      <c r="C15" s="370" t="s">
        <v>757</v>
      </c>
      <c r="D15" s="372">
        <v>4300</v>
      </c>
      <c r="E15" s="366">
        <v>4300</v>
      </c>
      <c r="F15" s="350"/>
      <c r="G15" s="368"/>
      <c r="H15" s="367">
        <v>4300</v>
      </c>
      <c r="I15" s="366">
        <v>4300</v>
      </c>
      <c r="J15" s="366">
        <v>0</v>
      </c>
      <c r="K15" s="365">
        <v>0</v>
      </c>
      <c r="L15" s="352"/>
    </row>
    <row r="16" spans="1:12" x14ac:dyDescent="0.25">
      <c r="A16" s="386"/>
      <c r="B16" s="371" t="s">
        <v>16</v>
      </c>
      <c r="C16" s="411" t="s">
        <v>712</v>
      </c>
      <c r="D16" s="372"/>
      <c r="E16" s="366"/>
      <c r="F16" s="350"/>
      <c r="G16" s="462"/>
      <c r="H16" s="367"/>
      <c r="I16" s="366"/>
      <c r="J16" s="366"/>
      <c r="K16" s="365"/>
      <c r="L16" s="352"/>
    </row>
    <row r="17" spans="1:12" x14ac:dyDescent="0.25">
      <c r="A17" s="386"/>
      <c r="B17" s="371"/>
      <c r="C17" s="411" t="s">
        <v>1131</v>
      </c>
      <c r="D17" s="372"/>
      <c r="E17" s="366"/>
      <c r="F17" s="350"/>
      <c r="G17" s="462"/>
      <c r="H17" s="367">
        <v>139</v>
      </c>
      <c r="I17" s="366">
        <v>139</v>
      </c>
      <c r="J17" s="366"/>
      <c r="K17" s="365"/>
      <c r="L17" s="352"/>
    </row>
    <row r="18" spans="1:12" x14ac:dyDescent="0.25">
      <c r="A18" s="369"/>
      <c r="B18" s="371"/>
      <c r="C18" s="387" t="s">
        <v>30</v>
      </c>
      <c r="D18" s="458">
        <f>SUM(D15)</f>
        <v>4300</v>
      </c>
      <c r="E18" s="389">
        <f>SUM(E15)</f>
        <v>4300</v>
      </c>
      <c r="F18" s="389">
        <f>SUM(F15)</f>
        <v>0</v>
      </c>
      <c r="G18" s="457">
        <f>SUM(G15)</f>
        <v>0</v>
      </c>
      <c r="H18" s="390">
        <v>4439</v>
      </c>
      <c r="I18" s="389">
        <v>4439</v>
      </c>
      <c r="J18" s="389">
        <v>0</v>
      </c>
      <c r="K18" s="388">
        <v>0</v>
      </c>
      <c r="L18" s="352"/>
    </row>
    <row r="19" spans="1:12" x14ac:dyDescent="0.25">
      <c r="A19" s="369"/>
      <c r="B19" s="371"/>
      <c r="C19" s="411"/>
      <c r="D19" s="458"/>
      <c r="E19" s="389"/>
      <c r="F19" s="389"/>
      <c r="G19" s="457"/>
      <c r="H19" s="367"/>
      <c r="I19" s="366"/>
      <c r="J19" s="366"/>
      <c r="K19" s="365"/>
      <c r="L19" s="352"/>
    </row>
    <row r="20" spans="1:12" x14ac:dyDescent="0.25">
      <c r="A20" s="386">
        <v>103</v>
      </c>
      <c r="B20" s="371"/>
      <c r="C20" s="387" t="s">
        <v>46</v>
      </c>
      <c r="D20" s="386"/>
      <c r="E20" s="385"/>
      <c r="F20" s="385"/>
      <c r="G20" s="384"/>
      <c r="H20" s="367"/>
      <c r="I20" s="366"/>
      <c r="J20" s="366"/>
      <c r="K20" s="365"/>
      <c r="L20" s="352"/>
    </row>
    <row r="21" spans="1:12" x14ac:dyDescent="0.25">
      <c r="A21" s="386"/>
      <c r="B21" s="371" t="s">
        <v>8</v>
      </c>
      <c r="C21" s="370" t="s">
        <v>101</v>
      </c>
      <c r="D21" s="367">
        <v>90000</v>
      </c>
      <c r="E21" s="366">
        <v>90000</v>
      </c>
      <c r="F21" s="366"/>
      <c r="G21" s="365"/>
      <c r="H21" s="367">
        <v>66000</v>
      </c>
      <c r="I21" s="366">
        <v>66000</v>
      </c>
      <c r="J21" s="366">
        <v>0</v>
      </c>
      <c r="K21" s="365">
        <v>0</v>
      </c>
      <c r="L21" s="352"/>
    </row>
    <row r="22" spans="1:12" x14ac:dyDescent="0.25">
      <c r="A22" s="386"/>
      <c r="B22" s="371" t="s">
        <v>16</v>
      </c>
      <c r="C22" s="411" t="s">
        <v>712</v>
      </c>
      <c r="D22" s="372"/>
      <c r="E22" s="366"/>
      <c r="F22" s="366"/>
      <c r="G22" s="446"/>
      <c r="H22" s="367"/>
      <c r="I22" s="366"/>
      <c r="J22" s="366"/>
      <c r="K22" s="365"/>
      <c r="L22" s="352"/>
    </row>
    <row r="23" spans="1:12" x14ac:dyDescent="0.25">
      <c r="A23" s="386"/>
      <c r="B23" s="371"/>
      <c r="C23" s="411" t="s">
        <v>1131</v>
      </c>
      <c r="D23" s="372"/>
      <c r="E23" s="366"/>
      <c r="F23" s="366"/>
      <c r="G23" s="446"/>
      <c r="H23" s="367">
        <v>186</v>
      </c>
      <c r="I23" s="366">
        <v>186</v>
      </c>
      <c r="J23" s="366"/>
      <c r="K23" s="365"/>
      <c r="L23" s="352"/>
    </row>
    <row r="24" spans="1:12" x14ac:dyDescent="0.25">
      <c r="A24" s="386"/>
      <c r="B24" s="371"/>
      <c r="C24" s="411" t="s">
        <v>1132</v>
      </c>
      <c r="D24" s="372"/>
      <c r="E24" s="366"/>
      <c r="F24" s="366"/>
      <c r="G24" s="446"/>
      <c r="H24" s="367">
        <v>230</v>
      </c>
      <c r="I24" s="366">
        <v>230</v>
      </c>
      <c r="J24" s="366"/>
      <c r="K24" s="365"/>
      <c r="L24" s="352"/>
    </row>
    <row r="25" spans="1:12" x14ac:dyDescent="0.25">
      <c r="A25" s="369"/>
      <c r="B25" s="371"/>
      <c r="C25" s="387" t="s">
        <v>18</v>
      </c>
      <c r="D25" s="458">
        <f>SUM(D21)</f>
        <v>90000</v>
      </c>
      <c r="E25" s="389">
        <f>SUM(E21)</f>
        <v>90000</v>
      </c>
      <c r="F25" s="389">
        <f>SUM(F21)</f>
        <v>0</v>
      </c>
      <c r="G25" s="457">
        <f>SUM(G21)</f>
        <v>0</v>
      </c>
      <c r="H25" s="390">
        <v>66416</v>
      </c>
      <c r="I25" s="389">
        <v>66416</v>
      </c>
      <c r="J25" s="389">
        <v>0</v>
      </c>
      <c r="K25" s="388">
        <v>0</v>
      </c>
      <c r="L25" s="352"/>
    </row>
    <row r="26" spans="1:12" s="392" customFormat="1" x14ac:dyDescent="0.25">
      <c r="A26" s="369"/>
      <c r="B26" s="383"/>
      <c r="C26" s="370" t="s">
        <v>3</v>
      </c>
      <c r="D26" s="369"/>
      <c r="E26" s="350"/>
      <c r="F26" s="350"/>
      <c r="G26" s="368"/>
      <c r="H26" s="390"/>
      <c r="I26" s="389"/>
      <c r="J26" s="389"/>
      <c r="K26" s="388"/>
      <c r="L26" s="393"/>
    </row>
    <row r="27" spans="1:12" x14ac:dyDescent="0.25">
      <c r="A27" s="386">
        <v>104</v>
      </c>
      <c r="B27" s="371"/>
      <c r="C27" s="461" t="s">
        <v>755</v>
      </c>
      <c r="D27" s="386"/>
      <c r="E27" s="385"/>
      <c r="F27" s="385"/>
      <c r="G27" s="384"/>
      <c r="H27" s="367"/>
      <c r="I27" s="366"/>
      <c r="J27" s="366"/>
      <c r="K27" s="365"/>
      <c r="L27" s="352"/>
    </row>
    <row r="28" spans="1:12" x14ac:dyDescent="0.25">
      <c r="A28" s="369"/>
      <c r="B28" s="371" t="s">
        <v>8</v>
      </c>
      <c r="C28" s="370" t="s">
        <v>101</v>
      </c>
      <c r="D28" s="367">
        <v>1400</v>
      </c>
      <c r="E28" s="366">
        <v>1400</v>
      </c>
      <c r="F28" s="366"/>
      <c r="G28" s="365"/>
      <c r="H28" s="367">
        <v>1400</v>
      </c>
      <c r="I28" s="366">
        <v>1400</v>
      </c>
      <c r="J28" s="366">
        <v>0</v>
      </c>
      <c r="K28" s="365">
        <v>0</v>
      </c>
      <c r="L28" s="352"/>
    </row>
    <row r="29" spans="1:12" x14ac:dyDescent="0.25">
      <c r="A29" s="369"/>
      <c r="B29" s="371" t="s">
        <v>16</v>
      </c>
      <c r="C29" s="411" t="s">
        <v>712</v>
      </c>
      <c r="D29" s="372"/>
      <c r="E29" s="366"/>
      <c r="F29" s="366"/>
      <c r="G29" s="446"/>
      <c r="H29" s="367"/>
      <c r="I29" s="366"/>
      <c r="J29" s="366"/>
      <c r="K29" s="365"/>
      <c r="L29" s="352"/>
    </row>
    <row r="30" spans="1:12" x14ac:dyDescent="0.25">
      <c r="A30" s="369"/>
      <c r="B30" s="371"/>
      <c r="C30" s="411" t="s">
        <v>1131</v>
      </c>
      <c r="D30" s="372"/>
      <c r="E30" s="366"/>
      <c r="F30" s="366"/>
      <c r="G30" s="446"/>
      <c r="H30" s="367">
        <v>370</v>
      </c>
      <c r="I30" s="366">
        <v>370</v>
      </c>
      <c r="J30" s="366"/>
      <c r="K30" s="365"/>
      <c r="L30" s="352"/>
    </row>
    <row r="31" spans="1:12" x14ac:dyDescent="0.25">
      <c r="A31" s="369"/>
      <c r="B31" s="371"/>
      <c r="C31" s="387" t="s">
        <v>11</v>
      </c>
      <c r="D31" s="458">
        <f>SUM(D28)</f>
        <v>1400</v>
      </c>
      <c r="E31" s="389">
        <f>SUM(E28)</f>
        <v>1400</v>
      </c>
      <c r="F31" s="389">
        <f>SUM(F28)</f>
        <v>0</v>
      </c>
      <c r="G31" s="457">
        <f>SUM(G28)</f>
        <v>0</v>
      </c>
      <c r="H31" s="390">
        <v>1770</v>
      </c>
      <c r="I31" s="389">
        <v>1770</v>
      </c>
      <c r="J31" s="389">
        <v>0</v>
      </c>
      <c r="K31" s="388">
        <v>0</v>
      </c>
      <c r="L31" s="352"/>
    </row>
    <row r="32" spans="1:12" ht="17.25" customHeight="1" x14ac:dyDescent="0.25">
      <c r="A32" s="369"/>
      <c r="B32" s="371"/>
      <c r="C32" s="370"/>
      <c r="D32" s="369"/>
      <c r="E32" s="350"/>
      <c r="F32" s="350"/>
      <c r="G32" s="368"/>
      <c r="H32" s="367"/>
      <c r="I32" s="366"/>
      <c r="J32" s="366"/>
      <c r="K32" s="365"/>
      <c r="L32" s="352"/>
    </row>
    <row r="33" spans="1:12" x14ac:dyDescent="0.25">
      <c r="A33" s="386"/>
      <c r="B33" s="383"/>
      <c r="C33" s="387" t="s">
        <v>907</v>
      </c>
      <c r="D33" s="458">
        <f>D12+D25+D31+D18</f>
        <v>101800</v>
      </c>
      <c r="E33" s="389">
        <f>E12+E25+E31+E18</f>
        <v>101800</v>
      </c>
      <c r="F33" s="389">
        <f>F12+F25+F31+F18</f>
        <v>0</v>
      </c>
      <c r="G33" s="457">
        <f>G12+G25+G31+G18</f>
        <v>0</v>
      </c>
      <c r="H33" s="390">
        <v>76326</v>
      </c>
      <c r="I33" s="389">
        <v>76326</v>
      </c>
      <c r="J33" s="389">
        <v>0</v>
      </c>
      <c r="K33" s="388">
        <v>0</v>
      </c>
      <c r="L33" s="352"/>
    </row>
    <row r="34" spans="1:12" x14ac:dyDescent="0.25">
      <c r="A34" s="369"/>
      <c r="B34" s="371"/>
      <c r="C34" s="370"/>
      <c r="D34" s="369"/>
      <c r="E34" s="350"/>
      <c r="F34" s="350"/>
      <c r="G34" s="368"/>
      <c r="H34" s="367">
        <v>0</v>
      </c>
      <c r="I34" s="366">
        <v>0</v>
      </c>
      <c r="J34" s="366">
        <v>0</v>
      </c>
      <c r="K34" s="365">
        <v>0</v>
      </c>
      <c r="L34" s="352"/>
    </row>
    <row r="35" spans="1:12" x14ac:dyDescent="0.25">
      <c r="A35" s="460">
        <v>105</v>
      </c>
      <c r="B35" s="459"/>
      <c r="C35" s="387" t="s">
        <v>47</v>
      </c>
      <c r="D35" s="390"/>
      <c r="E35" s="389"/>
      <c r="F35" s="389"/>
      <c r="G35" s="388"/>
      <c r="H35" s="367">
        <v>0</v>
      </c>
      <c r="I35" s="366">
        <v>0</v>
      </c>
      <c r="J35" s="366">
        <v>0</v>
      </c>
      <c r="K35" s="365">
        <v>0</v>
      </c>
      <c r="L35" s="352"/>
    </row>
    <row r="36" spans="1:12" x14ac:dyDescent="0.25">
      <c r="A36" s="386"/>
      <c r="B36" s="371" t="s">
        <v>8</v>
      </c>
      <c r="C36" s="370" t="s">
        <v>101</v>
      </c>
      <c r="D36" s="367"/>
      <c r="E36" s="366"/>
      <c r="F36" s="366"/>
      <c r="G36" s="365"/>
      <c r="H36" s="367">
        <v>0</v>
      </c>
      <c r="I36" s="366">
        <v>0</v>
      </c>
      <c r="J36" s="366">
        <v>0</v>
      </c>
      <c r="K36" s="365">
        <v>0</v>
      </c>
      <c r="L36" s="352"/>
    </row>
    <row r="37" spans="1:12" x14ac:dyDescent="0.25">
      <c r="A37" s="386"/>
      <c r="B37" s="371"/>
      <c r="C37" s="370" t="s">
        <v>102</v>
      </c>
      <c r="D37" s="367">
        <v>10000</v>
      </c>
      <c r="E37" s="366">
        <v>10000</v>
      </c>
      <c r="F37" s="366"/>
      <c r="G37" s="365"/>
      <c r="H37" s="367">
        <v>10000</v>
      </c>
      <c r="I37" s="366">
        <v>10000</v>
      </c>
      <c r="J37" s="366">
        <v>0</v>
      </c>
      <c r="K37" s="365">
        <v>0</v>
      </c>
      <c r="L37" s="352"/>
    </row>
    <row r="38" spans="1:12" x14ac:dyDescent="0.25">
      <c r="A38" s="386"/>
      <c r="B38" s="371"/>
      <c r="C38" s="370" t="s">
        <v>103</v>
      </c>
      <c r="D38" s="367">
        <v>0</v>
      </c>
      <c r="E38" s="366">
        <v>0</v>
      </c>
      <c r="F38" s="366"/>
      <c r="G38" s="365"/>
      <c r="H38" s="367">
        <v>0</v>
      </c>
      <c r="I38" s="366">
        <v>0</v>
      </c>
      <c r="J38" s="366">
        <v>0</v>
      </c>
      <c r="K38" s="365">
        <v>0</v>
      </c>
      <c r="L38" s="352"/>
    </row>
    <row r="39" spans="1:12" s="374" customFormat="1" x14ac:dyDescent="0.25">
      <c r="A39" s="381"/>
      <c r="B39" s="380"/>
      <c r="C39" s="379" t="s">
        <v>26</v>
      </c>
      <c r="D39" s="378">
        <f>SUM(D37:D38)</f>
        <v>10000</v>
      </c>
      <c r="E39" s="377">
        <f>SUM(E37:E38)</f>
        <v>10000</v>
      </c>
      <c r="F39" s="377">
        <f>SUM(F37:F38)</f>
        <v>0</v>
      </c>
      <c r="G39" s="376">
        <f>SUM(G37:G38)</f>
        <v>0</v>
      </c>
      <c r="H39" s="378">
        <v>10000</v>
      </c>
      <c r="I39" s="377">
        <v>10000</v>
      </c>
      <c r="J39" s="377">
        <v>0</v>
      </c>
      <c r="K39" s="376">
        <v>0</v>
      </c>
      <c r="L39" s="375"/>
    </row>
    <row r="40" spans="1:12" x14ac:dyDescent="0.25">
      <c r="A40" s="386"/>
      <c r="B40" s="371"/>
      <c r="C40" s="387" t="s">
        <v>1095</v>
      </c>
      <c r="D40" s="458">
        <f>D39</f>
        <v>10000</v>
      </c>
      <c r="E40" s="389">
        <f>E39</f>
        <v>10000</v>
      </c>
      <c r="F40" s="389">
        <f>F39</f>
        <v>0</v>
      </c>
      <c r="G40" s="457">
        <f>G39</f>
        <v>0</v>
      </c>
      <c r="H40" s="390">
        <v>10000</v>
      </c>
      <c r="I40" s="389">
        <v>10000</v>
      </c>
      <c r="J40" s="389">
        <v>0</v>
      </c>
      <c r="K40" s="388">
        <v>0</v>
      </c>
      <c r="L40" s="352"/>
    </row>
    <row r="41" spans="1:12" x14ac:dyDescent="0.25">
      <c r="A41" s="369"/>
      <c r="B41" s="371"/>
      <c r="C41" s="370"/>
      <c r="D41" s="369"/>
      <c r="E41" s="350"/>
      <c r="F41" s="350"/>
      <c r="G41" s="368"/>
      <c r="H41" s="367">
        <v>0</v>
      </c>
      <c r="I41" s="366">
        <v>0</v>
      </c>
      <c r="J41" s="366">
        <v>0</v>
      </c>
      <c r="K41" s="365">
        <v>0</v>
      </c>
      <c r="L41" s="352"/>
    </row>
    <row r="42" spans="1:12" s="392" customFormat="1" x14ac:dyDescent="0.25">
      <c r="A42" s="386">
        <v>106</v>
      </c>
      <c r="B42" s="383"/>
      <c r="C42" s="407" t="s">
        <v>31</v>
      </c>
      <c r="D42" s="456"/>
      <c r="E42" s="455"/>
      <c r="F42" s="455"/>
      <c r="G42" s="454"/>
      <c r="H42" s="390">
        <v>0</v>
      </c>
      <c r="I42" s="389">
        <v>0</v>
      </c>
      <c r="J42" s="389">
        <v>0</v>
      </c>
      <c r="K42" s="388">
        <v>0</v>
      </c>
      <c r="L42" s="393"/>
    </row>
    <row r="43" spans="1:12" x14ac:dyDescent="0.25">
      <c r="A43" s="369"/>
      <c r="B43" s="371" t="s">
        <v>8</v>
      </c>
      <c r="C43" s="370" t="s">
        <v>101</v>
      </c>
      <c r="D43" s="410"/>
      <c r="E43" s="409"/>
      <c r="F43" s="409"/>
      <c r="G43" s="408"/>
      <c r="H43" s="367">
        <v>0</v>
      </c>
      <c r="I43" s="366">
        <v>0</v>
      </c>
      <c r="J43" s="366">
        <v>0</v>
      </c>
      <c r="K43" s="365">
        <v>0</v>
      </c>
      <c r="L43" s="352"/>
    </row>
    <row r="44" spans="1:12" ht="30" x14ac:dyDescent="0.25">
      <c r="A44" s="369"/>
      <c r="B44" s="371"/>
      <c r="C44" s="411" t="s">
        <v>104</v>
      </c>
      <c r="D44" s="410">
        <v>7000</v>
      </c>
      <c r="E44" s="409">
        <v>7000</v>
      </c>
      <c r="F44" s="409"/>
      <c r="G44" s="408"/>
      <c r="H44" s="367">
        <v>7000</v>
      </c>
      <c r="I44" s="366">
        <v>7000</v>
      </c>
      <c r="J44" s="366">
        <v>0</v>
      </c>
      <c r="K44" s="365">
        <v>0</v>
      </c>
      <c r="L44" s="352"/>
    </row>
    <row r="45" spans="1:12" ht="30" x14ac:dyDescent="0.25">
      <c r="A45" s="369"/>
      <c r="B45" s="371"/>
      <c r="C45" s="411" t="s">
        <v>105</v>
      </c>
      <c r="D45" s="410">
        <v>10000</v>
      </c>
      <c r="E45" s="409">
        <v>10000</v>
      </c>
      <c r="F45" s="409"/>
      <c r="G45" s="408"/>
      <c r="H45" s="367">
        <v>10000</v>
      </c>
      <c r="I45" s="366">
        <v>10000</v>
      </c>
      <c r="J45" s="366">
        <v>0</v>
      </c>
      <c r="K45" s="365">
        <v>0</v>
      </c>
      <c r="L45" s="352"/>
    </row>
    <row r="46" spans="1:12" x14ac:dyDescent="0.25">
      <c r="A46" s="369"/>
      <c r="B46" s="371"/>
      <c r="C46" s="411" t="s">
        <v>106</v>
      </c>
      <c r="D46" s="410">
        <v>1000</v>
      </c>
      <c r="E46" s="409">
        <v>1000</v>
      </c>
      <c r="F46" s="409"/>
      <c r="G46" s="408"/>
      <c r="H46" s="367">
        <v>1000</v>
      </c>
      <c r="I46" s="366">
        <v>1000</v>
      </c>
      <c r="J46" s="366">
        <v>0</v>
      </c>
      <c r="K46" s="365">
        <v>0</v>
      </c>
      <c r="L46" s="352"/>
    </row>
    <row r="47" spans="1:12" s="374" customFormat="1" x14ac:dyDescent="0.25">
      <c r="A47" s="369"/>
      <c r="B47" s="380"/>
      <c r="C47" s="411" t="s">
        <v>908</v>
      </c>
      <c r="D47" s="410">
        <v>35000</v>
      </c>
      <c r="E47" s="409">
        <v>35000</v>
      </c>
      <c r="F47" s="409"/>
      <c r="G47" s="408"/>
      <c r="H47" s="378">
        <v>33000</v>
      </c>
      <c r="I47" s="377">
        <v>33000</v>
      </c>
      <c r="J47" s="377">
        <v>0</v>
      </c>
      <c r="K47" s="376">
        <v>0</v>
      </c>
      <c r="L47" s="375"/>
    </row>
    <row r="48" spans="1:12" s="374" customFormat="1" x14ac:dyDescent="0.25">
      <c r="A48" s="369"/>
      <c r="B48" s="380"/>
      <c r="C48" s="449" t="s">
        <v>107</v>
      </c>
      <c r="D48" s="410">
        <v>4500</v>
      </c>
      <c r="E48" s="409">
        <v>4500</v>
      </c>
      <c r="F48" s="409"/>
      <c r="G48" s="408"/>
      <c r="H48" s="378">
        <v>4500</v>
      </c>
      <c r="I48" s="377">
        <v>4500</v>
      </c>
      <c r="J48" s="377">
        <v>0</v>
      </c>
      <c r="K48" s="376">
        <v>0</v>
      </c>
      <c r="L48" s="375"/>
    </row>
    <row r="49" spans="1:12" s="374" customFormat="1" x14ac:dyDescent="0.25">
      <c r="A49" s="369"/>
      <c r="B49" s="380"/>
      <c r="C49" s="449" t="s">
        <v>108</v>
      </c>
      <c r="D49" s="410">
        <v>3500</v>
      </c>
      <c r="E49" s="409">
        <v>3500</v>
      </c>
      <c r="F49" s="409"/>
      <c r="G49" s="408"/>
      <c r="H49" s="378">
        <v>3500</v>
      </c>
      <c r="I49" s="377">
        <v>3500</v>
      </c>
      <c r="J49" s="377">
        <v>0</v>
      </c>
      <c r="K49" s="376">
        <v>0</v>
      </c>
      <c r="L49" s="375"/>
    </row>
    <row r="50" spans="1:12" s="374" customFormat="1" x14ac:dyDescent="0.25">
      <c r="A50" s="369"/>
      <c r="B50" s="380"/>
      <c r="C50" s="449" t="s">
        <v>109</v>
      </c>
      <c r="D50" s="410"/>
      <c r="E50" s="409"/>
      <c r="F50" s="409"/>
      <c r="G50" s="408"/>
      <c r="H50" s="378">
        <v>0</v>
      </c>
      <c r="I50" s="377">
        <v>0</v>
      </c>
      <c r="J50" s="377">
        <v>0</v>
      </c>
      <c r="K50" s="376">
        <v>0</v>
      </c>
      <c r="L50" s="375"/>
    </row>
    <row r="51" spans="1:12" s="374" customFormat="1" x14ac:dyDescent="0.25">
      <c r="A51" s="369"/>
      <c r="B51" s="380"/>
      <c r="C51" s="449" t="s">
        <v>110</v>
      </c>
      <c r="D51" s="410">
        <v>15000</v>
      </c>
      <c r="E51" s="409"/>
      <c r="F51" s="409">
        <v>15000</v>
      </c>
      <c r="G51" s="408"/>
      <c r="H51" s="378">
        <v>0</v>
      </c>
      <c r="I51" s="377">
        <v>0</v>
      </c>
      <c r="J51" s="377">
        <v>0</v>
      </c>
      <c r="K51" s="376">
        <v>0</v>
      </c>
      <c r="L51" s="375"/>
    </row>
    <row r="52" spans="1:12" s="374" customFormat="1" x14ac:dyDescent="0.25">
      <c r="A52" s="369"/>
      <c r="B52" s="380"/>
      <c r="C52" s="449" t="s">
        <v>111</v>
      </c>
      <c r="D52" s="410">
        <v>150</v>
      </c>
      <c r="E52" s="409"/>
      <c r="F52" s="409">
        <v>150</v>
      </c>
      <c r="G52" s="408"/>
      <c r="H52" s="378">
        <v>150</v>
      </c>
      <c r="I52" s="377">
        <v>0</v>
      </c>
      <c r="J52" s="377">
        <v>150</v>
      </c>
      <c r="K52" s="376">
        <v>0</v>
      </c>
      <c r="L52" s="375"/>
    </row>
    <row r="53" spans="1:12" s="374" customFormat="1" x14ac:dyDescent="0.25">
      <c r="A53" s="369"/>
      <c r="B53" s="380"/>
      <c r="C53" s="449" t="s">
        <v>156</v>
      </c>
      <c r="D53" s="422">
        <v>29592</v>
      </c>
      <c r="E53" s="409">
        <v>29592</v>
      </c>
      <c r="F53" s="409"/>
      <c r="G53" s="408"/>
      <c r="H53" s="378">
        <v>29592</v>
      </c>
      <c r="I53" s="377">
        <v>29592</v>
      </c>
      <c r="J53" s="377">
        <v>0</v>
      </c>
      <c r="K53" s="376">
        <v>0</v>
      </c>
      <c r="L53" s="375"/>
    </row>
    <row r="54" spans="1:12" s="374" customFormat="1" x14ac:dyDescent="0.25">
      <c r="A54" s="369"/>
      <c r="B54" s="380"/>
      <c r="C54" s="449" t="s">
        <v>909</v>
      </c>
      <c r="D54" s="422">
        <v>15000</v>
      </c>
      <c r="E54" s="409"/>
      <c r="F54" s="409">
        <v>15000</v>
      </c>
      <c r="G54" s="408"/>
      <c r="H54" s="378">
        <v>7500</v>
      </c>
      <c r="I54" s="377">
        <v>0</v>
      </c>
      <c r="J54" s="377">
        <v>7500</v>
      </c>
      <c r="K54" s="376">
        <v>0</v>
      </c>
      <c r="L54" s="375"/>
    </row>
    <row r="55" spans="1:12" s="374" customFormat="1" x14ac:dyDescent="0.25">
      <c r="A55" s="369"/>
      <c r="B55" s="380"/>
      <c r="C55" s="449" t="s">
        <v>910</v>
      </c>
      <c r="D55" s="422">
        <v>4583</v>
      </c>
      <c r="E55" s="409">
        <v>4583</v>
      </c>
      <c r="F55" s="409"/>
      <c r="G55" s="408"/>
      <c r="H55" s="378">
        <v>4583</v>
      </c>
      <c r="I55" s="377">
        <v>4583</v>
      </c>
      <c r="J55" s="377">
        <v>0</v>
      </c>
      <c r="K55" s="376">
        <v>0</v>
      </c>
      <c r="L55" s="375"/>
    </row>
    <row r="56" spans="1:12" s="374" customFormat="1" x14ac:dyDescent="0.25">
      <c r="A56" s="369"/>
      <c r="B56" s="380"/>
      <c r="C56" s="449"/>
      <c r="D56" s="422"/>
      <c r="E56" s="409"/>
      <c r="F56" s="409"/>
      <c r="G56" s="408"/>
      <c r="H56" s="378"/>
      <c r="I56" s="377"/>
      <c r="J56" s="377"/>
      <c r="K56" s="376"/>
      <c r="L56" s="375"/>
    </row>
    <row r="57" spans="1:12" x14ac:dyDescent="0.25">
      <c r="A57" s="369"/>
      <c r="B57" s="371"/>
      <c r="C57" s="416" t="s">
        <v>34</v>
      </c>
      <c r="D57" s="415">
        <f>SUM(D44:D56)</f>
        <v>125325</v>
      </c>
      <c r="E57" s="413">
        <f>SUM(E44:E56)</f>
        <v>95175</v>
      </c>
      <c r="F57" s="413">
        <f>SUM(F44:F56)</f>
        <v>30150</v>
      </c>
      <c r="G57" s="412">
        <f>SUM(G44:G56)</f>
        <v>0</v>
      </c>
      <c r="H57" s="414">
        <v>100825</v>
      </c>
      <c r="I57" s="413">
        <v>93175</v>
      </c>
      <c r="J57" s="413">
        <v>7650</v>
      </c>
      <c r="K57" s="412">
        <v>0</v>
      </c>
      <c r="L57" s="352"/>
    </row>
    <row r="58" spans="1:12" x14ac:dyDescent="0.25">
      <c r="A58" s="369"/>
      <c r="B58" s="371"/>
      <c r="C58" s="411"/>
      <c r="D58" s="434"/>
      <c r="E58" s="433"/>
      <c r="F58" s="433"/>
      <c r="G58" s="432"/>
      <c r="H58" s="367"/>
      <c r="I58" s="366"/>
      <c r="J58" s="366"/>
      <c r="K58" s="365"/>
      <c r="L58" s="352"/>
    </row>
    <row r="59" spans="1:12" x14ac:dyDescent="0.25">
      <c r="A59" s="369"/>
      <c r="B59" s="371" t="s">
        <v>13</v>
      </c>
      <c r="C59" s="411" t="s">
        <v>60</v>
      </c>
      <c r="D59" s="434"/>
      <c r="E59" s="433"/>
      <c r="F59" s="433"/>
      <c r="G59" s="432"/>
      <c r="H59" s="367"/>
      <c r="I59" s="366"/>
      <c r="J59" s="366"/>
      <c r="K59" s="365"/>
      <c r="L59" s="352"/>
    </row>
    <row r="60" spans="1:12" x14ac:dyDescent="0.25">
      <c r="A60" s="369"/>
      <c r="B60" s="371"/>
      <c r="C60" s="411" t="s">
        <v>62</v>
      </c>
      <c r="D60" s="410"/>
      <c r="E60" s="409"/>
      <c r="F60" s="409"/>
      <c r="G60" s="408"/>
      <c r="H60" s="367"/>
      <c r="I60" s="366"/>
      <c r="J60" s="366"/>
      <c r="K60" s="365"/>
      <c r="L60" s="352"/>
    </row>
    <row r="61" spans="1:12" x14ac:dyDescent="0.25">
      <c r="A61" s="369"/>
      <c r="B61" s="371"/>
      <c r="C61" s="411" t="s">
        <v>72</v>
      </c>
      <c r="D61" s="410">
        <v>68000</v>
      </c>
      <c r="E61" s="409">
        <v>68000</v>
      </c>
      <c r="F61" s="409"/>
      <c r="G61" s="408"/>
      <c r="H61" s="367">
        <v>68000</v>
      </c>
      <c r="I61" s="366">
        <v>68000</v>
      </c>
      <c r="J61" s="366">
        <v>0</v>
      </c>
      <c r="K61" s="365">
        <v>0</v>
      </c>
      <c r="L61" s="352"/>
    </row>
    <row r="62" spans="1:12" x14ac:dyDescent="0.25">
      <c r="A62" s="369"/>
      <c r="B62" s="371"/>
      <c r="C62" s="411" t="s">
        <v>70</v>
      </c>
      <c r="D62" s="410">
        <v>130000</v>
      </c>
      <c r="E62" s="409">
        <v>130000</v>
      </c>
      <c r="F62" s="409"/>
      <c r="G62" s="408"/>
      <c r="H62" s="367">
        <v>130000</v>
      </c>
      <c r="I62" s="366">
        <v>130000</v>
      </c>
      <c r="J62" s="366">
        <v>0</v>
      </c>
      <c r="K62" s="365">
        <v>0</v>
      </c>
      <c r="L62" s="352"/>
    </row>
    <row r="63" spans="1:12" x14ac:dyDescent="0.25">
      <c r="A63" s="381"/>
      <c r="B63" s="371"/>
      <c r="C63" s="411" t="s">
        <v>71</v>
      </c>
      <c r="D63" s="410">
        <v>16000</v>
      </c>
      <c r="E63" s="409">
        <v>16000</v>
      </c>
      <c r="F63" s="409"/>
      <c r="G63" s="408"/>
      <c r="H63" s="367">
        <v>8000</v>
      </c>
      <c r="I63" s="366">
        <v>8000</v>
      </c>
      <c r="J63" s="366">
        <v>0</v>
      </c>
      <c r="K63" s="365">
        <v>0</v>
      </c>
      <c r="L63" s="352"/>
    </row>
    <row r="64" spans="1:12" s="374" customFormat="1" x14ac:dyDescent="0.25">
      <c r="A64" s="369"/>
      <c r="B64" s="380"/>
      <c r="C64" s="411" t="s">
        <v>73</v>
      </c>
      <c r="D64" s="410">
        <v>585000</v>
      </c>
      <c r="E64" s="409">
        <v>585000</v>
      </c>
      <c r="F64" s="409"/>
      <c r="G64" s="408"/>
      <c r="H64" s="378">
        <v>585000</v>
      </c>
      <c r="I64" s="377">
        <v>585000</v>
      </c>
      <c r="J64" s="377">
        <v>0</v>
      </c>
      <c r="K64" s="376">
        <v>0</v>
      </c>
      <c r="L64" s="375"/>
    </row>
    <row r="65" spans="1:12" x14ac:dyDescent="0.25">
      <c r="A65" s="369"/>
      <c r="B65" s="371"/>
      <c r="C65" s="420" t="s">
        <v>26</v>
      </c>
      <c r="D65" s="415">
        <f>SUM(D61:D64)</f>
        <v>799000</v>
      </c>
      <c r="E65" s="413">
        <f>SUM(E61:E64)</f>
        <v>799000</v>
      </c>
      <c r="F65" s="413">
        <f>SUM(F61:F64)</f>
        <v>0</v>
      </c>
      <c r="G65" s="412">
        <f>SUM(G61:G64)</f>
        <v>0</v>
      </c>
      <c r="H65" s="414">
        <v>791000</v>
      </c>
      <c r="I65" s="413">
        <v>791000</v>
      </c>
      <c r="J65" s="413">
        <v>0</v>
      </c>
      <c r="K65" s="412">
        <v>0</v>
      </c>
      <c r="L65" s="352"/>
    </row>
    <row r="66" spans="1:12" x14ac:dyDescent="0.25">
      <c r="A66" s="369"/>
      <c r="B66" s="371"/>
      <c r="C66" s="420"/>
      <c r="D66" s="421"/>
      <c r="E66" s="418"/>
      <c r="F66" s="418"/>
      <c r="G66" s="417"/>
      <c r="H66" s="367"/>
      <c r="I66" s="366"/>
      <c r="J66" s="366"/>
      <c r="K66" s="365"/>
      <c r="L66" s="352"/>
    </row>
    <row r="67" spans="1:12" x14ac:dyDescent="0.25">
      <c r="A67" s="369"/>
      <c r="B67" s="371"/>
      <c r="C67" s="411" t="s">
        <v>63</v>
      </c>
      <c r="D67" s="410"/>
      <c r="E67" s="409"/>
      <c r="F67" s="409"/>
      <c r="G67" s="408"/>
      <c r="H67" s="367"/>
      <c r="I67" s="366"/>
      <c r="J67" s="366"/>
      <c r="K67" s="365"/>
      <c r="L67" s="352"/>
    </row>
    <row r="68" spans="1:12" x14ac:dyDescent="0.25">
      <c r="A68" s="381"/>
      <c r="B68" s="371"/>
      <c r="C68" s="411" t="s">
        <v>74</v>
      </c>
      <c r="D68" s="410">
        <v>50000</v>
      </c>
      <c r="E68" s="409">
        <v>50000</v>
      </c>
      <c r="F68" s="409"/>
      <c r="G68" s="408"/>
      <c r="H68" s="367">
        <v>0</v>
      </c>
      <c r="I68" s="366">
        <v>0</v>
      </c>
      <c r="J68" s="366">
        <v>0</v>
      </c>
      <c r="K68" s="365">
        <v>0</v>
      </c>
      <c r="L68" s="352"/>
    </row>
    <row r="69" spans="1:12" x14ac:dyDescent="0.25">
      <c r="A69" s="369"/>
      <c r="B69" s="371"/>
      <c r="C69" s="420" t="s">
        <v>26</v>
      </c>
      <c r="D69" s="419">
        <f>SUM(D68:D68)</f>
        <v>50000</v>
      </c>
      <c r="E69" s="418">
        <f>SUM(E68:E68)</f>
        <v>50000</v>
      </c>
      <c r="F69" s="418">
        <f>SUM(F68:F68)</f>
        <v>0</v>
      </c>
      <c r="G69" s="417">
        <f>SUM(G68:G68)</f>
        <v>0</v>
      </c>
      <c r="H69" s="419">
        <v>0</v>
      </c>
      <c r="I69" s="418">
        <v>0</v>
      </c>
      <c r="J69" s="418">
        <v>0</v>
      </c>
      <c r="K69" s="417">
        <v>0</v>
      </c>
      <c r="L69" s="352"/>
    </row>
    <row r="70" spans="1:12" x14ac:dyDescent="0.25">
      <c r="A70" s="369"/>
      <c r="B70" s="371"/>
      <c r="C70" s="420"/>
      <c r="D70" s="419"/>
      <c r="E70" s="418"/>
      <c r="F70" s="418"/>
      <c r="G70" s="417"/>
      <c r="H70" s="367"/>
      <c r="I70" s="366"/>
      <c r="J70" s="366"/>
      <c r="K70" s="365"/>
      <c r="L70" s="352"/>
    </row>
    <row r="71" spans="1:12" s="374" customFormat="1" x14ac:dyDescent="0.25">
      <c r="A71" s="381"/>
      <c r="B71" s="380"/>
      <c r="C71" s="411" t="s">
        <v>64</v>
      </c>
      <c r="D71" s="410"/>
      <c r="E71" s="409"/>
      <c r="F71" s="409"/>
      <c r="G71" s="408"/>
      <c r="H71" s="378"/>
      <c r="I71" s="377"/>
      <c r="J71" s="377"/>
      <c r="K71" s="376"/>
      <c r="L71" s="375"/>
    </row>
    <row r="72" spans="1:12" s="374" customFormat="1" x14ac:dyDescent="0.25">
      <c r="A72" s="381"/>
      <c r="B72" s="380"/>
      <c r="C72" s="449" t="s">
        <v>75</v>
      </c>
      <c r="D72" s="410">
        <v>6000</v>
      </c>
      <c r="E72" s="409">
        <v>6000</v>
      </c>
      <c r="F72" s="409"/>
      <c r="G72" s="408"/>
      <c r="H72" s="378">
        <v>6000</v>
      </c>
      <c r="I72" s="377">
        <v>6000</v>
      </c>
      <c r="J72" s="377">
        <v>0</v>
      </c>
      <c r="K72" s="376">
        <v>0</v>
      </c>
      <c r="L72" s="375"/>
    </row>
    <row r="73" spans="1:12" s="374" customFormat="1" x14ac:dyDescent="0.25">
      <c r="A73" s="381"/>
      <c r="B73" s="380"/>
      <c r="C73" s="449" t="s">
        <v>157</v>
      </c>
      <c r="D73" s="410">
        <v>6000</v>
      </c>
      <c r="E73" s="409">
        <v>6000</v>
      </c>
      <c r="F73" s="409"/>
      <c r="G73" s="408"/>
      <c r="H73" s="378">
        <v>6000</v>
      </c>
      <c r="I73" s="377">
        <v>6000</v>
      </c>
      <c r="J73" s="377">
        <v>0</v>
      </c>
      <c r="K73" s="376">
        <v>0</v>
      </c>
      <c r="L73" s="375"/>
    </row>
    <row r="74" spans="1:12" s="374" customFormat="1" x14ac:dyDescent="0.25">
      <c r="A74" s="437"/>
      <c r="B74" s="380"/>
      <c r="C74" s="420" t="s">
        <v>26</v>
      </c>
      <c r="D74" s="419">
        <f>SUM(D72:D73)</f>
        <v>12000</v>
      </c>
      <c r="E74" s="418">
        <f>SUM(E72:E73)</f>
        <v>12000</v>
      </c>
      <c r="F74" s="418">
        <f>SUM(F72:F73)</f>
        <v>0</v>
      </c>
      <c r="G74" s="417">
        <f>SUM(G72:G73)</f>
        <v>0</v>
      </c>
      <c r="H74" s="419">
        <v>12000</v>
      </c>
      <c r="I74" s="418">
        <v>12000</v>
      </c>
      <c r="J74" s="418">
        <v>0</v>
      </c>
      <c r="K74" s="417">
        <v>0</v>
      </c>
      <c r="L74" s="375"/>
    </row>
    <row r="75" spans="1:12" s="374" customFormat="1" x14ac:dyDescent="0.25">
      <c r="A75" s="437"/>
      <c r="B75" s="380"/>
      <c r="C75" s="420"/>
      <c r="D75" s="419"/>
      <c r="E75" s="418"/>
      <c r="F75" s="418"/>
      <c r="G75" s="417"/>
      <c r="H75" s="378"/>
      <c r="I75" s="377"/>
      <c r="J75" s="377"/>
      <c r="K75" s="376"/>
      <c r="L75" s="375"/>
    </row>
    <row r="76" spans="1:12" x14ac:dyDescent="0.25">
      <c r="A76" s="369"/>
      <c r="B76" s="371"/>
      <c r="C76" s="416" t="s">
        <v>35</v>
      </c>
      <c r="D76" s="414">
        <f>D65+D69+D74</f>
        <v>861000</v>
      </c>
      <c r="E76" s="413">
        <f>E65+E69+E74</f>
        <v>861000</v>
      </c>
      <c r="F76" s="413">
        <f>F65+F69+F74</f>
        <v>0</v>
      </c>
      <c r="G76" s="412">
        <f>G65+G69+G74</f>
        <v>0</v>
      </c>
      <c r="H76" s="414">
        <v>803000</v>
      </c>
      <c r="I76" s="413">
        <v>803000</v>
      </c>
      <c r="J76" s="413">
        <v>0</v>
      </c>
      <c r="K76" s="412">
        <v>0</v>
      </c>
      <c r="L76" s="352"/>
    </row>
    <row r="77" spans="1:12" x14ac:dyDescent="0.25">
      <c r="A77" s="369"/>
      <c r="C77" s="411"/>
      <c r="D77" s="434"/>
      <c r="E77" s="433"/>
      <c r="F77" s="433"/>
      <c r="G77" s="432"/>
      <c r="H77" s="367"/>
      <c r="I77" s="366"/>
      <c r="J77" s="366"/>
      <c r="K77" s="365"/>
      <c r="L77" s="352"/>
    </row>
    <row r="78" spans="1:12" x14ac:dyDescent="0.25">
      <c r="A78" s="369"/>
      <c r="B78" s="371" t="s">
        <v>14</v>
      </c>
      <c r="C78" s="411" t="s">
        <v>28</v>
      </c>
      <c r="D78" s="434"/>
      <c r="E78" s="433"/>
      <c r="F78" s="433"/>
      <c r="G78" s="432"/>
      <c r="H78" s="367"/>
      <c r="I78" s="366"/>
      <c r="J78" s="366"/>
      <c r="K78" s="365"/>
      <c r="L78" s="352"/>
    </row>
    <row r="79" spans="1:12" ht="30" x14ac:dyDescent="0.25">
      <c r="A79" s="369"/>
      <c r="B79" s="371"/>
      <c r="C79" s="411" t="s">
        <v>33</v>
      </c>
      <c r="D79" s="367"/>
      <c r="E79" s="366"/>
      <c r="F79" s="366"/>
      <c r="G79" s="365"/>
      <c r="H79" s="367"/>
      <c r="I79" s="366"/>
      <c r="J79" s="366"/>
      <c r="K79" s="365"/>
      <c r="L79" s="352"/>
    </row>
    <row r="80" spans="1:12" x14ac:dyDescent="0.25">
      <c r="A80" s="369"/>
      <c r="B80" s="371"/>
      <c r="C80" s="411" t="s">
        <v>184</v>
      </c>
      <c r="D80" s="367">
        <v>409557</v>
      </c>
      <c r="E80" s="366">
        <v>409557</v>
      </c>
      <c r="F80" s="366"/>
      <c r="G80" s="365"/>
      <c r="H80" s="367">
        <v>398036</v>
      </c>
      <c r="I80" s="366">
        <v>398036</v>
      </c>
      <c r="J80" s="366">
        <v>0</v>
      </c>
      <c r="K80" s="365">
        <v>0</v>
      </c>
      <c r="L80" s="352"/>
    </row>
    <row r="81" spans="1:12" x14ac:dyDescent="0.25">
      <c r="A81" s="369"/>
      <c r="B81" s="371"/>
      <c r="C81" s="411" t="s">
        <v>185</v>
      </c>
      <c r="D81" s="367">
        <v>244463</v>
      </c>
      <c r="E81" s="366">
        <v>244463</v>
      </c>
      <c r="F81" s="366"/>
      <c r="G81" s="365"/>
      <c r="H81" s="367">
        <v>244463</v>
      </c>
      <c r="I81" s="366">
        <v>244463</v>
      </c>
      <c r="J81" s="366">
        <v>0</v>
      </c>
      <c r="K81" s="365">
        <v>0</v>
      </c>
      <c r="L81" s="352"/>
    </row>
    <row r="82" spans="1:12" x14ac:dyDescent="0.25">
      <c r="A82" s="369"/>
      <c r="B82" s="371"/>
      <c r="C82" s="370" t="s">
        <v>186</v>
      </c>
      <c r="D82" s="367">
        <v>438936</v>
      </c>
      <c r="E82" s="366">
        <v>374938</v>
      </c>
      <c r="F82" s="366">
        <v>63998</v>
      </c>
      <c r="G82" s="365"/>
      <c r="H82" s="367">
        <v>438936</v>
      </c>
      <c r="I82" s="366">
        <v>374938</v>
      </c>
      <c r="J82" s="366">
        <v>63998</v>
      </c>
      <c r="K82" s="365">
        <v>0</v>
      </c>
      <c r="L82" s="352"/>
    </row>
    <row r="83" spans="1:12" ht="16.5" customHeight="1" x14ac:dyDescent="0.25">
      <c r="A83" s="369"/>
      <c r="B83" s="371"/>
      <c r="C83" s="411" t="s">
        <v>187</v>
      </c>
      <c r="D83" s="367">
        <v>23212</v>
      </c>
      <c r="E83" s="366">
        <v>23212</v>
      </c>
      <c r="F83" s="366"/>
      <c r="G83" s="365"/>
      <c r="H83" s="367">
        <v>23212</v>
      </c>
      <c r="I83" s="366">
        <v>23212</v>
      </c>
      <c r="J83" s="366">
        <v>0</v>
      </c>
      <c r="K83" s="365">
        <v>0</v>
      </c>
      <c r="L83" s="352"/>
    </row>
    <row r="84" spans="1:12" x14ac:dyDescent="0.25">
      <c r="A84" s="369"/>
      <c r="B84" s="371"/>
      <c r="C84" s="420" t="s">
        <v>26</v>
      </c>
      <c r="D84" s="382">
        <f>SUM(D79:D83)</f>
        <v>1116168</v>
      </c>
      <c r="E84" s="377">
        <f>SUM(E79:E83)</f>
        <v>1052170</v>
      </c>
      <c r="F84" s="377">
        <f>SUM(F79:F83)</f>
        <v>63998</v>
      </c>
      <c r="G84" s="447">
        <f>SUM(G79:G83)</f>
        <v>0</v>
      </c>
      <c r="H84" s="378">
        <v>1104647</v>
      </c>
      <c r="I84" s="377">
        <v>1040649</v>
      </c>
      <c r="J84" s="377">
        <v>63998</v>
      </c>
      <c r="K84" s="376">
        <v>0</v>
      </c>
      <c r="L84" s="352"/>
    </row>
    <row r="85" spans="1:12" ht="30" x14ac:dyDescent="0.25">
      <c r="A85" s="369"/>
      <c r="B85" s="371"/>
      <c r="C85" s="411" t="s">
        <v>1130</v>
      </c>
      <c r="D85" s="372"/>
      <c r="E85" s="366"/>
      <c r="F85" s="366"/>
      <c r="G85" s="446"/>
      <c r="H85" s="367"/>
      <c r="I85" s="366"/>
      <c r="J85" s="366"/>
      <c r="K85" s="365"/>
      <c r="L85" s="352"/>
    </row>
    <row r="86" spans="1:12" ht="30" x14ac:dyDescent="0.25">
      <c r="A86" s="369"/>
      <c r="B86" s="371"/>
      <c r="C86" s="453" t="s">
        <v>1129</v>
      </c>
      <c r="D86" s="372"/>
      <c r="E86" s="366"/>
      <c r="F86" s="366"/>
      <c r="G86" s="446"/>
      <c r="H86" s="367">
        <v>861</v>
      </c>
      <c r="I86" s="366">
        <v>861</v>
      </c>
      <c r="J86" s="366">
        <v>0</v>
      </c>
      <c r="K86" s="365">
        <v>0</v>
      </c>
      <c r="L86" s="352"/>
    </row>
    <row r="87" spans="1:12" x14ac:dyDescent="0.25">
      <c r="A87" s="369"/>
      <c r="B87" s="452"/>
      <c r="C87" s="451" t="s">
        <v>1128</v>
      </c>
      <c r="D87" s="450"/>
      <c r="E87" s="366"/>
      <c r="F87" s="366"/>
      <c r="G87" s="446"/>
      <c r="H87" s="367">
        <v>20637</v>
      </c>
      <c r="I87" s="366">
        <v>20637</v>
      </c>
      <c r="J87" s="366">
        <v>0</v>
      </c>
      <c r="K87" s="365">
        <v>0</v>
      </c>
      <c r="L87" s="352"/>
    </row>
    <row r="88" spans="1:12" x14ac:dyDescent="0.25">
      <c r="A88" s="369"/>
      <c r="B88" s="452"/>
      <c r="C88" s="451" t="s">
        <v>1127</v>
      </c>
      <c r="D88" s="450"/>
      <c r="E88" s="366"/>
      <c r="F88" s="366"/>
      <c r="G88" s="446"/>
      <c r="H88" s="367">
        <v>1023</v>
      </c>
      <c r="I88" s="366">
        <v>1023</v>
      </c>
      <c r="J88" s="366">
        <v>0</v>
      </c>
      <c r="K88" s="365">
        <v>0</v>
      </c>
      <c r="L88" s="352"/>
    </row>
    <row r="89" spans="1:12" x14ac:dyDescent="0.25">
      <c r="A89" s="369"/>
      <c r="B89" s="452"/>
      <c r="C89" s="451" t="s">
        <v>1126</v>
      </c>
      <c r="D89" s="450"/>
      <c r="E89" s="366"/>
      <c r="F89" s="366"/>
      <c r="G89" s="446"/>
      <c r="H89" s="367">
        <v>539</v>
      </c>
      <c r="I89" s="366">
        <v>539</v>
      </c>
      <c r="J89" s="366">
        <v>0</v>
      </c>
      <c r="K89" s="365">
        <v>0</v>
      </c>
      <c r="L89" s="352"/>
    </row>
    <row r="90" spans="1:12" x14ac:dyDescent="0.25">
      <c r="A90" s="369"/>
      <c r="B90" s="371"/>
      <c r="C90" s="420" t="s">
        <v>26</v>
      </c>
      <c r="D90" s="367">
        <f>SUM(D86:D89)</f>
        <v>0</v>
      </c>
      <c r="E90" s="366">
        <f>SUM(E86:E89)</f>
        <v>0</v>
      </c>
      <c r="F90" s="366">
        <f>SUM(F86:F89)</f>
        <v>0</v>
      </c>
      <c r="G90" s="365">
        <f>SUM(G86:G89)</f>
        <v>0</v>
      </c>
      <c r="H90" s="367">
        <v>23060</v>
      </c>
      <c r="I90" s="366">
        <v>23060</v>
      </c>
      <c r="J90" s="366">
        <v>0</v>
      </c>
      <c r="K90" s="365">
        <v>0</v>
      </c>
      <c r="L90" s="352"/>
    </row>
    <row r="91" spans="1:12" x14ac:dyDescent="0.25">
      <c r="A91" s="369"/>
      <c r="B91" s="371"/>
      <c r="C91" s="420" t="s">
        <v>1125</v>
      </c>
      <c r="D91" s="372"/>
      <c r="E91" s="366"/>
      <c r="F91" s="366"/>
      <c r="G91" s="446"/>
      <c r="H91" s="367"/>
      <c r="I91" s="366"/>
      <c r="J91" s="366"/>
      <c r="K91" s="365"/>
      <c r="L91" s="352"/>
    </row>
    <row r="92" spans="1:12" x14ac:dyDescent="0.25">
      <c r="A92" s="369"/>
      <c r="B92" s="371"/>
      <c r="C92" s="411" t="s">
        <v>1124</v>
      </c>
      <c r="D92" s="372"/>
      <c r="E92" s="366"/>
      <c r="F92" s="366"/>
      <c r="G92" s="446"/>
      <c r="H92" s="367">
        <v>689</v>
      </c>
      <c r="I92" s="366">
        <v>689</v>
      </c>
      <c r="J92" s="366">
        <v>0</v>
      </c>
      <c r="K92" s="365">
        <v>0</v>
      </c>
      <c r="L92" s="352"/>
    </row>
    <row r="93" spans="1:12" x14ac:dyDescent="0.25">
      <c r="A93" s="369"/>
      <c r="B93" s="371"/>
      <c r="C93" s="420" t="s">
        <v>26</v>
      </c>
      <c r="D93" s="367">
        <f>SUM(D92)</f>
        <v>0</v>
      </c>
      <c r="E93" s="366">
        <f>SUM(E92)</f>
        <v>0</v>
      </c>
      <c r="F93" s="366">
        <f>SUM(F92)</f>
        <v>0</v>
      </c>
      <c r="G93" s="365">
        <f>SUM(G92)</f>
        <v>0</v>
      </c>
      <c r="H93" s="367">
        <v>689</v>
      </c>
      <c r="I93" s="366">
        <v>689</v>
      </c>
      <c r="J93" s="366">
        <v>0</v>
      </c>
      <c r="K93" s="365">
        <v>0</v>
      </c>
      <c r="L93" s="352"/>
    </row>
    <row r="94" spans="1:12" x14ac:dyDescent="0.25">
      <c r="A94" s="369"/>
      <c r="B94" s="371"/>
      <c r="C94" s="420"/>
      <c r="D94" s="372"/>
      <c r="E94" s="366"/>
      <c r="F94" s="366"/>
      <c r="G94" s="446"/>
      <c r="H94" s="367"/>
      <c r="I94" s="366"/>
      <c r="J94" s="366"/>
      <c r="K94" s="365"/>
      <c r="L94" s="352"/>
    </row>
    <row r="95" spans="1:12" x14ac:dyDescent="0.25">
      <c r="A95" s="369"/>
      <c r="B95" s="371"/>
      <c r="C95" s="411"/>
      <c r="D95" s="372"/>
      <c r="E95" s="366"/>
      <c r="F95" s="366"/>
      <c r="G95" s="446"/>
      <c r="H95" s="367"/>
      <c r="I95" s="366"/>
      <c r="J95" s="366"/>
      <c r="K95" s="365"/>
      <c r="L95" s="352"/>
    </row>
    <row r="96" spans="1:12" x14ac:dyDescent="0.25">
      <c r="A96" s="369"/>
      <c r="B96" s="371"/>
      <c r="C96" s="416" t="s">
        <v>36</v>
      </c>
      <c r="D96" s="414">
        <f>D84+D90+D93</f>
        <v>1116168</v>
      </c>
      <c r="E96" s="413">
        <f>E84+E90+E93</f>
        <v>1052170</v>
      </c>
      <c r="F96" s="413">
        <f>F84+F90+F93</f>
        <v>63998</v>
      </c>
      <c r="G96" s="412">
        <f>G84+G90+G93</f>
        <v>0</v>
      </c>
      <c r="H96" s="414">
        <v>1128396</v>
      </c>
      <c r="I96" s="413">
        <v>1064398</v>
      </c>
      <c r="J96" s="413">
        <v>63998</v>
      </c>
      <c r="K96" s="412">
        <v>0</v>
      </c>
      <c r="L96" s="352"/>
    </row>
    <row r="97" spans="1:12" x14ac:dyDescent="0.25">
      <c r="A97" s="369"/>
      <c r="B97" s="371"/>
      <c r="C97" s="411"/>
      <c r="D97" s="434"/>
      <c r="E97" s="433"/>
      <c r="F97" s="433"/>
      <c r="G97" s="432"/>
      <c r="H97" s="367"/>
      <c r="I97" s="366"/>
      <c r="J97" s="366"/>
      <c r="K97" s="365"/>
      <c r="L97" s="352"/>
    </row>
    <row r="98" spans="1:12" x14ac:dyDescent="0.25">
      <c r="A98" s="369"/>
      <c r="B98" s="371" t="s">
        <v>9</v>
      </c>
      <c r="C98" s="411" t="s">
        <v>69</v>
      </c>
      <c r="D98" s="434"/>
      <c r="E98" s="433"/>
      <c r="F98" s="433"/>
      <c r="G98" s="432"/>
      <c r="H98" s="367"/>
      <c r="I98" s="366"/>
      <c r="J98" s="366"/>
      <c r="K98" s="365"/>
      <c r="L98" s="352"/>
    </row>
    <row r="99" spans="1:12" x14ac:dyDescent="0.25">
      <c r="A99" s="369"/>
      <c r="B99" s="371"/>
      <c r="C99" s="411" t="s">
        <v>15</v>
      </c>
      <c r="D99" s="410"/>
      <c r="E99" s="409"/>
      <c r="F99" s="409"/>
      <c r="G99" s="408"/>
      <c r="H99" s="367"/>
      <c r="I99" s="366"/>
      <c r="J99" s="366"/>
      <c r="K99" s="365"/>
      <c r="L99" s="352"/>
    </row>
    <row r="100" spans="1:12" x14ac:dyDescent="0.25">
      <c r="A100" s="369"/>
      <c r="B100" s="371"/>
      <c r="C100" s="449" t="s">
        <v>158</v>
      </c>
      <c r="D100" s="410">
        <v>209240</v>
      </c>
      <c r="E100" s="409">
        <v>209240</v>
      </c>
      <c r="F100" s="409"/>
      <c r="G100" s="408"/>
      <c r="H100" s="367">
        <v>209240</v>
      </c>
      <c r="I100" s="366">
        <v>209240</v>
      </c>
      <c r="J100" s="366">
        <v>0</v>
      </c>
      <c r="K100" s="365">
        <v>0</v>
      </c>
      <c r="L100" s="352"/>
    </row>
    <row r="101" spans="1:12" x14ac:dyDescent="0.25">
      <c r="A101" s="369"/>
      <c r="B101" s="371"/>
      <c r="C101" s="449" t="s">
        <v>159</v>
      </c>
      <c r="D101" s="410">
        <v>29430</v>
      </c>
      <c r="E101" s="409">
        <v>29430</v>
      </c>
      <c r="F101" s="409"/>
      <c r="G101" s="408"/>
      <c r="H101" s="367">
        <v>29430</v>
      </c>
      <c r="I101" s="366">
        <v>29430</v>
      </c>
      <c r="J101" s="366">
        <v>0</v>
      </c>
      <c r="K101" s="365">
        <v>0</v>
      </c>
      <c r="L101" s="352"/>
    </row>
    <row r="102" spans="1:12" x14ac:dyDescent="0.25">
      <c r="A102" s="369"/>
      <c r="B102" s="371"/>
      <c r="C102" s="411" t="s">
        <v>112</v>
      </c>
      <c r="D102" s="410"/>
      <c r="E102" s="409"/>
      <c r="F102" s="409"/>
      <c r="G102" s="408"/>
      <c r="H102" s="367">
        <v>0</v>
      </c>
      <c r="I102" s="366">
        <v>0</v>
      </c>
      <c r="J102" s="366">
        <v>0</v>
      </c>
      <c r="K102" s="365">
        <v>0</v>
      </c>
      <c r="L102" s="352"/>
    </row>
    <row r="103" spans="1:12" x14ac:dyDescent="0.25">
      <c r="A103" s="369"/>
      <c r="B103" s="371"/>
      <c r="C103" s="411" t="s">
        <v>113</v>
      </c>
      <c r="D103" s="410"/>
      <c r="E103" s="409"/>
      <c r="F103" s="409"/>
      <c r="G103" s="408"/>
      <c r="H103" s="367">
        <v>0</v>
      </c>
      <c r="I103" s="366">
        <v>0</v>
      </c>
      <c r="J103" s="366">
        <v>0</v>
      </c>
      <c r="K103" s="365">
        <v>0</v>
      </c>
      <c r="L103" s="352"/>
    </row>
    <row r="104" spans="1:12" x14ac:dyDescent="0.25">
      <c r="A104" s="369"/>
      <c r="B104" s="371"/>
      <c r="C104" s="449" t="s">
        <v>114</v>
      </c>
      <c r="D104" s="410">
        <v>38000</v>
      </c>
      <c r="E104" s="409">
        <v>38000</v>
      </c>
      <c r="F104" s="409"/>
      <c r="G104" s="408"/>
      <c r="H104" s="367">
        <v>38000</v>
      </c>
      <c r="I104" s="366">
        <v>38000</v>
      </c>
      <c r="J104" s="366">
        <v>0</v>
      </c>
      <c r="K104" s="365">
        <v>0</v>
      </c>
      <c r="L104" s="352"/>
    </row>
    <row r="105" spans="1:12" x14ac:dyDescent="0.25">
      <c r="A105" s="369"/>
      <c r="B105" s="371"/>
      <c r="C105" s="449" t="s">
        <v>115</v>
      </c>
      <c r="D105" s="410">
        <v>54387</v>
      </c>
      <c r="E105" s="409">
        <v>54387</v>
      </c>
      <c r="F105" s="409"/>
      <c r="G105" s="408"/>
      <c r="H105" s="367">
        <v>54387</v>
      </c>
      <c r="I105" s="366">
        <v>54387</v>
      </c>
      <c r="J105" s="366">
        <v>0</v>
      </c>
      <c r="K105" s="365">
        <v>0</v>
      </c>
      <c r="L105" s="352"/>
    </row>
    <row r="106" spans="1:12" x14ac:dyDescent="0.25">
      <c r="A106" s="369"/>
      <c r="B106" s="371"/>
      <c r="C106" s="449"/>
      <c r="D106" s="410"/>
      <c r="E106" s="409"/>
      <c r="F106" s="409"/>
      <c r="G106" s="408"/>
      <c r="H106" s="367">
        <v>0</v>
      </c>
      <c r="I106" s="366">
        <v>0</v>
      </c>
      <c r="J106" s="366">
        <v>0</v>
      </c>
      <c r="K106" s="365">
        <v>0</v>
      </c>
      <c r="L106" s="352"/>
    </row>
    <row r="107" spans="1:12" x14ac:dyDescent="0.25">
      <c r="A107" s="369"/>
      <c r="B107" s="371"/>
      <c r="C107" s="416" t="s">
        <v>37</v>
      </c>
      <c r="D107" s="414">
        <f>SUM(D99:D105)</f>
        <v>331057</v>
      </c>
      <c r="E107" s="413">
        <f>SUM(E99:E105)</f>
        <v>331057</v>
      </c>
      <c r="F107" s="413">
        <f>SUM(F99:F105)</f>
        <v>0</v>
      </c>
      <c r="G107" s="412">
        <f>SUM(G99:G105)</f>
        <v>0</v>
      </c>
      <c r="H107" s="367">
        <v>331057</v>
      </c>
      <c r="I107" s="366">
        <v>331057</v>
      </c>
      <c r="J107" s="366">
        <v>0</v>
      </c>
      <c r="K107" s="365">
        <v>0</v>
      </c>
      <c r="L107" s="352"/>
    </row>
    <row r="108" spans="1:12" x14ac:dyDescent="0.25">
      <c r="A108" s="369"/>
      <c r="B108" s="371"/>
      <c r="C108" s="411"/>
      <c r="D108" s="434"/>
      <c r="E108" s="433"/>
      <c r="F108" s="433"/>
      <c r="G108" s="432"/>
      <c r="H108" s="367"/>
      <c r="I108" s="366"/>
      <c r="J108" s="366"/>
      <c r="K108" s="365"/>
      <c r="L108" s="352"/>
    </row>
    <row r="109" spans="1:12" x14ac:dyDescent="0.25">
      <c r="A109" s="369"/>
      <c r="B109" s="371" t="s">
        <v>16</v>
      </c>
      <c r="C109" s="411" t="s">
        <v>712</v>
      </c>
      <c r="D109" s="410"/>
      <c r="E109" s="409"/>
      <c r="F109" s="409"/>
      <c r="G109" s="408"/>
      <c r="H109" s="367"/>
      <c r="I109" s="366"/>
      <c r="J109" s="366"/>
      <c r="K109" s="365"/>
      <c r="L109" s="352"/>
    </row>
    <row r="110" spans="1:12" x14ac:dyDescent="0.25">
      <c r="A110" s="369"/>
      <c r="B110" s="371"/>
      <c r="C110" s="411" t="s">
        <v>713</v>
      </c>
      <c r="D110" s="410"/>
      <c r="E110" s="409"/>
      <c r="F110" s="409"/>
      <c r="G110" s="408"/>
      <c r="H110" s="367"/>
      <c r="I110" s="366"/>
      <c r="J110" s="366"/>
      <c r="K110" s="365"/>
      <c r="L110" s="352"/>
    </row>
    <row r="111" spans="1:12" ht="30" x14ac:dyDescent="0.25">
      <c r="A111" s="369"/>
      <c r="B111" s="371"/>
      <c r="C111" s="411" t="s">
        <v>167</v>
      </c>
      <c r="D111" s="410">
        <v>61600</v>
      </c>
      <c r="E111" s="409">
        <v>61600</v>
      </c>
      <c r="F111" s="409"/>
      <c r="G111" s="408"/>
      <c r="H111" s="367">
        <v>61600</v>
      </c>
      <c r="I111" s="366">
        <v>61600</v>
      </c>
      <c r="J111" s="366">
        <v>0</v>
      </c>
      <c r="K111" s="365">
        <v>0</v>
      </c>
      <c r="L111" s="352"/>
    </row>
    <row r="112" spans="1:12" s="374" customFormat="1" x14ac:dyDescent="0.25">
      <c r="A112" s="437"/>
      <c r="B112" s="371"/>
      <c r="C112" s="411" t="s">
        <v>160</v>
      </c>
      <c r="D112" s="410">
        <v>7411</v>
      </c>
      <c r="E112" s="409"/>
      <c r="F112" s="409">
        <v>7411</v>
      </c>
      <c r="G112" s="408"/>
      <c r="H112" s="378">
        <v>7411</v>
      </c>
      <c r="I112" s="377">
        <v>0</v>
      </c>
      <c r="J112" s="377">
        <v>7411</v>
      </c>
      <c r="K112" s="376">
        <v>0</v>
      </c>
      <c r="L112" s="375"/>
    </row>
    <row r="113" spans="1:12" s="374" customFormat="1" x14ac:dyDescent="0.25">
      <c r="A113" s="437"/>
      <c r="B113" s="371"/>
      <c r="C113" s="411" t="s">
        <v>161</v>
      </c>
      <c r="D113" s="422">
        <v>405</v>
      </c>
      <c r="E113" s="409">
        <v>405</v>
      </c>
      <c r="F113" s="409"/>
      <c r="G113" s="408"/>
      <c r="H113" s="378">
        <v>405</v>
      </c>
      <c r="I113" s="377">
        <v>405</v>
      </c>
      <c r="J113" s="377">
        <v>0</v>
      </c>
      <c r="K113" s="376">
        <v>0</v>
      </c>
      <c r="L113" s="375"/>
    </row>
    <row r="114" spans="1:12" s="374" customFormat="1" x14ac:dyDescent="0.25">
      <c r="A114" s="437"/>
      <c r="B114" s="371"/>
      <c r="C114" s="411" t="s">
        <v>116</v>
      </c>
      <c r="D114" s="410"/>
      <c r="E114" s="409"/>
      <c r="F114" s="409"/>
      <c r="G114" s="408"/>
      <c r="H114" s="378">
        <v>0</v>
      </c>
      <c r="I114" s="377">
        <v>0</v>
      </c>
      <c r="J114" s="377">
        <v>0</v>
      </c>
      <c r="K114" s="376">
        <v>0</v>
      </c>
      <c r="L114" s="375"/>
    </row>
    <row r="115" spans="1:12" s="374" customFormat="1" ht="15" customHeight="1" x14ac:dyDescent="0.25">
      <c r="A115" s="437"/>
      <c r="B115" s="371"/>
      <c r="C115" s="411" t="s">
        <v>117</v>
      </c>
      <c r="D115" s="410">
        <v>7507</v>
      </c>
      <c r="E115" s="409">
        <v>7507</v>
      </c>
      <c r="F115" s="409"/>
      <c r="G115" s="408"/>
      <c r="H115" s="378">
        <v>7507</v>
      </c>
      <c r="I115" s="377">
        <v>7507</v>
      </c>
      <c r="J115" s="377">
        <v>0</v>
      </c>
      <c r="K115" s="376">
        <v>0</v>
      </c>
      <c r="L115" s="375"/>
    </row>
    <row r="116" spans="1:12" s="374" customFormat="1" x14ac:dyDescent="0.25">
      <c r="A116" s="437"/>
      <c r="B116" s="371"/>
      <c r="C116" s="370" t="s">
        <v>118</v>
      </c>
      <c r="D116" s="410">
        <v>1415</v>
      </c>
      <c r="E116" s="409">
        <v>1415</v>
      </c>
      <c r="F116" s="409"/>
      <c r="G116" s="408"/>
      <c r="H116" s="378">
        <v>1415</v>
      </c>
      <c r="I116" s="377">
        <v>1415</v>
      </c>
      <c r="J116" s="377">
        <v>0</v>
      </c>
      <c r="K116" s="376">
        <v>0</v>
      </c>
      <c r="L116" s="375"/>
    </row>
    <row r="117" spans="1:12" s="374" customFormat="1" ht="16.5" customHeight="1" x14ac:dyDescent="0.25">
      <c r="A117" s="437"/>
      <c r="B117" s="371"/>
      <c r="C117" s="411" t="s">
        <v>119</v>
      </c>
      <c r="D117" s="410">
        <v>1425</v>
      </c>
      <c r="E117" s="409">
        <v>1425</v>
      </c>
      <c r="F117" s="409"/>
      <c r="G117" s="408"/>
      <c r="H117" s="378">
        <v>1425</v>
      </c>
      <c r="I117" s="377">
        <v>1425</v>
      </c>
      <c r="J117" s="377">
        <v>0</v>
      </c>
      <c r="K117" s="376">
        <v>0</v>
      </c>
      <c r="L117" s="375"/>
    </row>
    <row r="118" spans="1:12" s="374" customFormat="1" ht="30" x14ac:dyDescent="0.25">
      <c r="A118" s="437"/>
      <c r="B118" s="371"/>
      <c r="C118" s="411" t="s">
        <v>715</v>
      </c>
      <c r="D118" s="410">
        <v>2372</v>
      </c>
      <c r="E118" s="409">
        <v>2372</v>
      </c>
      <c r="F118" s="409"/>
      <c r="G118" s="408"/>
      <c r="H118" s="378">
        <v>2372</v>
      </c>
      <c r="I118" s="377">
        <v>2372</v>
      </c>
      <c r="J118" s="377">
        <v>0</v>
      </c>
      <c r="K118" s="376">
        <v>0</v>
      </c>
      <c r="L118" s="375"/>
    </row>
    <row r="119" spans="1:12" s="374" customFormat="1" ht="16.5" customHeight="1" x14ac:dyDescent="0.25">
      <c r="A119" s="437"/>
      <c r="B119" s="371"/>
      <c r="C119" s="411" t="s">
        <v>716</v>
      </c>
      <c r="D119" s="410">
        <v>1250</v>
      </c>
      <c r="E119" s="409">
        <v>1250</v>
      </c>
      <c r="F119" s="409"/>
      <c r="G119" s="408"/>
      <c r="H119" s="378">
        <v>1250</v>
      </c>
      <c r="I119" s="377">
        <v>1250</v>
      </c>
      <c r="J119" s="377">
        <v>0</v>
      </c>
      <c r="K119" s="376">
        <v>0</v>
      </c>
      <c r="L119" s="375"/>
    </row>
    <row r="120" spans="1:12" s="374" customFormat="1" x14ac:dyDescent="0.25">
      <c r="A120" s="437"/>
      <c r="B120" s="371"/>
      <c r="C120" s="448" t="s">
        <v>120</v>
      </c>
      <c r="D120" s="410">
        <v>713</v>
      </c>
      <c r="E120" s="409"/>
      <c r="F120" s="409">
        <v>713</v>
      </c>
      <c r="G120" s="408"/>
      <c r="H120" s="378">
        <v>713</v>
      </c>
      <c r="I120" s="377">
        <v>0</v>
      </c>
      <c r="J120" s="377">
        <v>713</v>
      </c>
      <c r="K120" s="376">
        <v>0</v>
      </c>
      <c r="L120" s="375"/>
    </row>
    <row r="121" spans="1:12" s="374" customFormat="1" x14ac:dyDescent="0.25">
      <c r="A121" s="437"/>
      <c r="B121" s="371"/>
      <c r="C121" s="411" t="s">
        <v>911</v>
      </c>
      <c r="D121" s="422">
        <v>1135</v>
      </c>
      <c r="E121" s="409">
        <v>1135</v>
      </c>
      <c r="F121" s="409"/>
      <c r="G121" s="408"/>
      <c r="H121" s="378">
        <v>1135</v>
      </c>
      <c r="I121" s="377">
        <v>1135</v>
      </c>
      <c r="J121" s="377">
        <v>0</v>
      </c>
      <c r="K121" s="376">
        <v>0</v>
      </c>
      <c r="L121" s="375"/>
    </row>
    <row r="122" spans="1:12" s="374" customFormat="1" x14ac:dyDescent="0.25">
      <c r="A122" s="437"/>
      <c r="B122" s="371"/>
      <c r="C122" s="411" t="s">
        <v>162</v>
      </c>
      <c r="D122" s="422">
        <v>2844</v>
      </c>
      <c r="E122" s="409"/>
      <c r="F122" s="409">
        <v>2844</v>
      </c>
      <c r="G122" s="408"/>
      <c r="H122" s="378">
        <v>2844</v>
      </c>
      <c r="I122" s="377">
        <v>0</v>
      </c>
      <c r="J122" s="377">
        <v>2844</v>
      </c>
      <c r="K122" s="376">
        <v>0</v>
      </c>
      <c r="L122" s="375"/>
    </row>
    <row r="123" spans="1:12" s="374" customFormat="1" x14ac:dyDescent="0.25">
      <c r="A123" s="437"/>
      <c r="B123" s="371"/>
      <c r="C123" s="411" t="s">
        <v>912</v>
      </c>
      <c r="D123" s="410">
        <v>232</v>
      </c>
      <c r="E123" s="409"/>
      <c r="F123" s="409"/>
      <c r="G123" s="408">
        <v>232</v>
      </c>
      <c r="H123" s="378">
        <v>232</v>
      </c>
      <c r="I123" s="377">
        <v>0</v>
      </c>
      <c r="J123" s="377">
        <v>0</v>
      </c>
      <c r="K123" s="376">
        <v>232</v>
      </c>
      <c r="L123" s="375"/>
    </row>
    <row r="124" spans="1:12" s="374" customFormat="1" ht="30" x14ac:dyDescent="0.25">
      <c r="A124" s="437"/>
      <c r="B124" s="371"/>
      <c r="C124" s="411" t="s">
        <v>913</v>
      </c>
      <c r="D124" s="422">
        <v>3845</v>
      </c>
      <c r="E124" s="409">
        <v>3845</v>
      </c>
      <c r="F124" s="409"/>
      <c r="G124" s="408"/>
      <c r="H124" s="378">
        <v>3845</v>
      </c>
      <c r="I124" s="377">
        <v>3845</v>
      </c>
      <c r="J124" s="377">
        <v>0</v>
      </c>
      <c r="K124" s="376">
        <v>0</v>
      </c>
      <c r="L124" s="375"/>
    </row>
    <row r="125" spans="1:12" s="374" customFormat="1" ht="30" x14ac:dyDescent="0.25">
      <c r="A125" s="437"/>
      <c r="B125" s="371"/>
      <c r="C125" s="411" t="s">
        <v>914</v>
      </c>
      <c r="D125" s="422">
        <v>2276</v>
      </c>
      <c r="E125" s="409">
        <v>2276</v>
      </c>
      <c r="F125" s="409"/>
      <c r="G125" s="408"/>
      <c r="H125" s="378">
        <v>2276</v>
      </c>
      <c r="I125" s="377">
        <v>2276</v>
      </c>
      <c r="J125" s="377">
        <v>0</v>
      </c>
      <c r="K125" s="376">
        <v>0</v>
      </c>
      <c r="L125" s="375"/>
    </row>
    <row r="126" spans="1:12" s="374" customFormat="1" x14ac:dyDescent="0.25">
      <c r="A126" s="437"/>
      <c r="B126" s="371"/>
      <c r="C126" s="411" t="s">
        <v>915</v>
      </c>
      <c r="D126" s="422">
        <v>14600</v>
      </c>
      <c r="E126" s="409">
        <v>14600</v>
      </c>
      <c r="F126" s="409"/>
      <c r="G126" s="408"/>
      <c r="H126" s="378">
        <v>14600</v>
      </c>
      <c r="I126" s="377">
        <v>14600</v>
      </c>
      <c r="J126" s="377">
        <v>0</v>
      </c>
      <c r="K126" s="376">
        <v>0</v>
      </c>
      <c r="L126" s="375"/>
    </row>
    <row r="127" spans="1:12" s="374" customFormat="1" ht="30" x14ac:dyDescent="0.25">
      <c r="A127" s="437"/>
      <c r="B127" s="371"/>
      <c r="C127" s="448" t="s">
        <v>916</v>
      </c>
      <c r="D127" s="422">
        <v>1125</v>
      </c>
      <c r="E127" s="409">
        <v>1125</v>
      </c>
      <c r="F127" s="409"/>
      <c r="G127" s="408"/>
      <c r="H127" s="378">
        <v>1125</v>
      </c>
      <c r="I127" s="377">
        <v>1125</v>
      </c>
      <c r="J127" s="377">
        <v>0</v>
      </c>
      <c r="K127" s="376">
        <v>0</v>
      </c>
      <c r="L127" s="375"/>
    </row>
    <row r="128" spans="1:12" s="374" customFormat="1" x14ac:dyDescent="0.25">
      <c r="A128" s="437"/>
      <c r="B128" s="371"/>
      <c r="C128" s="448" t="s">
        <v>917</v>
      </c>
      <c r="D128" s="422">
        <v>4849</v>
      </c>
      <c r="E128" s="409">
        <v>4849</v>
      </c>
      <c r="F128" s="409"/>
      <c r="G128" s="408"/>
      <c r="H128" s="378">
        <v>4849</v>
      </c>
      <c r="I128" s="377">
        <v>4849</v>
      </c>
      <c r="J128" s="377">
        <v>0</v>
      </c>
      <c r="K128" s="376">
        <v>0</v>
      </c>
      <c r="L128" s="375"/>
    </row>
    <row r="129" spans="1:12" s="374" customFormat="1" x14ac:dyDescent="0.25">
      <c r="A129" s="437"/>
      <c r="B129" s="371"/>
      <c r="C129" s="411" t="s">
        <v>918</v>
      </c>
      <c r="D129" s="422">
        <v>3455</v>
      </c>
      <c r="E129" s="409">
        <v>3455</v>
      </c>
      <c r="F129" s="409"/>
      <c r="G129" s="408"/>
      <c r="H129" s="378">
        <v>3455</v>
      </c>
      <c r="I129" s="377">
        <v>3455</v>
      </c>
      <c r="J129" s="377">
        <v>0</v>
      </c>
      <c r="K129" s="376">
        <v>0</v>
      </c>
      <c r="L129" s="375"/>
    </row>
    <row r="130" spans="1:12" s="374" customFormat="1" x14ac:dyDescent="0.25">
      <c r="A130" s="437"/>
      <c r="B130" s="371"/>
      <c r="C130" s="411" t="s">
        <v>919</v>
      </c>
      <c r="D130" s="422">
        <v>5012</v>
      </c>
      <c r="E130" s="409">
        <v>5012</v>
      </c>
      <c r="F130" s="409"/>
      <c r="G130" s="408"/>
      <c r="H130" s="378">
        <v>5012</v>
      </c>
      <c r="I130" s="377">
        <v>5012</v>
      </c>
      <c r="J130" s="377">
        <v>0</v>
      </c>
      <c r="K130" s="376">
        <v>0</v>
      </c>
      <c r="L130" s="375"/>
    </row>
    <row r="131" spans="1:12" s="374" customFormat="1" x14ac:dyDescent="0.25">
      <c r="A131" s="437"/>
      <c r="B131" s="371"/>
      <c r="C131" s="411" t="s">
        <v>920</v>
      </c>
      <c r="D131" s="422">
        <v>10089</v>
      </c>
      <c r="E131" s="409">
        <v>10089</v>
      </c>
      <c r="F131" s="409"/>
      <c r="G131" s="408"/>
      <c r="H131" s="378">
        <v>10089</v>
      </c>
      <c r="I131" s="377">
        <v>10089</v>
      </c>
      <c r="J131" s="377">
        <v>0</v>
      </c>
      <c r="K131" s="376">
        <v>0</v>
      </c>
      <c r="L131" s="375"/>
    </row>
    <row r="132" spans="1:12" s="374" customFormat="1" x14ac:dyDescent="0.25">
      <c r="A132" s="437"/>
      <c r="B132" s="371"/>
      <c r="C132" s="448" t="s">
        <v>1123</v>
      </c>
      <c r="D132" s="422"/>
      <c r="E132" s="409"/>
      <c r="F132" s="409"/>
      <c r="G132" s="408"/>
      <c r="H132" s="378">
        <v>2556</v>
      </c>
      <c r="I132" s="377">
        <v>2556</v>
      </c>
      <c r="J132" s="377">
        <v>0</v>
      </c>
      <c r="K132" s="376">
        <v>0</v>
      </c>
      <c r="L132" s="375"/>
    </row>
    <row r="133" spans="1:12" s="374" customFormat="1" x14ac:dyDescent="0.25">
      <c r="A133" s="437"/>
      <c r="B133" s="371"/>
      <c r="C133" s="411"/>
      <c r="D133" s="422"/>
      <c r="E133" s="409"/>
      <c r="F133" s="409"/>
      <c r="G133" s="408"/>
      <c r="H133" s="378"/>
      <c r="I133" s="377"/>
      <c r="J133" s="377"/>
      <c r="K133" s="376"/>
      <c r="L133" s="375"/>
    </row>
    <row r="134" spans="1:12" s="374" customFormat="1" x14ac:dyDescent="0.25">
      <c r="A134" s="437"/>
      <c r="B134" s="371"/>
      <c r="C134" s="420" t="s">
        <v>26</v>
      </c>
      <c r="D134" s="382">
        <f>SUM(D111:D133)</f>
        <v>133560</v>
      </c>
      <c r="E134" s="377">
        <f>SUM(E111:E133)</f>
        <v>122360</v>
      </c>
      <c r="F134" s="377">
        <f>SUM(F111:F133)</f>
        <v>10968</v>
      </c>
      <c r="G134" s="447">
        <f>SUM(G111:G133)</f>
        <v>232</v>
      </c>
      <c r="H134" s="378">
        <v>136116</v>
      </c>
      <c r="I134" s="377">
        <v>124916</v>
      </c>
      <c r="J134" s="377">
        <v>10968</v>
      </c>
      <c r="K134" s="376">
        <v>232</v>
      </c>
      <c r="L134" s="375"/>
    </row>
    <row r="135" spans="1:12" s="374" customFormat="1" x14ac:dyDescent="0.25">
      <c r="A135" s="437"/>
      <c r="B135" s="380"/>
      <c r="C135" s="420"/>
      <c r="D135" s="430"/>
      <c r="E135" s="429"/>
      <c r="F135" s="429"/>
      <c r="G135" s="428"/>
      <c r="H135" s="378"/>
      <c r="I135" s="377"/>
      <c r="J135" s="377"/>
      <c r="K135" s="376"/>
      <c r="L135" s="375"/>
    </row>
    <row r="136" spans="1:12" s="374" customFormat="1" x14ac:dyDescent="0.25">
      <c r="A136" s="437"/>
      <c r="C136" s="411" t="s">
        <v>714</v>
      </c>
      <c r="D136" s="410"/>
      <c r="E136" s="409"/>
      <c r="F136" s="409"/>
      <c r="G136" s="408"/>
      <c r="H136" s="378"/>
      <c r="I136" s="377"/>
      <c r="J136" s="377"/>
      <c r="K136" s="376"/>
      <c r="L136" s="375"/>
    </row>
    <row r="137" spans="1:12" s="394" customFormat="1" ht="30.75" x14ac:dyDescent="0.3">
      <c r="A137" s="369"/>
      <c r="B137" s="380"/>
      <c r="C137" s="411" t="s">
        <v>758</v>
      </c>
      <c r="D137" s="372">
        <v>1600</v>
      </c>
      <c r="E137" s="366">
        <v>1600</v>
      </c>
      <c r="F137" s="366"/>
      <c r="G137" s="365"/>
      <c r="H137" s="445">
        <v>1600</v>
      </c>
      <c r="I137" s="444">
        <v>1600</v>
      </c>
      <c r="J137" s="444">
        <v>0</v>
      </c>
      <c r="K137" s="443">
        <v>0</v>
      </c>
      <c r="L137" s="395"/>
    </row>
    <row r="138" spans="1:12" s="394" customFormat="1" ht="17.25" x14ac:dyDescent="0.3">
      <c r="A138" s="369"/>
      <c r="B138" s="380"/>
      <c r="C138" s="411" t="s">
        <v>921</v>
      </c>
      <c r="D138" s="372">
        <v>5000</v>
      </c>
      <c r="E138" s="366">
        <v>5000</v>
      </c>
      <c r="F138" s="366"/>
      <c r="G138" s="365"/>
      <c r="H138" s="445">
        <v>5000</v>
      </c>
      <c r="I138" s="444">
        <v>5000</v>
      </c>
      <c r="J138" s="444">
        <v>0</v>
      </c>
      <c r="K138" s="443">
        <v>0</v>
      </c>
      <c r="L138" s="395"/>
    </row>
    <row r="139" spans="1:12" s="394" customFormat="1" ht="17.25" x14ac:dyDescent="0.3">
      <c r="A139" s="369"/>
      <c r="B139" s="380"/>
      <c r="C139" s="411" t="s">
        <v>922</v>
      </c>
      <c r="D139" s="372">
        <v>11000</v>
      </c>
      <c r="E139" s="366">
        <v>11000</v>
      </c>
      <c r="F139" s="366"/>
      <c r="G139" s="446"/>
      <c r="H139" s="445">
        <v>11000</v>
      </c>
      <c r="I139" s="444">
        <v>11000</v>
      </c>
      <c r="J139" s="444">
        <v>0</v>
      </c>
      <c r="K139" s="443">
        <v>0</v>
      </c>
      <c r="L139" s="395"/>
    </row>
    <row r="140" spans="1:12" s="394" customFormat="1" ht="30.75" x14ac:dyDescent="0.3">
      <c r="A140" s="369"/>
      <c r="B140" s="380"/>
      <c r="C140" s="411" t="s">
        <v>923</v>
      </c>
      <c r="D140" s="372">
        <v>94527</v>
      </c>
      <c r="E140" s="366">
        <v>94527</v>
      </c>
      <c r="F140" s="366"/>
      <c r="G140" s="446"/>
      <c r="H140" s="445">
        <v>94527</v>
      </c>
      <c r="I140" s="444">
        <v>94527</v>
      </c>
      <c r="J140" s="444">
        <v>0</v>
      </c>
      <c r="K140" s="443">
        <v>0</v>
      </c>
      <c r="L140" s="395"/>
    </row>
    <row r="141" spans="1:12" s="394" customFormat="1" ht="17.25" x14ac:dyDescent="0.3">
      <c r="A141" s="369"/>
      <c r="B141" s="380"/>
      <c r="C141" s="411" t="s">
        <v>924</v>
      </c>
      <c r="D141" s="372">
        <v>1659</v>
      </c>
      <c r="E141" s="366"/>
      <c r="F141" s="366">
        <v>1659</v>
      </c>
      <c r="G141" s="446"/>
      <c r="H141" s="445">
        <v>1659</v>
      </c>
      <c r="I141" s="444">
        <v>0</v>
      </c>
      <c r="J141" s="444">
        <v>1659</v>
      </c>
      <c r="K141" s="443">
        <v>0</v>
      </c>
      <c r="L141" s="395"/>
    </row>
    <row r="142" spans="1:12" s="394" customFormat="1" ht="30.75" x14ac:dyDescent="0.3">
      <c r="A142" s="369"/>
      <c r="B142" s="380"/>
      <c r="C142" s="411" t="s">
        <v>925</v>
      </c>
      <c r="D142" s="372">
        <v>136000</v>
      </c>
      <c r="E142" s="366">
        <v>136000</v>
      </c>
      <c r="F142" s="366"/>
      <c r="G142" s="446"/>
      <c r="H142" s="445">
        <v>136000</v>
      </c>
      <c r="I142" s="444">
        <v>136000</v>
      </c>
      <c r="J142" s="444">
        <v>0</v>
      </c>
      <c r="K142" s="443">
        <v>0</v>
      </c>
      <c r="L142" s="395"/>
    </row>
    <row r="143" spans="1:12" s="394" customFormat="1" ht="17.25" x14ac:dyDescent="0.3">
      <c r="A143" s="369"/>
      <c r="B143" s="380"/>
      <c r="C143" s="411"/>
      <c r="D143" s="372"/>
      <c r="E143" s="366"/>
      <c r="F143" s="366"/>
      <c r="G143" s="446"/>
      <c r="H143" s="445">
        <v>0</v>
      </c>
      <c r="I143" s="444">
        <v>0</v>
      </c>
      <c r="J143" s="444">
        <v>0</v>
      </c>
      <c r="K143" s="443">
        <v>0</v>
      </c>
      <c r="L143" s="395"/>
    </row>
    <row r="144" spans="1:12" s="374" customFormat="1" x14ac:dyDescent="0.25">
      <c r="A144" s="369"/>
      <c r="B144" s="380"/>
      <c r="C144" s="420" t="s">
        <v>26</v>
      </c>
      <c r="D144" s="421">
        <f>SUM(D136:D143)</f>
        <v>249786</v>
      </c>
      <c r="E144" s="418">
        <f>SUM(E136:E143)</f>
        <v>248127</v>
      </c>
      <c r="F144" s="418">
        <f>SUM(F136:F143)</f>
        <v>1659</v>
      </c>
      <c r="G144" s="431">
        <f>SUM(G136:G143)</f>
        <v>0</v>
      </c>
      <c r="H144" s="419">
        <v>249786</v>
      </c>
      <c r="I144" s="418">
        <v>248127</v>
      </c>
      <c r="J144" s="418">
        <v>1659</v>
      </c>
      <c r="K144" s="417">
        <v>0</v>
      </c>
      <c r="L144" s="375"/>
    </row>
    <row r="145" spans="1:12" s="374" customFormat="1" x14ac:dyDescent="0.25">
      <c r="A145" s="369"/>
      <c r="B145" s="380"/>
      <c r="C145" s="420"/>
      <c r="D145" s="421"/>
      <c r="E145" s="418"/>
      <c r="F145" s="418"/>
      <c r="G145" s="431"/>
      <c r="H145" s="378"/>
      <c r="I145" s="377"/>
      <c r="J145" s="377"/>
      <c r="K145" s="376"/>
      <c r="L145" s="375"/>
    </row>
    <row r="146" spans="1:12" s="374" customFormat="1" ht="30" x14ac:dyDescent="0.25">
      <c r="A146" s="369"/>
      <c r="B146" s="380"/>
      <c r="C146" s="411" t="s">
        <v>710</v>
      </c>
      <c r="D146" s="421"/>
      <c r="E146" s="418"/>
      <c r="F146" s="418"/>
      <c r="G146" s="431"/>
      <c r="H146" s="378"/>
      <c r="I146" s="377"/>
      <c r="J146" s="377"/>
      <c r="K146" s="376"/>
      <c r="L146" s="375"/>
    </row>
    <row r="147" spans="1:12" s="374" customFormat="1" x14ac:dyDescent="0.25">
      <c r="A147" s="369"/>
      <c r="B147" s="380"/>
      <c r="C147" s="411" t="s">
        <v>711</v>
      </c>
      <c r="D147" s="422">
        <v>1056</v>
      </c>
      <c r="E147" s="409">
        <v>1056</v>
      </c>
      <c r="F147" s="409"/>
      <c r="G147" s="442"/>
      <c r="H147" s="378">
        <v>1056</v>
      </c>
      <c r="I147" s="377">
        <v>1056</v>
      </c>
      <c r="J147" s="377">
        <v>0</v>
      </c>
      <c r="K147" s="376">
        <v>0</v>
      </c>
      <c r="L147" s="375"/>
    </row>
    <row r="148" spans="1:12" s="374" customFormat="1" x14ac:dyDescent="0.25">
      <c r="A148" s="369"/>
      <c r="B148" s="380"/>
      <c r="C148" s="420"/>
      <c r="D148" s="421"/>
      <c r="E148" s="418"/>
      <c r="F148" s="418"/>
      <c r="G148" s="431"/>
      <c r="H148" s="378"/>
      <c r="I148" s="377"/>
      <c r="J148" s="377"/>
      <c r="K148" s="376"/>
      <c r="L148" s="375"/>
    </row>
    <row r="149" spans="1:12" s="374" customFormat="1" x14ac:dyDescent="0.25">
      <c r="A149" s="369"/>
      <c r="B149" s="380"/>
      <c r="C149" s="420" t="s">
        <v>26</v>
      </c>
      <c r="D149" s="421">
        <f>SUM(D147:D148)</f>
        <v>1056</v>
      </c>
      <c r="E149" s="418">
        <f>SUM(E147:E148)</f>
        <v>1056</v>
      </c>
      <c r="F149" s="418">
        <f>SUM(F147:F148)</f>
        <v>0</v>
      </c>
      <c r="G149" s="431">
        <f>SUM(G147:G148)</f>
        <v>0</v>
      </c>
      <c r="H149" s="419">
        <v>1056</v>
      </c>
      <c r="I149" s="418">
        <v>1056</v>
      </c>
      <c r="J149" s="418">
        <v>0</v>
      </c>
      <c r="K149" s="417">
        <v>0</v>
      </c>
      <c r="L149" s="375"/>
    </row>
    <row r="150" spans="1:12" x14ac:dyDescent="0.25">
      <c r="A150" s="437"/>
      <c r="B150" s="380"/>
      <c r="C150" s="420"/>
      <c r="D150" s="419"/>
      <c r="E150" s="418"/>
      <c r="F150" s="418"/>
      <c r="G150" s="417"/>
      <c r="H150" s="367"/>
      <c r="I150" s="366"/>
      <c r="J150" s="366"/>
      <c r="K150" s="365"/>
      <c r="L150" s="352"/>
    </row>
    <row r="151" spans="1:12" x14ac:dyDescent="0.25">
      <c r="A151" s="437"/>
      <c r="B151" s="380"/>
      <c r="C151" s="416" t="s">
        <v>57</v>
      </c>
      <c r="D151" s="415">
        <f>D134+D144+D149</f>
        <v>384402</v>
      </c>
      <c r="E151" s="413">
        <f>E134+E144+E149</f>
        <v>371543</v>
      </c>
      <c r="F151" s="413">
        <f>F134+F144+F149</f>
        <v>12627</v>
      </c>
      <c r="G151" s="441">
        <f>G134+G144+G149</f>
        <v>232</v>
      </c>
      <c r="H151" s="414">
        <v>386958</v>
      </c>
      <c r="I151" s="413">
        <v>374099</v>
      </c>
      <c r="J151" s="413">
        <v>12627</v>
      </c>
      <c r="K151" s="412">
        <v>232</v>
      </c>
      <c r="L151" s="352"/>
    </row>
    <row r="152" spans="1:12" x14ac:dyDescent="0.25">
      <c r="A152" s="437"/>
      <c r="B152" s="380"/>
      <c r="C152" s="416"/>
      <c r="D152" s="440"/>
      <c r="E152" s="439"/>
      <c r="F152" s="439"/>
      <c r="G152" s="438"/>
      <c r="H152" s="367"/>
      <c r="I152" s="366"/>
      <c r="J152" s="366"/>
      <c r="K152" s="365"/>
      <c r="L152" s="352"/>
    </row>
    <row r="153" spans="1:12" x14ac:dyDescent="0.25">
      <c r="A153" s="437"/>
      <c r="B153" s="371" t="s">
        <v>19</v>
      </c>
      <c r="C153" s="411" t="s">
        <v>59</v>
      </c>
      <c r="D153" s="434"/>
      <c r="E153" s="433"/>
      <c r="F153" s="433"/>
      <c r="G153" s="432"/>
      <c r="H153" s="367"/>
      <c r="I153" s="366"/>
      <c r="J153" s="366"/>
      <c r="K153" s="365"/>
      <c r="L153" s="352"/>
    </row>
    <row r="154" spans="1:12" x14ac:dyDescent="0.25">
      <c r="A154" s="437"/>
      <c r="B154" s="373"/>
      <c r="C154" s="411" t="s">
        <v>76</v>
      </c>
      <c r="D154" s="434"/>
      <c r="E154" s="433"/>
      <c r="F154" s="433"/>
      <c r="G154" s="432"/>
      <c r="H154" s="367"/>
      <c r="I154" s="366"/>
      <c r="J154" s="366"/>
      <c r="K154" s="365"/>
      <c r="L154" s="352"/>
    </row>
    <row r="155" spans="1:12" x14ac:dyDescent="0.25">
      <c r="A155" s="437"/>
      <c r="B155" s="373"/>
      <c r="C155" s="411" t="s">
        <v>926</v>
      </c>
      <c r="D155" s="372">
        <v>1500</v>
      </c>
      <c r="E155" s="366">
        <v>1500</v>
      </c>
      <c r="F155" s="433"/>
      <c r="G155" s="432"/>
      <c r="H155" s="367">
        <v>3000</v>
      </c>
      <c r="I155" s="366">
        <v>3000</v>
      </c>
      <c r="J155" s="366">
        <v>0</v>
      </c>
      <c r="K155" s="365">
        <v>0</v>
      </c>
      <c r="L155" s="352"/>
    </row>
    <row r="156" spans="1:12" x14ac:dyDescent="0.25">
      <c r="A156" s="437"/>
      <c r="B156" s="373"/>
      <c r="C156" s="411"/>
      <c r="D156" s="436"/>
      <c r="E156" s="433"/>
      <c r="F156" s="433"/>
      <c r="G156" s="432"/>
      <c r="H156" s="367"/>
      <c r="I156" s="366"/>
      <c r="J156" s="366"/>
      <c r="K156" s="365"/>
      <c r="L156" s="352"/>
    </row>
    <row r="157" spans="1:12" s="394" customFormat="1" ht="17.25" x14ac:dyDescent="0.3">
      <c r="A157" s="435"/>
      <c r="B157" s="380"/>
      <c r="C157" s="420" t="s">
        <v>26</v>
      </c>
      <c r="D157" s="421">
        <f>SUM(D155:D156)</f>
        <v>1500</v>
      </c>
      <c r="E157" s="418">
        <f>SUM(E155:E156)</f>
        <v>1500</v>
      </c>
      <c r="F157" s="418">
        <f>SUM(F155:F156)</f>
        <v>0</v>
      </c>
      <c r="G157" s="431">
        <f>SUM(G155:G156)</f>
        <v>0</v>
      </c>
      <c r="H157" s="419">
        <v>3000</v>
      </c>
      <c r="I157" s="418">
        <v>3000</v>
      </c>
      <c r="J157" s="418">
        <v>0</v>
      </c>
      <c r="K157" s="417">
        <v>0</v>
      </c>
      <c r="L157" s="395"/>
    </row>
    <row r="158" spans="1:12" s="392" customFormat="1" x14ac:dyDescent="0.25">
      <c r="A158" s="386"/>
      <c r="B158" s="371"/>
      <c r="C158" s="411"/>
      <c r="D158" s="434"/>
      <c r="E158" s="433"/>
      <c r="F158" s="433"/>
      <c r="G158" s="432"/>
      <c r="H158" s="390"/>
      <c r="I158" s="389"/>
      <c r="J158" s="389"/>
      <c r="K158" s="388"/>
      <c r="L158" s="393"/>
    </row>
    <row r="159" spans="1:12" s="392" customFormat="1" x14ac:dyDescent="0.25">
      <c r="A159" s="386"/>
      <c r="B159" s="371"/>
      <c r="C159" s="411" t="s">
        <v>77</v>
      </c>
      <c r="D159" s="434"/>
      <c r="E159" s="433"/>
      <c r="F159" s="433"/>
      <c r="G159" s="432"/>
      <c r="H159" s="390"/>
      <c r="I159" s="389"/>
      <c r="J159" s="389"/>
      <c r="K159" s="388"/>
      <c r="L159" s="393"/>
    </row>
    <row r="160" spans="1:12" s="392" customFormat="1" x14ac:dyDescent="0.25">
      <c r="A160" s="369"/>
      <c r="B160" s="373"/>
      <c r="C160" s="411" t="s">
        <v>163</v>
      </c>
      <c r="D160" s="410">
        <v>1000</v>
      </c>
      <c r="E160" s="409">
        <v>1000</v>
      </c>
      <c r="F160" s="409"/>
      <c r="G160" s="408"/>
      <c r="H160" s="390">
        <v>1000</v>
      </c>
      <c r="I160" s="389">
        <v>1000</v>
      </c>
      <c r="J160" s="389">
        <v>0</v>
      </c>
      <c r="K160" s="388">
        <v>0</v>
      </c>
      <c r="L160" s="393"/>
    </row>
    <row r="161" spans="1:12" s="392" customFormat="1" x14ac:dyDescent="0.25">
      <c r="A161" s="369"/>
      <c r="B161" s="373"/>
      <c r="C161" s="411" t="s">
        <v>927</v>
      </c>
      <c r="D161" s="367">
        <v>3807</v>
      </c>
      <c r="E161" s="366">
        <v>3807</v>
      </c>
      <c r="F161" s="433"/>
      <c r="G161" s="432"/>
      <c r="H161" s="390">
        <v>3807</v>
      </c>
      <c r="I161" s="389">
        <v>3807</v>
      </c>
      <c r="J161" s="389">
        <v>0</v>
      </c>
      <c r="K161" s="388">
        <v>0</v>
      </c>
      <c r="L161" s="393"/>
    </row>
    <row r="162" spans="1:12" s="392" customFormat="1" x14ac:dyDescent="0.25">
      <c r="A162" s="369"/>
      <c r="B162" s="383"/>
      <c r="C162" s="420" t="s">
        <v>26</v>
      </c>
      <c r="D162" s="421">
        <f>SUM(D160:D161)</f>
        <v>4807</v>
      </c>
      <c r="E162" s="418">
        <f>SUM(E160:E161)</f>
        <v>4807</v>
      </c>
      <c r="F162" s="418">
        <f>SUM(F160:F161)</f>
        <v>0</v>
      </c>
      <c r="G162" s="431">
        <f>SUM(G160:G161)</f>
        <v>0</v>
      </c>
      <c r="H162" s="419">
        <v>4807</v>
      </c>
      <c r="I162" s="418">
        <v>4807</v>
      </c>
      <c r="J162" s="418">
        <v>0</v>
      </c>
      <c r="K162" s="417">
        <v>0</v>
      </c>
      <c r="L162" s="393"/>
    </row>
    <row r="163" spans="1:12" s="392" customFormat="1" x14ac:dyDescent="0.25">
      <c r="A163" s="369"/>
      <c r="B163" s="383"/>
      <c r="C163" s="420"/>
      <c r="D163" s="419"/>
      <c r="E163" s="418"/>
      <c r="F163" s="418"/>
      <c r="G163" s="417"/>
      <c r="H163" s="390"/>
      <c r="I163" s="389"/>
      <c r="J163" s="389"/>
      <c r="K163" s="388"/>
      <c r="L163" s="393"/>
    </row>
    <row r="164" spans="1:12" s="392" customFormat="1" x14ac:dyDescent="0.25">
      <c r="A164" s="369"/>
      <c r="B164" s="383"/>
      <c r="C164" s="416" t="s">
        <v>65</v>
      </c>
      <c r="D164" s="414">
        <f>D157+D162</f>
        <v>6307</v>
      </c>
      <c r="E164" s="413">
        <f>E157+E162</f>
        <v>6307</v>
      </c>
      <c r="F164" s="413">
        <f>F157+F162</f>
        <v>0</v>
      </c>
      <c r="G164" s="412">
        <f>G157+G162</f>
        <v>0</v>
      </c>
      <c r="H164" s="414">
        <v>7807</v>
      </c>
      <c r="I164" s="413">
        <v>7807</v>
      </c>
      <c r="J164" s="413">
        <v>0</v>
      </c>
      <c r="K164" s="412">
        <v>0</v>
      </c>
      <c r="L164" s="393"/>
    </row>
    <row r="165" spans="1:12" s="392" customFormat="1" x14ac:dyDescent="0.25">
      <c r="A165" s="369"/>
      <c r="B165" s="383"/>
      <c r="C165" s="420"/>
      <c r="D165" s="430"/>
      <c r="E165" s="429"/>
      <c r="F165" s="429"/>
      <c r="G165" s="428"/>
      <c r="H165" s="390"/>
      <c r="I165" s="389"/>
      <c r="J165" s="389"/>
      <c r="K165" s="388"/>
      <c r="L165" s="393"/>
    </row>
    <row r="166" spans="1:12" s="392" customFormat="1" x14ac:dyDescent="0.25">
      <c r="A166" s="369"/>
      <c r="B166" s="371" t="s">
        <v>21</v>
      </c>
      <c r="C166" s="411" t="s">
        <v>2</v>
      </c>
      <c r="D166" s="410"/>
      <c r="E166" s="409"/>
      <c r="F166" s="409"/>
      <c r="G166" s="408"/>
      <c r="H166" s="390"/>
      <c r="I166" s="389"/>
      <c r="J166" s="389"/>
      <c r="K166" s="388"/>
      <c r="L166" s="393"/>
    </row>
    <row r="167" spans="1:12" s="392" customFormat="1" x14ac:dyDescent="0.25">
      <c r="A167" s="369"/>
      <c r="B167" s="383"/>
      <c r="C167" s="411" t="s">
        <v>61</v>
      </c>
      <c r="D167" s="410"/>
      <c r="E167" s="409"/>
      <c r="F167" s="409"/>
      <c r="G167" s="408"/>
      <c r="H167" s="390"/>
      <c r="I167" s="389"/>
      <c r="J167" s="389"/>
      <c r="K167" s="388"/>
      <c r="L167" s="393"/>
    </row>
    <row r="168" spans="1:12" s="392" customFormat="1" x14ac:dyDescent="0.25">
      <c r="A168" s="369"/>
      <c r="B168" s="383"/>
      <c r="C168" s="411" t="s">
        <v>121</v>
      </c>
      <c r="D168" s="410">
        <v>700</v>
      </c>
      <c r="E168" s="409">
        <v>700</v>
      </c>
      <c r="F168" s="409"/>
      <c r="G168" s="408"/>
      <c r="H168" s="390">
        <v>700</v>
      </c>
      <c r="I168" s="389">
        <v>700</v>
      </c>
      <c r="J168" s="389">
        <v>0</v>
      </c>
      <c r="K168" s="388">
        <v>0</v>
      </c>
      <c r="L168" s="393"/>
    </row>
    <row r="169" spans="1:12" s="392" customFormat="1" x14ac:dyDescent="0.25">
      <c r="A169" s="369"/>
      <c r="B169" s="383"/>
      <c r="C169" s="411" t="s">
        <v>164</v>
      </c>
      <c r="D169" s="410">
        <v>7600</v>
      </c>
      <c r="E169" s="409">
        <v>7600</v>
      </c>
      <c r="F169" s="409"/>
      <c r="G169" s="408"/>
      <c r="H169" s="390">
        <v>7600</v>
      </c>
      <c r="I169" s="389">
        <v>7600</v>
      </c>
      <c r="J169" s="389">
        <v>0</v>
      </c>
      <c r="K169" s="388">
        <v>0</v>
      </c>
      <c r="L169" s="393"/>
    </row>
    <row r="170" spans="1:12" s="392" customFormat="1" x14ac:dyDescent="0.25">
      <c r="A170" s="426"/>
      <c r="B170" s="425"/>
      <c r="C170" s="411" t="s">
        <v>179</v>
      </c>
      <c r="D170" s="410">
        <v>550</v>
      </c>
      <c r="E170" s="427">
        <v>550</v>
      </c>
      <c r="F170" s="427"/>
      <c r="G170" s="408"/>
      <c r="H170" s="390">
        <v>550</v>
      </c>
      <c r="I170" s="389">
        <v>550</v>
      </c>
      <c r="J170" s="389">
        <v>0</v>
      </c>
      <c r="K170" s="388">
        <v>0</v>
      </c>
      <c r="L170" s="393"/>
    </row>
    <row r="171" spans="1:12" s="392" customFormat="1" x14ac:dyDescent="0.25">
      <c r="A171" s="426"/>
      <c r="B171" s="425"/>
      <c r="C171" s="411" t="s">
        <v>702</v>
      </c>
      <c r="D171" s="422">
        <v>0</v>
      </c>
      <c r="E171" s="409">
        <v>0</v>
      </c>
      <c r="F171" s="427"/>
      <c r="G171" s="408"/>
      <c r="H171" s="390">
        <v>0</v>
      </c>
      <c r="I171" s="389">
        <v>0</v>
      </c>
      <c r="J171" s="389">
        <v>0</v>
      </c>
      <c r="K171" s="388">
        <v>0</v>
      </c>
      <c r="L171" s="393"/>
    </row>
    <row r="172" spans="1:12" s="392" customFormat="1" x14ac:dyDescent="0.25">
      <c r="A172" s="426"/>
      <c r="B172" s="425"/>
      <c r="C172" s="420" t="s">
        <v>26</v>
      </c>
      <c r="D172" s="421">
        <f>SUM(D168:D171)</f>
        <v>8850</v>
      </c>
      <c r="E172" s="418">
        <f>SUM(E168:E171)</f>
        <v>8850</v>
      </c>
      <c r="F172" s="418">
        <f>SUM(F168:F170)</f>
        <v>0</v>
      </c>
      <c r="G172" s="417">
        <f>SUM(G168:G170)</f>
        <v>0</v>
      </c>
      <c r="H172" s="419">
        <v>8850</v>
      </c>
      <c r="I172" s="418">
        <v>8850</v>
      </c>
      <c r="J172" s="418">
        <v>0</v>
      </c>
      <c r="K172" s="417">
        <v>0</v>
      </c>
      <c r="L172" s="393"/>
    </row>
    <row r="173" spans="1:12" x14ac:dyDescent="0.25">
      <c r="C173" s="368"/>
      <c r="D173" s="424"/>
      <c r="G173" s="423"/>
      <c r="H173" s="367"/>
      <c r="I173" s="366"/>
      <c r="J173" s="366"/>
      <c r="K173" s="365"/>
      <c r="L173" s="352"/>
    </row>
    <row r="174" spans="1:12" s="392" customFormat="1" x14ac:dyDescent="0.25">
      <c r="A174" s="369"/>
      <c r="B174" s="383"/>
      <c r="C174" s="411" t="s">
        <v>79</v>
      </c>
      <c r="D174" s="410"/>
      <c r="E174" s="409"/>
      <c r="F174" s="409"/>
      <c r="G174" s="408"/>
      <c r="H174" s="390"/>
      <c r="I174" s="389"/>
      <c r="J174" s="389"/>
      <c r="K174" s="388"/>
      <c r="L174" s="393"/>
    </row>
    <row r="175" spans="1:12" s="392" customFormat="1" x14ac:dyDescent="0.25">
      <c r="A175" s="369"/>
      <c r="B175" s="383"/>
      <c r="C175" s="411" t="s">
        <v>1</v>
      </c>
      <c r="D175" s="410">
        <v>8000</v>
      </c>
      <c r="E175" s="409">
        <v>8000</v>
      </c>
      <c r="F175" s="409"/>
      <c r="G175" s="408"/>
      <c r="H175" s="390">
        <v>8000</v>
      </c>
      <c r="I175" s="389">
        <v>8000</v>
      </c>
      <c r="J175" s="389">
        <v>0</v>
      </c>
      <c r="K175" s="388">
        <v>0</v>
      </c>
      <c r="L175" s="393"/>
    </row>
    <row r="176" spans="1:12" s="392" customFormat="1" x14ac:dyDescent="0.25">
      <c r="A176" s="369"/>
      <c r="B176" s="383"/>
      <c r="C176" s="411" t="s">
        <v>151</v>
      </c>
      <c r="D176" s="410">
        <v>4200</v>
      </c>
      <c r="E176" s="409">
        <v>4200</v>
      </c>
      <c r="F176" s="409"/>
      <c r="G176" s="408"/>
      <c r="H176" s="390">
        <v>4200</v>
      </c>
      <c r="I176" s="389">
        <v>4200</v>
      </c>
      <c r="J176" s="389">
        <v>0</v>
      </c>
      <c r="K176" s="388">
        <v>0</v>
      </c>
      <c r="L176" s="393"/>
    </row>
    <row r="177" spans="1:12" s="392" customFormat="1" x14ac:dyDescent="0.25">
      <c r="A177" s="369"/>
      <c r="B177" s="383"/>
      <c r="C177" s="411" t="s">
        <v>180</v>
      </c>
      <c r="D177" s="422">
        <v>5000</v>
      </c>
      <c r="E177" s="409">
        <v>5000</v>
      </c>
      <c r="F177" s="409"/>
      <c r="G177" s="408"/>
      <c r="H177" s="367">
        <v>5000</v>
      </c>
      <c r="I177" s="366">
        <v>5000</v>
      </c>
      <c r="J177" s="366">
        <v>0</v>
      </c>
      <c r="K177" s="388">
        <v>0</v>
      </c>
      <c r="L177" s="393"/>
    </row>
    <row r="178" spans="1:12" s="392" customFormat="1" x14ac:dyDescent="0.25">
      <c r="A178" s="369"/>
      <c r="B178" s="383"/>
      <c r="C178" s="411" t="s">
        <v>665</v>
      </c>
      <c r="D178" s="422">
        <v>11350</v>
      </c>
      <c r="E178" s="409">
        <v>11350</v>
      </c>
      <c r="F178" s="409"/>
      <c r="G178" s="408"/>
      <c r="H178" s="390">
        <v>11350</v>
      </c>
      <c r="I178" s="389">
        <v>11350</v>
      </c>
      <c r="J178" s="389">
        <v>0</v>
      </c>
      <c r="K178" s="388">
        <v>0</v>
      </c>
      <c r="L178" s="393"/>
    </row>
    <row r="179" spans="1:12" s="392" customFormat="1" x14ac:dyDescent="0.25">
      <c r="A179" s="369"/>
      <c r="B179" s="383"/>
      <c r="C179" s="420" t="s">
        <v>26</v>
      </c>
      <c r="D179" s="421">
        <f>SUM(D175:D178)</f>
        <v>28550</v>
      </c>
      <c r="E179" s="418">
        <f>SUM(E175:E178)</f>
        <v>28550</v>
      </c>
      <c r="F179" s="418">
        <f>SUM(F175:F178)</f>
        <v>0</v>
      </c>
      <c r="G179" s="417">
        <f>SUM(G175:G178)</f>
        <v>0</v>
      </c>
      <c r="H179" s="419">
        <v>28550</v>
      </c>
      <c r="I179" s="418">
        <v>28550</v>
      </c>
      <c r="J179" s="418">
        <v>0</v>
      </c>
      <c r="K179" s="417">
        <v>0</v>
      </c>
      <c r="L179" s="393"/>
    </row>
    <row r="180" spans="1:12" s="392" customFormat="1" x14ac:dyDescent="0.25">
      <c r="A180" s="369"/>
      <c r="B180" s="383"/>
      <c r="C180" s="420"/>
      <c r="D180" s="419"/>
      <c r="E180" s="418"/>
      <c r="F180" s="418"/>
      <c r="G180" s="417"/>
      <c r="H180" s="390"/>
      <c r="I180" s="389"/>
      <c r="J180" s="389"/>
      <c r="K180" s="388"/>
      <c r="L180" s="393"/>
    </row>
    <row r="181" spans="1:12" s="392" customFormat="1" x14ac:dyDescent="0.25">
      <c r="A181" s="369"/>
      <c r="B181" s="383"/>
      <c r="C181" s="416" t="s">
        <v>39</v>
      </c>
      <c r="D181" s="415">
        <f>D179+D172</f>
        <v>37400</v>
      </c>
      <c r="E181" s="413">
        <f>E179+E172</f>
        <v>37400</v>
      </c>
      <c r="F181" s="413">
        <f>F179+F172</f>
        <v>0</v>
      </c>
      <c r="G181" s="412">
        <f>G179+G172</f>
        <v>0</v>
      </c>
      <c r="H181" s="414">
        <v>37400</v>
      </c>
      <c r="I181" s="413">
        <v>37400</v>
      </c>
      <c r="J181" s="413">
        <v>0</v>
      </c>
      <c r="K181" s="412">
        <v>0</v>
      </c>
      <c r="L181" s="393"/>
    </row>
    <row r="182" spans="1:12" s="392" customFormat="1" x14ac:dyDescent="0.25">
      <c r="A182" s="369"/>
      <c r="B182" s="383"/>
      <c r="C182" s="411"/>
      <c r="D182" s="410"/>
      <c r="E182" s="409"/>
      <c r="F182" s="409"/>
      <c r="G182" s="408"/>
      <c r="H182" s="390"/>
      <c r="I182" s="389"/>
      <c r="J182" s="389"/>
      <c r="K182" s="388"/>
      <c r="L182" s="393"/>
    </row>
    <row r="183" spans="1:12" s="392" customFormat="1" x14ac:dyDescent="0.25">
      <c r="A183" s="369"/>
      <c r="B183" s="383"/>
      <c r="C183" s="407" t="s">
        <v>701</v>
      </c>
      <c r="D183" s="406">
        <f>D57+D76+D96+D107+D151+D164+D181</f>
        <v>2861659</v>
      </c>
      <c r="E183" s="405">
        <f>E57+E76+E96+E107+E151+E164+E181</f>
        <v>2754652</v>
      </c>
      <c r="F183" s="405">
        <f>F57+F76+F96+F107+F151+F164+F181</f>
        <v>106775</v>
      </c>
      <c r="G183" s="404">
        <f>G57+G76+G96+G107+G151+G164+G181</f>
        <v>232</v>
      </c>
      <c r="H183" s="406">
        <v>2795443</v>
      </c>
      <c r="I183" s="405">
        <v>2710936</v>
      </c>
      <c r="J183" s="405">
        <v>84275</v>
      </c>
      <c r="K183" s="404">
        <v>232</v>
      </c>
      <c r="L183" s="393"/>
    </row>
    <row r="184" spans="1:12" s="392" customFormat="1" x14ac:dyDescent="0.25">
      <c r="A184" s="369"/>
      <c r="B184" s="383"/>
      <c r="C184" s="387"/>
      <c r="D184" s="386"/>
      <c r="E184" s="385"/>
      <c r="F184" s="385"/>
      <c r="G184" s="384"/>
      <c r="H184" s="390"/>
      <c r="I184" s="389"/>
      <c r="J184" s="389"/>
      <c r="K184" s="388"/>
      <c r="L184" s="393"/>
    </row>
    <row r="185" spans="1:12" s="392" customFormat="1" x14ac:dyDescent="0.25">
      <c r="A185" s="369"/>
      <c r="B185" s="383"/>
      <c r="C185" s="387"/>
      <c r="D185" s="386"/>
      <c r="E185" s="385"/>
      <c r="F185" s="385"/>
      <c r="G185" s="384"/>
      <c r="H185" s="390"/>
      <c r="I185" s="389"/>
      <c r="J185" s="389"/>
      <c r="K185" s="388"/>
      <c r="L185" s="393"/>
    </row>
    <row r="186" spans="1:12" s="392" customFormat="1" x14ac:dyDescent="0.25">
      <c r="A186" s="617" t="s">
        <v>17</v>
      </c>
      <c r="B186" s="618"/>
      <c r="C186" s="619"/>
      <c r="D186" s="403">
        <f>D33+D40+D183</f>
        <v>2973459</v>
      </c>
      <c r="E186" s="402">
        <f>E33+E40+E183</f>
        <v>2866452</v>
      </c>
      <c r="F186" s="402">
        <f>F33+F40+F183</f>
        <v>106775</v>
      </c>
      <c r="G186" s="401">
        <f>G33+G40+G183</f>
        <v>232</v>
      </c>
      <c r="H186" s="403">
        <v>2881769</v>
      </c>
      <c r="I186" s="402">
        <v>2797262</v>
      </c>
      <c r="J186" s="402">
        <v>84275</v>
      </c>
      <c r="K186" s="401">
        <v>232</v>
      </c>
      <c r="L186" s="393"/>
    </row>
    <row r="187" spans="1:12" s="392" customFormat="1" x14ac:dyDescent="0.25">
      <c r="A187" s="369"/>
      <c r="B187" s="383"/>
      <c r="C187" s="387"/>
      <c r="D187" s="386"/>
      <c r="E187" s="385"/>
      <c r="F187" s="385"/>
      <c r="G187" s="384"/>
      <c r="H187" s="390"/>
      <c r="I187" s="389"/>
      <c r="J187" s="389"/>
      <c r="K187" s="388"/>
      <c r="L187" s="393"/>
    </row>
    <row r="188" spans="1:12" s="392" customFormat="1" x14ac:dyDescent="0.25">
      <c r="A188" s="369"/>
      <c r="B188" s="400" t="s">
        <v>29</v>
      </c>
      <c r="C188" s="399" t="s">
        <v>704</v>
      </c>
      <c r="D188" s="398"/>
      <c r="E188" s="397"/>
      <c r="F188" s="397"/>
      <c r="G188" s="396"/>
      <c r="H188" s="390"/>
      <c r="I188" s="389"/>
      <c r="J188" s="389"/>
      <c r="K188" s="388"/>
      <c r="L188" s="393"/>
    </row>
    <row r="189" spans="1:12" x14ac:dyDescent="0.25">
      <c r="A189" s="369"/>
      <c r="B189" s="371"/>
      <c r="C189" s="370" t="s">
        <v>181</v>
      </c>
      <c r="D189" s="367"/>
      <c r="E189" s="366"/>
      <c r="F189" s="366"/>
      <c r="G189" s="365"/>
      <c r="H189" s="367"/>
      <c r="I189" s="366"/>
      <c r="J189" s="366"/>
      <c r="K189" s="365"/>
      <c r="L189" s="352"/>
    </row>
    <row r="190" spans="1:12" s="394" customFormat="1" ht="17.25" x14ac:dyDescent="0.3">
      <c r="A190" s="381"/>
      <c r="B190" s="380"/>
      <c r="C190" s="370" t="s">
        <v>1122</v>
      </c>
      <c r="D190" s="367"/>
      <c r="E190" s="366"/>
      <c r="F190" s="366"/>
      <c r="G190" s="365"/>
      <c r="H190" s="367">
        <v>100</v>
      </c>
      <c r="I190" s="366">
        <v>100</v>
      </c>
      <c r="J190" s="377">
        <v>0</v>
      </c>
      <c r="K190" s="376">
        <v>0</v>
      </c>
      <c r="L190" s="395"/>
    </row>
    <row r="191" spans="1:12" s="392" customFormat="1" x14ac:dyDescent="0.25">
      <c r="A191" s="369"/>
      <c r="B191" s="371"/>
      <c r="C191" s="370" t="s">
        <v>168</v>
      </c>
      <c r="D191" s="367"/>
      <c r="E191" s="366"/>
      <c r="F191" s="366"/>
      <c r="G191" s="365"/>
      <c r="H191" s="367">
        <v>1327</v>
      </c>
      <c r="I191" s="366">
        <v>1327</v>
      </c>
      <c r="J191" s="366">
        <v>0</v>
      </c>
      <c r="K191" s="365">
        <v>0</v>
      </c>
      <c r="L191" s="393"/>
    </row>
    <row r="192" spans="1:12" s="374" customFormat="1" x14ac:dyDescent="0.25">
      <c r="A192" s="391"/>
      <c r="B192" s="380"/>
      <c r="C192" s="370" t="s">
        <v>695</v>
      </c>
      <c r="D192" s="367"/>
      <c r="E192" s="366"/>
      <c r="F192" s="366"/>
      <c r="G192" s="365"/>
      <c r="H192" s="378">
        <v>378</v>
      </c>
      <c r="I192" s="377">
        <v>378</v>
      </c>
      <c r="J192" s="377">
        <v>0</v>
      </c>
      <c r="K192" s="376">
        <v>0</v>
      </c>
      <c r="L192" s="375"/>
    </row>
    <row r="193" spans="1:12" s="374" customFormat="1" x14ac:dyDescent="0.25">
      <c r="A193" s="391"/>
      <c r="B193" s="380"/>
      <c r="C193" s="370" t="s">
        <v>1121</v>
      </c>
      <c r="D193" s="367"/>
      <c r="E193" s="366"/>
      <c r="F193" s="366"/>
      <c r="G193" s="365"/>
      <c r="H193" s="378">
        <v>959</v>
      </c>
      <c r="I193" s="377">
        <v>959</v>
      </c>
      <c r="J193" s="377"/>
      <c r="K193" s="376"/>
      <c r="L193" s="375"/>
    </row>
    <row r="194" spans="1:12" s="374" customFormat="1" x14ac:dyDescent="0.25">
      <c r="A194" s="381"/>
      <c r="B194" s="380"/>
      <c r="C194" s="370" t="s">
        <v>1120</v>
      </c>
      <c r="D194" s="367"/>
      <c r="E194" s="366"/>
      <c r="F194" s="366"/>
      <c r="G194" s="365"/>
      <c r="H194" s="378">
        <v>369</v>
      </c>
      <c r="I194" s="377">
        <v>369</v>
      </c>
      <c r="J194" s="377">
        <v>0</v>
      </c>
      <c r="K194" s="376">
        <v>0</v>
      </c>
      <c r="L194" s="375"/>
    </row>
    <row r="195" spans="1:12" x14ac:dyDescent="0.25">
      <c r="A195" s="369"/>
      <c r="B195" s="371"/>
      <c r="C195" s="370" t="s">
        <v>1119</v>
      </c>
      <c r="D195" s="367">
        <v>10576</v>
      </c>
      <c r="E195" s="366">
        <v>10576</v>
      </c>
      <c r="F195" s="366"/>
      <c r="G195" s="365"/>
      <c r="H195" s="367">
        <v>105577</v>
      </c>
      <c r="I195" s="366">
        <v>105577</v>
      </c>
      <c r="J195" s="366">
        <v>0</v>
      </c>
      <c r="K195" s="365">
        <v>0</v>
      </c>
      <c r="L195" s="352"/>
    </row>
    <row r="196" spans="1:12" x14ac:dyDescent="0.25">
      <c r="A196" s="369"/>
      <c r="B196" s="371"/>
      <c r="C196" s="370" t="s">
        <v>1118</v>
      </c>
      <c r="D196" s="367">
        <v>41705</v>
      </c>
      <c r="E196" s="366">
        <v>41705</v>
      </c>
      <c r="F196" s="366"/>
      <c r="G196" s="365"/>
      <c r="H196" s="367">
        <v>41705</v>
      </c>
      <c r="I196" s="366">
        <v>41705</v>
      </c>
      <c r="J196" s="366">
        <v>0</v>
      </c>
      <c r="K196" s="365">
        <v>0</v>
      </c>
      <c r="L196" s="352"/>
    </row>
    <row r="197" spans="1:12" x14ac:dyDescent="0.25">
      <c r="A197" s="369"/>
      <c r="B197" s="371"/>
      <c r="C197" s="370" t="s">
        <v>1117</v>
      </c>
      <c r="D197" s="367">
        <v>48506</v>
      </c>
      <c r="E197" s="366">
        <v>48506</v>
      </c>
      <c r="F197" s="366"/>
      <c r="G197" s="365"/>
      <c r="H197" s="367">
        <v>48506</v>
      </c>
      <c r="I197" s="366">
        <v>48506</v>
      </c>
      <c r="J197" s="366">
        <v>0</v>
      </c>
      <c r="K197" s="365">
        <v>0</v>
      </c>
      <c r="L197" s="352"/>
    </row>
    <row r="198" spans="1:12" s="374" customFormat="1" x14ac:dyDescent="0.25">
      <c r="A198" s="381"/>
      <c r="B198" s="380"/>
      <c r="C198" s="379" t="s">
        <v>24</v>
      </c>
      <c r="D198" s="382">
        <f>SUM(D190:D197)</f>
        <v>100787</v>
      </c>
      <c r="E198" s="377">
        <f>SUM(E190:E197)</f>
        <v>100787</v>
      </c>
      <c r="F198" s="377">
        <f>SUM(F190:F197)</f>
        <v>0</v>
      </c>
      <c r="G198" s="376">
        <f>SUM(G190:G197)</f>
        <v>0</v>
      </c>
      <c r="H198" s="378">
        <v>198921</v>
      </c>
      <c r="I198" s="377">
        <v>198921</v>
      </c>
      <c r="J198" s="377">
        <v>0</v>
      </c>
      <c r="K198" s="376">
        <v>0</v>
      </c>
      <c r="L198" s="375"/>
    </row>
    <row r="199" spans="1:12" x14ac:dyDescent="0.25">
      <c r="A199" s="369"/>
      <c r="B199" s="371"/>
      <c r="C199" s="387"/>
      <c r="D199" s="390"/>
      <c r="E199" s="389"/>
      <c r="F199" s="389"/>
      <c r="G199" s="388"/>
      <c r="H199" s="367"/>
      <c r="I199" s="366"/>
      <c r="J199" s="366"/>
      <c r="K199" s="365"/>
      <c r="L199" s="352"/>
    </row>
    <row r="200" spans="1:12" x14ac:dyDescent="0.25">
      <c r="A200" s="369"/>
      <c r="B200" s="371"/>
      <c r="C200" s="370" t="s">
        <v>182</v>
      </c>
      <c r="D200" s="367"/>
      <c r="E200" s="366"/>
      <c r="F200" s="366"/>
      <c r="G200" s="365"/>
      <c r="H200" s="367"/>
      <c r="I200" s="366"/>
      <c r="J200" s="366"/>
      <c r="K200" s="365"/>
      <c r="L200" s="352"/>
    </row>
    <row r="201" spans="1:12" x14ac:dyDescent="0.25">
      <c r="A201" s="369"/>
      <c r="B201" s="383"/>
      <c r="C201" s="370" t="s">
        <v>169</v>
      </c>
      <c r="D201" s="367"/>
      <c r="E201" s="366"/>
      <c r="F201" s="366"/>
      <c r="G201" s="365"/>
      <c r="H201" s="367">
        <v>0</v>
      </c>
      <c r="I201" s="366">
        <v>0</v>
      </c>
      <c r="J201" s="366">
        <v>0</v>
      </c>
      <c r="K201" s="365">
        <v>0</v>
      </c>
      <c r="L201" s="352"/>
    </row>
    <row r="202" spans="1:12" x14ac:dyDescent="0.25">
      <c r="A202" s="369"/>
      <c r="B202" s="371"/>
      <c r="C202" s="370" t="s">
        <v>170</v>
      </c>
      <c r="D202" s="367"/>
      <c r="E202" s="366"/>
      <c r="F202" s="366"/>
      <c r="G202" s="365"/>
      <c r="H202" s="367">
        <v>0</v>
      </c>
      <c r="I202" s="366">
        <v>0</v>
      </c>
      <c r="J202" s="366">
        <v>0</v>
      </c>
      <c r="K202" s="365">
        <v>0</v>
      </c>
      <c r="L202" s="352"/>
    </row>
    <row r="203" spans="1:12" x14ac:dyDescent="0.25">
      <c r="A203" s="369"/>
      <c r="B203" s="371"/>
      <c r="C203" s="370" t="s">
        <v>696</v>
      </c>
      <c r="D203" s="367"/>
      <c r="E203" s="366"/>
      <c r="F203" s="366"/>
      <c r="G203" s="365"/>
      <c r="H203" s="367">
        <v>0</v>
      </c>
      <c r="I203" s="366">
        <v>0</v>
      </c>
      <c r="J203" s="366">
        <v>0</v>
      </c>
      <c r="K203" s="365">
        <v>0</v>
      </c>
      <c r="L203" s="352"/>
    </row>
    <row r="204" spans="1:12" x14ac:dyDescent="0.25">
      <c r="A204" s="369"/>
      <c r="B204" s="371"/>
      <c r="C204" s="370" t="s">
        <v>171</v>
      </c>
      <c r="D204" s="367"/>
      <c r="E204" s="366"/>
      <c r="F204" s="366"/>
      <c r="G204" s="365"/>
      <c r="H204" s="367">
        <v>0</v>
      </c>
      <c r="I204" s="366">
        <v>0</v>
      </c>
      <c r="J204" s="366">
        <v>0</v>
      </c>
      <c r="K204" s="365">
        <v>0</v>
      </c>
      <c r="L204" s="352"/>
    </row>
    <row r="205" spans="1:12" x14ac:dyDescent="0.25">
      <c r="A205" s="369"/>
      <c r="B205" s="371"/>
      <c r="C205" s="370" t="s">
        <v>172</v>
      </c>
      <c r="D205" s="367">
        <v>7676</v>
      </c>
      <c r="E205" s="366">
        <v>7676</v>
      </c>
      <c r="F205" s="366"/>
      <c r="G205" s="365"/>
      <c r="H205" s="367">
        <v>7676</v>
      </c>
      <c r="I205" s="366">
        <v>7676</v>
      </c>
      <c r="J205" s="366">
        <v>0</v>
      </c>
      <c r="K205" s="365">
        <v>0</v>
      </c>
      <c r="L205" s="352"/>
    </row>
    <row r="206" spans="1:12" x14ac:dyDescent="0.25">
      <c r="A206" s="369"/>
      <c r="B206" s="371"/>
      <c r="C206" s="370" t="s">
        <v>173</v>
      </c>
      <c r="D206" s="367">
        <v>10374</v>
      </c>
      <c r="E206" s="366">
        <v>10374</v>
      </c>
      <c r="F206" s="366"/>
      <c r="G206" s="365"/>
      <c r="H206" s="367">
        <v>10374</v>
      </c>
      <c r="I206" s="366">
        <v>10374</v>
      </c>
      <c r="J206" s="366">
        <v>0</v>
      </c>
      <c r="K206" s="365">
        <v>0</v>
      </c>
      <c r="L206" s="352"/>
    </row>
    <row r="207" spans="1:12" x14ac:dyDescent="0.25">
      <c r="A207" s="369"/>
      <c r="B207" s="371"/>
      <c r="C207" s="370" t="s">
        <v>174</v>
      </c>
      <c r="D207" s="367">
        <v>451711</v>
      </c>
      <c r="E207" s="366">
        <v>451711</v>
      </c>
      <c r="F207" s="366"/>
      <c r="G207" s="365"/>
      <c r="H207" s="367">
        <v>451711</v>
      </c>
      <c r="I207" s="366">
        <v>451711</v>
      </c>
      <c r="J207" s="366">
        <v>0</v>
      </c>
      <c r="K207" s="365">
        <v>0</v>
      </c>
      <c r="L207" s="352"/>
    </row>
    <row r="208" spans="1:12" x14ac:dyDescent="0.25">
      <c r="A208" s="369"/>
      <c r="B208" s="371"/>
      <c r="C208" s="370" t="s">
        <v>175</v>
      </c>
      <c r="D208" s="372">
        <v>12502</v>
      </c>
      <c r="E208" s="366">
        <v>12502</v>
      </c>
      <c r="F208" s="366"/>
      <c r="G208" s="365"/>
      <c r="H208" s="367">
        <v>12502</v>
      </c>
      <c r="I208" s="366">
        <v>12502</v>
      </c>
      <c r="J208" s="366">
        <v>0</v>
      </c>
      <c r="K208" s="365">
        <v>0</v>
      </c>
      <c r="L208" s="352"/>
    </row>
    <row r="209" spans="1:12" s="374" customFormat="1" x14ac:dyDescent="0.25">
      <c r="A209" s="381"/>
      <c r="B209" s="380"/>
      <c r="C209" s="379" t="s">
        <v>24</v>
      </c>
      <c r="D209" s="382">
        <f>SUM(D201:D208)</f>
        <v>482263</v>
      </c>
      <c r="E209" s="377">
        <f>SUM(E201:E208)</f>
        <v>482263</v>
      </c>
      <c r="F209" s="377">
        <f>SUM(F201:F208)</f>
        <v>0</v>
      </c>
      <c r="G209" s="376">
        <f>SUM(G201:G208)</f>
        <v>0</v>
      </c>
      <c r="H209" s="378">
        <v>482263</v>
      </c>
      <c r="I209" s="377">
        <v>482263</v>
      </c>
      <c r="J209" s="377">
        <v>0</v>
      </c>
      <c r="K209" s="376">
        <v>0</v>
      </c>
      <c r="L209" s="375"/>
    </row>
    <row r="210" spans="1:12" x14ac:dyDescent="0.25">
      <c r="A210" s="369"/>
      <c r="B210" s="371"/>
      <c r="C210" s="387"/>
      <c r="D210" s="386"/>
      <c r="E210" s="385"/>
      <c r="F210" s="385"/>
      <c r="G210" s="384"/>
      <c r="H210" s="367"/>
      <c r="I210" s="366"/>
      <c r="J210" s="366"/>
      <c r="K210" s="365"/>
      <c r="L210" s="352"/>
    </row>
    <row r="211" spans="1:12" x14ac:dyDescent="0.25">
      <c r="A211" s="369"/>
      <c r="B211" s="383"/>
      <c r="C211" s="370" t="s">
        <v>705</v>
      </c>
      <c r="D211" s="369"/>
      <c r="E211" s="350"/>
      <c r="F211" s="350"/>
      <c r="G211" s="368"/>
      <c r="H211" s="367"/>
      <c r="I211" s="366"/>
      <c r="J211" s="366"/>
      <c r="K211" s="365"/>
      <c r="L211" s="352"/>
    </row>
    <row r="212" spans="1:12" x14ac:dyDescent="0.25">
      <c r="A212" s="369"/>
      <c r="B212" s="371"/>
      <c r="C212" s="370" t="s">
        <v>706</v>
      </c>
      <c r="D212" s="369"/>
      <c r="E212" s="350"/>
      <c r="F212" s="350"/>
      <c r="G212" s="368"/>
      <c r="H212" s="367"/>
      <c r="I212" s="366"/>
      <c r="J212" s="366"/>
      <c r="K212" s="365"/>
      <c r="L212" s="352"/>
    </row>
    <row r="213" spans="1:12" x14ac:dyDescent="0.25">
      <c r="A213" s="369"/>
      <c r="B213" s="371"/>
      <c r="C213" s="370" t="s">
        <v>707</v>
      </c>
      <c r="D213" s="367">
        <v>28259</v>
      </c>
      <c r="E213" s="366">
        <v>28259</v>
      </c>
      <c r="F213" s="366"/>
      <c r="G213" s="365"/>
      <c r="H213" s="367">
        <v>28259</v>
      </c>
      <c r="I213" s="366">
        <v>28259</v>
      </c>
      <c r="J213" s="366">
        <v>0</v>
      </c>
      <c r="K213" s="365">
        <v>0</v>
      </c>
      <c r="L213" s="352"/>
    </row>
    <row r="214" spans="1:12" x14ac:dyDescent="0.25">
      <c r="A214" s="369"/>
      <c r="B214" s="371"/>
      <c r="C214" s="370" t="s">
        <v>708</v>
      </c>
      <c r="D214" s="367">
        <v>0</v>
      </c>
      <c r="E214" s="366">
        <v>0</v>
      </c>
      <c r="F214" s="366"/>
      <c r="G214" s="365"/>
      <c r="H214" s="367">
        <v>379077</v>
      </c>
      <c r="I214" s="366">
        <v>379077</v>
      </c>
      <c r="J214" s="366">
        <v>0</v>
      </c>
      <c r="K214" s="365">
        <v>0</v>
      </c>
      <c r="L214" s="352"/>
    </row>
    <row r="215" spans="1:12" s="374" customFormat="1" x14ac:dyDescent="0.25">
      <c r="A215" s="381"/>
      <c r="B215" s="380"/>
      <c r="C215" s="379" t="s">
        <v>24</v>
      </c>
      <c r="D215" s="382">
        <f>SUM(D212:D214)</f>
        <v>28259</v>
      </c>
      <c r="E215" s="377">
        <f>SUM(E212:E214)</f>
        <v>28259</v>
      </c>
      <c r="F215" s="377">
        <f>SUM(F212:F214)</f>
        <v>0</v>
      </c>
      <c r="G215" s="376">
        <f>SUM(G212:G214)</f>
        <v>0</v>
      </c>
      <c r="H215" s="378">
        <v>407336</v>
      </c>
      <c r="I215" s="377">
        <v>407336</v>
      </c>
      <c r="J215" s="377">
        <v>0</v>
      </c>
      <c r="K215" s="376">
        <v>0</v>
      </c>
      <c r="L215" s="375"/>
    </row>
    <row r="216" spans="1:12" s="374" customFormat="1" x14ac:dyDescent="0.25">
      <c r="A216" s="381"/>
      <c r="B216" s="380"/>
      <c r="C216" s="379"/>
      <c r="D216" s="378"/>
      <c r="E216" s="377"/>
      <c r="F216" s="377"/>
      <c r="G216" s="376"/>
      <c r="H216" s="378"/>
      <c r="I216" s="377"/>
      <c r="J216" s="377"/>
      <c r="K216" s="376"/>
      <c r="L216" s="375"/>
    </row>
    <row r="217" spans="1:12" x14ac:dyDescent="0.25">
      <c r="A217" s="369"/>
      <c r="B217" s="373"/>
      <c r="C217" s="370" t="s">
        <v>709</v>
      </c>
      <c r="D217" s="372"/>
      <c r="E217" s="366"/>
      <c r="F217" s="350"/>
      <c r="G217" s="368"/>
      <c r="H217" s="367"/>
      <c r="I217" s="366"/>
      <c r="J217" s="366"/>
      <c r="K217" s="365"/>
      <c r="L217" s="352"/>
    </row>
    <row r="218" spans="1:12" x14ac:dyDescent="0.25">
      <c r="A218" s="369"/>
      <c r="B218" s="371"/>
      <c r="C218" s="370"/>
      <c r="D218" s="369"/>
      <c r="E218" s="350"/>
      <c r="F218" s="350"/>
      <c r="G218" s="368"/>
      <c r="H218" s="367"/>
      <c r="I218" s="366"/>
      <c r="J218" s="366"/>
      <c r="K218" s="365"/>
      <c r="L218" s="352"/>
    </row>
    <row r="219" spans="1:12" ht="17.25" thickBot="1" x14ac:dyDescent="0.3">
      <c r="A219" s="364"/>
      <c r="B219" s="363"/>
      <c r="C219" s="362" t="s">
        <v>17</v>
      </c>
      <c r="D219" s="361">
        <f>D186+D209+D198+D215+D217</f>
        <v>3584768</v>
      </c>
      <c r="E219" s="359">
        <f>E186+E209+E198+E215+E217</f>
        <v>3477761</v>
      </c>
      <c r="F219" s="359">
        <f>F186+F209+F198+F215+F217</f>
        <v>106775</v>
      </c>
      <c r="G219" s="358">
        <f>G186+G209+G198+G215+G217</f>
        <v>232</v>
      </c>
      <c r="H219" s="360">
        <v>3970289</v>
      </c>
      <c r="I219" s="359">
        <v>3885782</v>
      </c>
      <c r="J219" s="359">
        <v>84275</v>
      </c>
      <c r="K219" s="358">
        <v>232</v>
      </c>
      <c r="L219" s="352"/>
    </row>
    <row r="220" spans="1:12" x14ac:dyDescent="0.25">
      <c r="A220" s="357"/>
      <c r="B220" s="356"/>
      <c r="C220" s="355"/>
      <c r="D220" s="354"/>
      <c r="E220" s="354"/>
      <c r="F220" s="354"/>
      <c r="G220" s="354"/>
    </row>
    <row r="221" spans="1:12" x14ac:dyDescent="0.25">
      <c r="D221" s="353"/>
    </row>
    <row r="222" spans="1:12" x14ac:dyDescent="0.25">
      <c r="D222" s="353"/>
    </row>
    <row r="232" spans="1:3" x14ac:dyDescent="0.25">
      <c r="A232" s="5"/>
      <c r="B232" s="5"/>
      <c r="C232" s="5"/>
    </row>
    <row r="233" spans="1:3" x14ac:dyDescent="0.25">
      <c r="A233" s="5"/>
      <c r="B233" s="5"/>
      <c r="C233" s="5"/>
    </row>
    <row r="234" spans="1:3" x14ac:dyDescent="0.25">
      <c r="A234" s="5"/>
      <c r="B234" s="5"/>
      <c r="C234" s="5"/>
    </row>
    <row r="235" spans="1:3" x14ac:dyDescent="0.25">
      <c r="A235" s="5"/>
      <c r="B235" s="5"/>
      <c r="C235" s="5"/>
    </row>
    <row r="236" spans="1:3" x14ac:dyDescent="0.25">
      <c r="A236" s="5"/>
      <c r="B236" s="5"/>
      <c r="C236" s="5"/>
    </row>
    <row r="237" spans="1:3" x14ac:dyDescent="0.25">
      <c r="A237" s="5"/>
      <c r="B237" s="5"/>
      <c r="C237" s="5"/>
    </row>
    <row r="238" spans="1:3" x14ac:dyDescent="0.25">
      <c r="A238" s="5"/>
      <c r="B238" s="5"/>
      <c r="C238" s="5"/>
    </row>
    <row r="239" spans="1:3" x14ac:dyDescent="0.25">
      <c r="A239" s="5"/>
      <c r="B239" s="5"/>
      <c r="C239" s="5"/>
    </row>
    <row r="240" spans="1:3" x14ac:dyDescent="0.25">
      <c r="A240" s="5"/>
      <c r="B240" s="5"/>
      <c r="C240" s="5"/>
    </row>
    <row r="241" spans="1:3" x14ac:dyDescent="0.25">
      <c r="A241" s="5"/>
      <c r="B241" s="5"/>
      <c r="C241" s="5"/>
    </row>
    <row r="242" spans="1:3" x14ac:dyDescent="0.25">
      <c r="A242" s="5"/>
      <c r="B242" s="5"/>
      <c r="C242" s="5"/>
    </row>
    <row r="243" spans="1:3" x14ac:dyDescent="0.25">
      <c r="A243" s="5"/>
      <c r="B243" s="5"/>
      <c r="C243" s="5"/>
    </row>
    <row r="244" spans="1:3" x14ac:dyDescent="0.25">
      <c r="A244" s="5"/>
      <c r="B244" s="5"/>
      <c r="C244" s="5"/>
    </row>
    <row r="245" spans="1:3" x14ac:dyDescent="0.25">
      <c r="A245" s="5"/>
      <c r="B245" s="5"/>
      <c r="C245" s="5"/>
    </row>
    <row r="246" spans="1:3" x14ac:dyDescent="0.25">
      <c r="A246" s="5"/>
      <c r="B246" s="5"/>
      <c r="C246" s="5"/>
    </row>
    <row r="247" spans="1:3" x14ac:dyDescent="0.25">
      <c r="A247" s="5"/>
      <c r="B247" s="5"/>
      <c r="C247" s="5"/>
    </row>
    <row r="248" spans="1:3" x14ac:dyDescent="0.25">
      <c r="A248" s="5"/>
      <c r="B248" s="5"/>
      <c r="C248" s="5"/>
    </row>
    <row r="249" spans="1:3" x14ac:dyDescent="0.25">
      <c r="A249" s="5"/>
      <c r="B249" s="5"/>
      <c r="C249" s="5"/>
    </row>
    <row r="250" spans="1:3" x14ac:dyDescent="0.25">
      <c r="A250" s="5"/>
      <c r="B250" s="5"/>
      <c r="C250" s="5"/>
    </row>
    <row r="251" spans="1:3" x14ac:dyDescent="0.25">
      <c r="A251" s="5"/>
      <c r="B251" s="5"/>
      <c r="C251" s="5"/>
    </row>
    <row r="252" spans="1:3" x14ac:dyDescent="0.25">
      <c r="A252" s="5"/>
      <c r="B252" s="5"/>
      <c r="C252" s="5"/>
    </row>
    <row r="253" spans="1:3" x14ac:dyDescent="0.25">
      <c r="A253" s="5"/>
      <c r="B253" s="5"/>
      <c r="C253" s="5"/>
    </row>
    <row r="254" spans="1:3" x14ac:dyDescent="0.25">
      <c r="A254" s="5"/>
      <c r="B254" s="5"/>
      <c r="C254" s="5"/>
    </row>
    <row r="255" spans="1:3" x14ac:dyDescent="0.25">
      <c r="A255" s="5"/>
      <c r="B255" s="5"/>
      <c r="C255" s="5"/>
    </row>
    <row r="256" spans="1:3" x14ac:dyDescent="0.25">
      <c r="A256" s="5"/>
      <c r="B256" s="5"/>
      <c r="C256" s="5"/>
    </row>
    <row r="257" spans="1:3" x14ac:dyDescent="0.25">
      <c r="A257" s="5"/>
      <c r="B257" s="5"/>
      <c r="C257" s="5"/>
    </row>
    <row r="258" spans="1:3" x14ac:dyDescent="0.25">
      <c r="A258" s="5"/>
      <c r="B258" s="5"/>
      <c r="C258" s="5"/>
    </row>
    <row r="259" spans="1:3" x14ac:dyDescent="0.25">
      <c r="A259" s="5"/>
      <c r="B259" s="5"/>
      <c r="C259" s="5"/>
    </row>
    <row r="260" spans="1:3" x14ac:dyDescent="0.25">
      <c r="A260" s="5"/>
      <c r="B260" s="5"/>
      <c r="C260" s="5"/>
    </row>
    <row r="261" spans="1:3" x14ac:dyDescent="0.25">
      <c r="A261" s="5"/>
      <c r="B261" s="5"/>
      <c r="C261" s="5"/>
    </row>
    <row r="262" spans="1:3" x14ac:dyDescent="0.25">
      <c r="A262" s="5"/>
      <c r="B262" s="5"/>
      <c r="C262" s="5"/>
    </row>
    <row r="263" spans="1:3" x14ac:dyDescent="0.25">
      <c r="A263" s="5"/>
      <c r="B263" s="5"/>
      <c r="C263" s="5"/>
    </row>
    <row r="264" spans="1:3" x14ac:dyDescent="0.25">
      <c r="A264" s="5"/>
      <c r="B264" s="5"/>
      <c r="C264" s="5"/>
    </row>
    <row r="265" spans="1:3" x14ac:dyDescent="0.25">
      <c r="A265" s="5"/>
      <c r="B265" s="5"/>
      <c r="C265" s="5"/>
    </row>
    <row r="266" spans="1:3" x14ac:dyDescent="0.25">
      <c r="A266" s="5"/>
      <c r="B266" s="5"/>
      <c r="C266" s="5"/>
    </row>
    <row r="267" spans="1:3" x14ac:dyDescent="0.25">
      <c r="A267" s="5"/>
      <c r="B267" s="5"/>
      <c r="C267" s="5"/>
    </row>
    <row r="268" spans="1:3" x14ac:dyDescent="0.25">
      <c r="A268" s="5"/>
      <c r="B268" s="5"/>
      <c r="C268" s="5"/>
    </row>
    <row r="269" spans="1:3" x14ac:dyDescent="0.25">
      <c r="A269" s="5"/>
      <c r="B269" s="5"/>
      <c r="C269" s="5"/>
    </row>
    <row r="270" spans="1:3" x14ac:dyDescent="0.25">
      <c r="A270" s="5"/>
      <c r="B270" s="5"/>
      <c r="C270" s="5"/>
    </row>
    <row r="271" spans="1:3" x14ac:dyDescent="0.25">
      <c r="A271" s="5"/>
      <c r="B271" s="5"/>
      <c r="C271" s="5"/>
    </row>
    <row r="272" spans="1:3" x14ac:dyDescent="0.25">
      <c r="A272" s="5"/>
      <c r="B272" s="5"/>
      <c r="C272" s="5"/>
    </row>
    <row r="273" spans="1:3" x14ac:dyDescent="0.25">
      <c r="A273" s="5"/>
      <c r="B273" s="5"/>
      <c r="C273" s="5"/>
    </row>
  </sheetData>
  <mergeCells count="4">
    <mergeCell ref="D4:G4"/>
    <mergeCell ref="A186:C186"/>
    <mergeCell ref="H4:K4"/>
    <mergeCell ref="E1:K1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6" fitToHeight="0" orientation="portrait" r:id="rId1"/>
  <headerFooter alignWithMargins="0">
    <oddHeader>&amp;P. oldal</oddHeader>
  </headerFooter>
  <rowBreaks count="2" manualBreakCount="2">
    <brk id="58" max="11" man="1"/>
    <brk id="123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activeCell="D1" sqref="D1"/>
    </sheetView>
  </sheetViews>
  <sheetFormatPr defaultRowHeight="15" x14ac:dyDescent="0.25"/>
  <cols>
    <col min="1" max="1" width="43" style="126" customWidth="1"/>
    <col min="2" max="3" width="10.7109375" style="200" bestFit="1" customWidth="1"/>
    <col min="4" max="4" width="10.7109375" style="199" bestFit="1" customWidth="1"/>
    <col min="5" max="256" width="9.140625" style="123"/>
    <col min="257" max="257" width="43" style="123" customWidth="1"/>
    <col min="258" max="260" width="10.7109375" style="123" bestFit="1" customWidth="1"/>
    <col min="261" max="512" width="9.140625" style="123"/>
    <col min="513" max="513" width="43" style="123" customWidth="1"/>
    <col min="514" max="516" width="10.7109375" style="123" bestFit="1" customWidth="1"/>
    <col min="517" max="768" width="9.140625" style="123"/>
    <col min="769" max="769" width="43" style="123" customWidth="1"/>
    <col min="770" max="772" width="10.7109375" style="123" bestFit="1" customWidth="1"/>
    <col min="773" max="1024" width="9.140625" style="123"/>
    <col min="1025" max="1025" width="43" style="123" customWidth="1"/>
    <col min="1026" max="1028" width="10.7109375" style="123" bestFit="1" customWidth="1"/>
    <col min="1029" max="1280" width="9.140625" style="123"/>
    <col min="1281" max="1281" width="43" style="123" customWidth="1"/>
    <col min="1282" max="1284" width="10.7109375" style="123" bestFit="1" customWidth="1"/>
    <col min="1285" max="1536" width="9.140625" style="123"/>
    <col min="1537" max="1537" width="43" style="123" customWidth="1"/>
    <col min="1538" max="1540" width="10.7109375" style="123" bestFit="1" customWidth="1"/>
    <col min="1541" max="1792" width="9.140625" style="123"/>
    <col min="1793" max="1793" width="43" style="123" customWidth="1"/>
    <col min="1794" max="1796" width="10.7109375" style="123" bestFit="1" customWidth="1"/>
    <col min="1797" max="2048" width="9.140625" style="123"/>
    <col min="2049" max="2049" width="43" style="123" customWidth="1"/>
    <col min="2050" max="2052" width="10.7109375" style="123" bestFit="1" customWidth="1"/>
    <col min="2053" max="2304" width="9.140625" style="123"/>
    <col min="2305" max="2305" width="43" style="123" customWidth="1"/>
    <col min="2306" max="2308" width="10.7109375" style="123" bestFit="1" customWidth="1"/>
    <col min="2309" max="2560" width="9.140625" style="123"/>
    <col min="2561" max="2561" width="43" style="123" customWidth="1"/>
    <col min="2562" max="2564" width="10.7109375" style="123" bestFit="1" customWidth="1"/>
    <col min="2565" max="2816" width="9.140625" style="123"/>
    <col min="2817" max="2817" width="43" style="123" customWidth="1"/>
    <col min="2818" max="2820" width="10.7109375" style="123" bestFit="1" customWidth="1"/>
    <col min="2821" max="3072" width="9.140625" style="123"/>
    <col min="3073" max="3073" width="43" style="123" customWidth="1"/>
    <col min="3074" max="3076" width="10.7109375" style="123" bestFit="1" customWidth="1"/>
    <col min="3077" max="3328" width="9.140625" style="123"/>
    <col min="3329" max="3329" width="43" style="123" customWidth="1"/>
    <col min="3330" max="3332" width="10.7109375" style="123" bestFit="1" customWidth="1"/>
    <col min="3333" max="3584" width="9.140625" style="123"/>
    <col min="3585" max="3585" width="43" style="123" customWidth="1"/>
    <col min="3586" max="3588" width="10.7109375" style="123" bestFit="1" customWidth="1"/>
    <col min="3589" max="3840" width="9.140625" style="123"/>
    <col min="3841" max="3841" width="43" style="123" customWidth="1"/>
    <col min="3842" max="3844" width="10.7109375" style="123" bestFit="1" customWidth="1"/>
    <col min="3845" max="4096" width="9.140625" style="123"/>
    <col min="4097" max="4097" width="43" style="123" customWidth="1"/>
    <col min="4098" max="4100" width="10.7109375" style="123" bestFit="1" customWidth="1"/>
    <col min="4101" max="4352" width="9.140625" style="123"/>
    <col min="4353" max="4353" width="43" style="123" customWidth="1"/>
    <col min="4354" max="4356" width="10.7109375" style="123" bestFit="1" customWidth="1"/>
    <col min="4357" max="4608" width="9.140625" style="123"/>
    <col min="4609" max="4609" width="43" style="123" customWidth="1"/>
    <col min="4610" max="4612" width="10.7109375" style="123" bestFit="1" customWidth="1"/>
    <col min="4613" max="4864" width="9.140625" style="123"/>
    <col min="4865" max="4865" width="43" style="123" customWidth="1"/>
    <col min="4866" max="4868" width="10.7109375" style="123" bestFit="1" customWidth="1"/>
    <col min="4869" max="5120" width="9.140625" style="123"/>
    <col min="5121" max="5121" width="43" style="123" customWidth="1"/>
    <col min="5122" max="5124" width="10.7109375" style="123" bestFit="1" customWidth="1"/>
    <col min="5125" max="5376" width="9.140625" style="123"/>
    <col min="5377" max="5377" width="43" style="123" customWidth="1"/>
    <col min="5378" max="5380" width="10.7109375" style="123" bestFit="1" customWidth="1"/>
    <col min="5381" max="5632" width="9.140625" style="123"/>
    <col min="5633" max="5633" width="43" style="123" customWidth="1"/>
    <col min="5634" max="5636" width="10.7109375" style="123" bestFit="1" customWidth="1"/>
    <col min="5637" max="5888" width="9.140625" style="123"/>
    <col min="5889" max="5889" width="43" style="123" customWidth="1"/>
    <col min="5890" max="5892" width="10.7109375" style="123" bestFit="1" customWidth="1"/>
    <col min="5893" max="6144" width="9.140625" style="123"/>
    <col min="6145" max="6145" width="43" style="123" customWidth="1"/>
    <col min="6146" max="6148" width="10.7109375" style="123" bestFit="1" customWidth="1"/>
    <col min="6149" max="6400" width="9.140625" style="123"/>
    <col min="6401" max="6401" width="43" style="123" customWidth="1"/>
    <col min="6402" max="6404" width="10.7109375" style="123" bestFit="1" customWidth="1"/>
    <col min="6405" max="6656" width="9.140625" style="123"/>
    <col min="6657" max="6657" width="43" style="123" customWidth="1"/>
    <col min="6658" max="6660" width="10.7109375" style="123" bestFit="1" customWidth="1"/>
    <col min="6661" max="6912" width="9.140625" style="123"/>
    <col min="6913" max="6913" width="43" style="123" customWidth="1"/>
    <col min="6914" max="6916" width="10.7109375" style="123" bestFit="1" customWidth="1"/>
    <col min="6917" max="7168" width="9.140625" style="123"/>
    <col min="7169" max="7169" width="43" style="123" customWidth="1"/>
    <col min="7170" max="7172" width="10.7109375" style="123" bestFit="1" customWidth="1"/>
    <col min="7173" max="7424" width="9.140625" style="123"/>
    <col min="7425" max="7425" width="43" style="123" customWidth="1"/>
    <col min="7426" max="7428" width="10.7109375" style="123" bestFit="1" customWidth="1"/>
    <col min="7429" max="7680" width="9.140625" style="123"/>
    <col min="7681" max="7681" width="43" style="123" customWidth="1"/>
    <col min="7682" max="7684" width="10.7109375" style="123" bestFit="1" customWidth="1"/>
    <col min="7685" max="7936" width="9.140625" style="123"/>
    <col min="7937" max="7937" width="43" style="123" customWidth="1"/>
    <col min="7938" max="7940" width="10.7109375" style="123" bestFit="1" customWidth="1"/>
    <col min="7941" max="8192" width="9.140625" style="123"/>
    <col min="8193" max="8193" width="43" style="123" customWidth="1"/>
    <col min="8194" max="8196" width="10.7109375" style="123" bestFit="1" customWidth="1"/>
    <col min="8197" max="8448" width="9.140625" style="123"/>
    <col min="8449" max="8449" width="43" style="123" customWidth="1"/>
    <col min="8450" max="8452" width="10.7109375" style="123" bestFit="1" customWidth="1"/>
    <col min="8453" max="8704" width="9.140625" style="123"/>
    <col min="8705" max="8705" width="43" style="123" customWidth="1"/>
    <col min="8706" max="8708" width="10.7109375" style="123" bestFit="1" customWidth="1"/>
    <col min="8709" max="8960" width="9.140625" style="123"/>
    <col min="8961" max="8961" width="43" style="123" customWidth="1"/>
    <col min="8962" max="8964" width="10.7109375" style="123" bestFit="1" customWidth="1"/>
    <col min="8965" max="9216" width="9.140625" style="123"/>
    <col min="9217" max="9217" width="43" style="123" customWidth="1"/>
    <col min="9218" max="9220" width="10.7109375" style="123" bestFit="1" customWidth="1"/>
    <col min="9221" max="9472" width="9.140625" style="123"/>
    <col min="9473" max="9473" width="43" style="123" customWidth="1"/>
    <col min="9474" max="9476" width="10.7109375" style="123" bestFit="1" customWidth="1"/>
    <col min="9477" max="9728" width="9.140625" style="123"/>
    <col min="9729" max="9729" width="43" style="123" customWidth="1"/>
    <col min="9730" max="9732" width="10.7109375" style="123" bestFit="1" customWidth="1"/>
    <col min="9733" max="9984" width="9.140625" style="123"/>
    <col min="9985" max="9985" width="43" style="123" customWidth="1"/>
    <col min="9986" max="9988" width="10.7109375" style="123" bestFit="1" customWidth="1"/>
    <col min="9989" max="10240" width="9.140625" style="123"/>
    <col min="10241" max="10241" width="43" style="123" customWidth="1"/>
    <col min="10242" max="10244" width="10.7109375" style="123" bestFit="1" customWidth="1"/>
    <col min="10245" max="10496" width="9.140625" style="123"/>
    <col min="10497" max="10497" width="43" style="123" customWidth="1"/>
    <col min="10498" max="10500" width="10.7109375" style="123" bestFit="1" customWidth="1"/>
    <col min="10501" max="10752" width="9.140625" style="123"/>
    <col min="10753" max="10753" width="43" style="123" customWidth="1"/>
    <col min="10754" max="10756" width="10.7109375" style="123" bestFit="1" customWidth="1"/>
    <col min="10757" max="11008" width="9.140625" style="123"/>
    <col min="11009" max="11009" width="43" style="123" customWidth="1"/>
    <col min="11010" max="11012" width="10.7109375" style="123" bestFit="1" customWidth="1"/>
    <col min="11013" max="11264" width="9.140625" style="123"/>
    <col min="11265" max="11265" width="43" style="123" customWidth="1"/>
    <col min="11266" max="11268" width="10.7109375" style="123" bestFit="1" customWidth="1"/>
    <col min="11269" max="11520" width="9.140625" style="123"/>
    <col min="11521" max="11521" width="43" style="123" customWidth="1"/>
    <col min="11522" max="11524" width="10.7109375" style="123" bestFit="1" customWidth="1"/>
    <col min="11525" max="11776" width="9.140625" style="123"/>
    <col min="11777" max="11777" width="43" style="123" customWidth="1"/>
    <col min="11778" max="11780" width="10.7109375" style="123" bestFit="1" customWidth="1"/>
    <col min="11781" max="12032" width="9.140625" style="123"/>
    <col min="12033" max="12033" width="43" style="123" customWidth="1"/>
    <col min="12034" max="12036" width="10.7109375" style="123" bestFit="1" customWidth="1"/>
    <col min="12037" max="12288" width="9.140625" style="123"/>
    <col min="12289" max="12289" width="43" style="123" customWidth="1"/>
    <col min="12290" max="12292" width="10.7109375" style="123" bestFit="1" customWidth="1"/>
    <col min="12293" max="12544" width="9.140625" style="123"/>
    <col min="12545" max="12545" width="43" style="123" customWidth="1"/>
    <col min="12546" max="12548" width="10.7109375" style="123" bestFit="1" customWidth="1"/>
    <col min="12549" max="12800" width="9.140625" style="123"/>
    <col min="12801" max="12801" width="43" style="123" customWidth="1"/>
    <col min="12802" max="12804" width="10.7109375" style="123" bestFit="1" customWidth="1"/>
    <col min="12805" max="13056" width="9.140625" style="123"/>
    <col min="13057" max="13057" width="43" style="123" customWidth="1"/>
    <col min="13058" max="13060" width="10.7109375" style="123" bestFit="1" customWidth="1"/>
    <col min="13061" max="13312" width="9.140625" style="123"/>
    <col min="13313" max="13313" width="43" style="123" customWidth="1"/>
    <col min="13314" max="13316" width="10.7109375" style="123" bestFit="1" customWidth="1"/>
    <col min="13317" max="13568" width="9.140625" style="123"/>
    <col min="13569" max="13569" width="43" style="123" customWidth="1"/>
    <col min="13570" max="13572" width="10.7109375" style="123" bestFit="1" customWidth="1"/>
    <col min="13573" max="13824" width="9.140625" style="123"/>
    <col min="13825" max="13825" width="43" style="123" customWidth="1"/>
    <col min="13826" max="13828" width="10.7109375" style="123" bestFit="1" customWidth="1"/>
    <col min="13829" max="14080" width="9.140625" style="123"/>
    <col min="14081" max="14081" width="43" style="123" customWidth="1"/>
    <col min="14082" max="14084" width="10.7109375" style="123" bestFit="1" customWidth="1"/>
    <col min="14085" max="14336" width="9.140625" style="123"/>
    <col min="14337" max="14337" width="43" style="123" customWidth="1"/>
    <col min="14338" max="14340" width="10.7109375" style="123" bestFit="1" customWidth="1"/>
    <col min="14341" max="14592" width="9.140625" style="123"/>
    <col min="14593" max="14593" width="43" style="123" customWidth="1"/>
    <col min="14594" max="14596" width="10.7109375" style="123" bestFit="1" customWidth="1"/>
    <col min="14597" max="14848" width="9.140625" style="123"/>
    <col min="14849" max="14849" width="43" style="123" customWidth="1"/>
    <col min="14850" max="14852" width="10.7109375" style="123" bestFit="1" customWidth="1"/>
    <col min="14853" max="15104" width="9.140625" style="123"/>
    <col min="15105" max="15105" width="43" style="123" customWidth="1"/>
    <col min="15106" max="15108" width="10.7109375" style="123" bestFit="1" customWidth="1"/>
    <col min="15109" max="15360" width="9.140625" style="123"/>
    <col min="15361" max="15361" width="43" style="123" customWidth="1"/>
    <col min="15362" max="15364" width="10.7109375" style="123" bestFit="1" customWidth="1"/>
    <col min="15365" max="15616" width="9.140625" style="123"/>
    <col min="15617" max="15617" width="43" style="123" customWidth="1"/>
    <col min="15618" max="15620" width="10.7109375" style="123" bestFit="1" customWidth="1"/>
    <col min="15621" max="15872" width="9.140625" style="123"/>
    <col min="15873" max="15873" width="43" style="123" customWidth="1"/>
    <col min="15874" max="15876" width="10.7109375" style="123" bestFit="1" customWidth="1"/>
    <col min="15877" max="16128" width="9.140625" style="123"/>
    <col min="16129" max="16129" width="43" style="123" customWidth="1"/>
    <col min="16130" max="16132" width="10.7109375" style="123" bestFit="1" customWidth="1"/>
    <col min="16133" max="16384" width="9.140625" style="123"/>
  </cols>
  <sheetData>
    <row r="1" spans="1:4" x14ac:dyDescent="0.25">
      <c r="A1" s="344"/>
      <c r="B1" s="344"/>
      <c r="C1" s="344"/>
      <c r="D1" s="237" t="s">
        <v>1112</v>
      </c>
    </row>
    <row r="2" spans="1:4" ht="14.25" x14ac:dyDescent="0.2">
      <c r="A2" s="124"/>
      <c r="B2" s="198"/>
      <c r="C2" s="198"/>
      <c r="D2" s="198"/>
    </row>
    <row r="3" spans="1:4" ht="15" customHeight="1" x14ac:dyDescent="0.25">
      <c r="A3" s="674" t="s">
        <v>272</v>
      </c>
      <c r="B3" s="674"/>
      <c r="C3" s="674"/>
    </row>
    <row r="4" spans="1:4" x14ac:dyDescent="0.25">
      <c r="C4" s="201"/>
      <c r="D4" s="201" t="s">
        <v>25</v>
      </c>
    </row>
    <row r="5" spans="1:4" ht="14.25" x14ac:dyDescent="0.2">
      <c r="A5" s="127" t="s">
        <v>189</v>
      </c>
      <c r="B5" s="202" t="s">
        <v>273</v>
      </c>
      <c r="C5" s="203" t="s">
        <v>302</v>
      </c>
      <c r="D5" s="203" t="s">
        <v>1054</v>
      </c>
    </row>
    <row r="6" spans="1:4" x14ac:dyDescent="0.25">
      <c r="A6" s="128" t="s">
        <v>127</v>
      </c>
      <c r="B6" s="129">
        <v>250000</v>
      </c>
      <c r="C6" s="129">
        <v>255000</v>
      </c>
      <c r="D6" s="129">
        <v>260000</v>
      </c>
    </row>
    <row r="7" spans="1:4" x14ac:dyDescent="0.25">
      <c r="A7" s="130" t="s">
        <v>274</v>
      </c>
      <c r="B7" s="129">
        <v>799000</v>
      </c>
      <c r="C7" s="129">
        <v>799000</v>
      </c>
      <c r="D7" s="129">
        <v>799000</v>
      </c>
    </row>
    <row r="8" spans="1:4" x14ac:dyDescent="0.25">
      <c r="A8" s="128" t="s">
        <v>275</v>
      </c>
      <c r="B8" s="129">
        <v>50000</v>
      </c>
      <c r="C8" s="129">
        <v>50000</v>
      </c>
      <c r="D8" s="129">
        <v>50000</v>
      </c>
    </row>
    <row r="9" spans="1:4" x14ac:dyDescent="0.25">
      <c r="A9" s="128" t="s">
        <v>276</v>
      </c>
      <c r="B9" s="129">
        <v>0</v>
      </c>
      <c r="C9" s="129">
        <v>0</v>
      </c>
      <c r="D9" s="129">
        <v>0</v>
      </c>
    </row>
    <row r="10" spans="1:4" x14ac:dyDescent="0.25">
      <c r="A10" s="128" t="s">
        <v>277</v>
      </c>
      <c r="B10" s="129">
        <v>14300</v>
      </c>
      <c r="C10" s="129">
        <v>15000</v>
      </c>
      <c r="D10" s="129">
        <v>16000</v>
      </c>
    </row>
    <row r="11" spans="1:4" x14ac:dyDescent="0.25">
      <c r="A11" s="128" t="s">
        <v>129</v>
      </c>
      <c r="B11" s="131">
        <v>1050000</v>
      </c>
      <c r="C11" s="129">
        <v>1120000</v>
      </c>
      <c r="D11" s="129">
        <v>1180000</v>
      </c>
    </row>
    <row r="12" spans="1:4" x14ac:dyDescent="0.25">
      <c r="A12" s="128" t="s">
        <v>278</v>
      </c>
      <c r="B12" s="131">
        <v>93000</v>
      </c>
      <c r="C12" s="129">
        <v>94000</v>
      </c>
      <c r="D12" s="129">
        <v>96000</v>
      </c>
    </row>
    <row r="13" spans="1:4" x14ac:dyDescent="0.25">
      <c r="A13" s="128" t="s">
        <v>279</v>
      </c>
      <c r="B13" s="129">
        <v>6000</v>
      </c>
      <c r="C13" s="129">
        <v>6500</v>
      </c>
      <c r="D13" s="129">
        <v>8000</v>
      </c>
    </row>
    <row r="14" spans="1:4" x14ac:dyDescent="0.25">
      <c r="A14" s="132" t="s">
        <v>133</v>
      </c>
      <c r="B14" s="129">
        <v>0</v>
      </c>
      <c r="C14" s="129">
        <v>0</v>
      </c>
      <c r="D14" s="129">
        <v>0</v>
      </c>
    </row>
    <row r="15" spans="1:4" x14ac:dyDescent="0.25">
      <c r="A15" s="128" t="s">
        <v>132</v>
      </c>
      <c r="B15" s="129">
        <v>6000</v>
      </c>
      <c r="C15" s="129">
        <v>6000</v>
      </c>
      <c r="D15" s="129">
        <v>6000</v>
      </c>
    </row>
    <row r="16" spans="1:4" x14ac:dyDescent="0.25">
      <c r="A16" s="128" t="s">
        <v>280</v>
      </c>
      <c r="B16" s="129">
        <v>2000</v>
      </c>
      <c r="C16" s="129">
        <v>2000</v>
      </c>
      <c r="D16" s="129">
        <v>2000</v>
      </c>
    </row>
    <row r="17" spans="1:4" x14ac:dyDescent="0.25">
      <c r="A17" s="133" t="s">
        <v>281</v>
      </c>
      <c r="B17" s="134">
        <f>SUM(B6:B16)</f>
        <v>2270300</v>
      </c>
      <c r="C17" s="134">
        <f>SUM(C6:C16)</f>
        <v>2347500</v>
      </c>
      <c r="D17" s="134">
        <f>SUM(D6:D16)</f>
        <v>2417000</v>
      </c>
    </row>
    <row r="18" spans="1:4" x14ac:dyDescent="0.25">
      <c r="A18" s="128" t="s">
        <v>282</v>
      </c>
      <c r="B18" s="129">
        <v>0</v>
      </c>
      <c r="C18" s="129">
        <v>0</v>
      </c>
      <c r="D18" s="129">
        <v>0</v>
      </c>
    </row>
    <row r="19" spans="1:4" x14ac:dyDescent="0.25">
      <c r="A19" s="128" t="s">
        <v>69</v>
      </c>
      <c r="B19" s="129">
        <v>235000</v>
      </c>
      <c r="C19" s="129">
        <v>240000</v>
      </c>
      <c r="D19" s="129">
        <v>245000</v>
      </c>
    </row>
    <row r="20" spans="1:4" ht="30" x14ac:dyDescent="0.25">
      <c r="A20" s="130" t="s">
        <v>140</v>
      </c>
      <c r="B20" s="129">
        <v>48000</v>
      </c>
      <c r="C20" s="129">
        <v>50000</v>
      </c>
      <c r="D20" s="129">
        <v>51000</v>
      </c>
    </row>
    <row r="21" spans="1:4" x14ac:dyDescent="0.25">
      <c r="A21" s="128" t="s">
        <v>283</v>
      </c>
      <c r="B21" s="129">
        <v>13000</v>
      </c>
      <c r="C21" s="129">
        <v>14000</v>
      </c>
      <c r="D21" s="129">
        <v>14700</v>
      </c>
    </row>
    <row r="22" spans="1:4" x14ac:dyDescent="0.25">
      <c r="A22" s="128" t="s">
        <v>284</v>
      </c>
      <c r="B22" s="129">
        <v>3500</v>
      </c>
      <c r="C22" s="129">
        <v>4000</v>
      </c>
      <c r="D22" s="129">
        <v>4000</v>
      </c>
    </row>
    <row r="23" spans="1:4" x14ac:dyDescent="0.25">
      <c r="A23" s="135" t="s">
        <v>285</v>
      </c>
      <c r="B23" s="129">
        <v>0</v>
      </c>
      <c r="C23" s="129">
        <v>0</v>
      </c>
      <c r="D23" s="129">
        <v>0</v>
      </c>
    </row>
    <row r="24" spans="1:4" x14ac:dyDescent="0.25">
      <c r="A24" s="135" t="s">
        <v>142</v>
      </c>
      <c r="B24" s="129">
        <v>200000</v>
      </c>
      <c r="C24" s="129">
        <v>150000</v>
      </c>
      <c r="D24" s="129">
        <v>100000</v>
      </c>
    </row>
    <row r="25" spans="1:4" x14ac:dyDescent="0.25">
      <c r="A25" s="136" t="s">
        <v>286</v>
      </c>
      <c r="B25" s="134">
        <f>SUM(B18:B24)</f>
        <v>499500</v>
      </c>
      <c r="C25" s="134">
        <f>SUM(C18:C24)</f>
        <v>458000</v>
      </c>
      <c r="D25" s="134">
        <f>SUM(D18:D24)</f>
        <v>414700</v>
      </c>
    </row>
    <row r="26" spans="1:4" ht="13.5" customHeight="1" x14ac:dyDescent="0.2">
      <c r="A26" s="137" t="s">
        <v>287</v>
      </c>
      <c r="B26" s="138">
        <f>B17+B25</f>
        <v>2769800</v>
      </c>
      <c r="C26" s="138">
        <f>C17+C25</f>
        <v>2805500</v>
      </c>
      <c r="D26" s="138">
        <f>D17+D25</f>
        <v>2831700</v>
      </c>
    </row>
    <row r="27" spans="1:4" ht="13.5" customHeight="1" x14ac:dyDescent="0.2">
      <c r="A27" s="137"/>
      <c r="B27" s="138"/>
      <c r="C27" s="138"/>
      <c r="D27" s="138"/>
    </row>
    <row r="28" spans="1:4" ht="14.25" x14ac:dyDescent="0.2">
      <c r="A28" s="139" t="s">
        <v>213</v>
      </c>
      <c r="B28" s="202" t="s">
        <v>273</v>
      </c>
      <c r="C28" s="203" t="s">
        <v>302</v>
      </c>
      <c r="D28" s="203" t="s">
        <v>1054</v>
      </c>
    </row>
    <row r="29" spans="1:4" x14ac:dyDescent="0.25">
      <c r="A29" s="135" t="s">
        <v>288</v>
      </c>
      <c r="B29" s="129">
        <v>810000</v>
      </c>
      <c r="C29" s="129">
        <v>825000</v>
      </c>
      <c r="D29" s="129">
        <v>840000</v>
      </c>
    </row>
    <row r="30" spans="1:4" x14ac:dyDescent="0.25">
      <c r="A30" s="135" t="s">
        <v>128</v>
      </c>
      <c r="B30" s="129">
        <v>141750</v>
      </c>
      <c r="C30" s="129">
        <v>144375</v>
      </c>
      <c r="D30" s="129">
        <v>147000</v>
      </c>
    </row>
    <row r="31" spans="1:4" x14ac:dyDescent="0.25">
      <c r="A31" s="135" t="s">
        <v>27</v>
      </c>
      <c r="B31" s="129">
        <v>883079</v>
      </c>
      <c r="C31" s="129">
        <v>894347</v>
      </c>
      <c r="D31" s="129">
        <v>911961</v>
      </c>
    </row>
    <row r="32" spans="1:4" x14ac:dyDescent="0.25">
      <c r="A32" s="135" t="s">
        <v>289</v>
      </c>
      <c r="B32" s="129">
        <v>480000</v>
      </c>
      <c r="C32" s="129">
        <v>485000</v>
      </c>
      <c r="D32" s="129">
        <v>490000</v>
      </c>
    </row>
    <row r="33" spans="1:4" x14ac:dyDescent="0.25">
      <c r="A33" s="135" t="s">
        <v>290</v>
      </c>
      <c r="B33" s="129">
        <v>32000</v>
      </c>
      <c r="C33" s="129">
        <v>33000</v>
      </c>
      <c r="D33" s="129">
        <v>34000</v>
      </c>
    </row>
    <row r="34" spans="1:4" x14ac:dyDescent="0.25">
      <c r="A34" s="135" t="s">
        <v>291</v>
      </c>
      <c r="B34" s="129">
        <v>0</v>
      </c>
      <c r="C34" s="129">
        <v>0</v>
      </c>
      <c r="D34" s="129">
        <v>0</v>
      </c>
    </row>
    <row r="35" spans="1:4" x14ac:dyDescent="0.25">
      <c r="A35" s="135" t="s">
        <v>292</v>
      </c>
      <c r="B35" s="129">
        <v>7500</v>
      </c>
      <c r="C35" s="129">
        <v>8000</v>
      </c>
      <c r="D35" s="129">
        <v>8000</v>
      </c>
    </row>
    <row r="36" spans="1:4" x14ac:dyDescent="0.25">
      <c r="A36" s="135" t="s">
        <v>134</v>
      </c>
      <c r="B36" s="129">
        <v>0</v>
      </c>
      <c r="C36" s="129">
        <v>0</v>
      </c>
      <c r="D36" s="129">
        <v>0</v>
      </c>
    </row>
    <row r="37" spans="1:4" x14ac:dyDescent="0.25">
      <c r="A37" s="135" t="s">
        <v>293</v>
      </c>
      <c r="B37" s="129">
        <v>5000</v>
      </c>
      <c r="C37" s="129">
        <v>5000</v>
      </c>
      <c r="D37" s="129">
        <v>5000</v>
      </c>
    </row>
    <row r="38" spans="1:4" x14ac:dyDescent="0.25">
      <c r="A38" s="136" t="s">
        <v>294</v>
      </c>
      <c r="B38" s="134">
        <f>SUM(B29:B37)</f>
        <v>2359329</v>
      </c>
      <c r="C38" s="134">
        <f>SUM(C29:C37)</f>
        <v>2394722</v>
      </c>
      <c r="D38" s="134">
        <f>SUM(D29:D37)</f>
        <v>2435961</v>
      </c>
    </row>
    <row r="39" spans="1:4" x14ac:dyDescent="0.25">
      <c r="A39" s="135" t="s">
        <v>295</v>
      </c>
      <c r="B39" s="129">
        <v>150000</v>
      </c>
      <c r="C39" s="129">
        <v>160000</v>
      </c>
      <c r="D39" s="129">
        <v>165000</v>
      </c>
    </row>
    <row r="40" spans="1:4" x14ac:dyDescent="0.25">
      <c r="A40" s="135" t="s">
        <v>51</v>
      </c>
      <c r="B40" s="129">
        <v>160000</v>
      </c>
      <c r="C40" s="129">
        <v>170000</v>
      </c>
      <c r="D40" s="129">
        <v>150000</v>
      </c>
    </row>
    <row r="41" spans="1:4" x14ac:dyDescent="0.25">
      <c r="A41" s="135" t="s">
        <v>296</v>
      </c>
      <c r="B41" s="129">
        <v>7000</v>
      </c>
      <c r="C41" s="129">
        <v>7000</v>
      </c>
      <c r="D41" s="129">
        <v>7350</v>
      </c>
    </row>
    <row r="42" spans="1:4" x14ac:dyDescent="0.25">
      <c r="A42" s="135" t="s">
        <v>297</v>
      </c>
      <c r="B42" s="129">
        <v>44310</v>
      </c>
      <c r="C42" s="129">
        <v>26389</v>
      </c>
      <c r="D42" s="129">
        <v>26389</v>
      </c>
    </row>
    <row r="43" spans="1:4" x14ac:dyDescent="0.25">
      <c r="A43" s="135" t="s">
        <v>298</v>
      </c>
      <c r="B43" s="129">
        <v>9161</v>
      </c>
      <c r="C43" s="129">
        <v>7389</v>
      </c>
      <c r="D43" s="129">
        <v>7000</v>
      </c>
    </row>
    <row r="44" spans="1:4" x14ac:dyDescent="0.25">
      <c r="A44" s="135" t="s">
        <v>299</v>
      </c>
      <c r="B44" s="129">
        <v>0</v>
      </c>
      <c r="C44" s="129">
        <v>0</v>
      </c>
      <c r="D44" s="129">
        <v>0</v>
      </c>
    </row>
    <row r="45" spans="1:4" x14ac:dyDescent="0.25">
      <c r="A45" s="135" t="s">
        <v>300</v>
      </c>
      <c r="B45" s="129">
        <v>40000</v>
      </c>
      <c r="C45" s="129">
        <v>40000</v>
      </c>
      <c r="D45" s="129">
        <v>40000</v>
      </c>
    </row>
    <row r="46" spans="1:4" x14ac:dyDescent="0.25">
      <c r="A46" s="133" t="s">
        <v>301</v>
      </c>
      <c r="B46" s="134">
        <f>SUM(B39:B45)</f>
        <v>410471</v>
      </c>
      <c r="C46" s="134">
        <f>SUM(C39:C45)</f>
        <v>410778</v>
      </c>
      <c r="D46" s="134">
        <f>SUM(D39:D45)</f>
        <v>395739</v>
      </c>
    </row>
    <row r="47" spans="1:4" ht="14.25" x14ac:dyDescent="0.2">
      <c r="A47" s="140" t="s">
        <v>223</v>
      </c>
      <c r="B47" s="138">
        <f>B38+B46</f>
        <v>2769800</v>
      </c>
      <c r="C47" s="138">
        <f>C38+C46</f>
        <v>2805500</v>
      </c>
      <c r="D47" s="138">
        <f>D38+D46</f>
        <v>2831700</v>
      </c>
    </row>
    <row r="48" spans="1:4" s="125" customFormat="1" x14ac:dyDescent="0.25">
      <c r="A48" s="141"/>
      <c r="B48" s="204"/>
      <c r="C48" s="204"/>
      <c r="D48" s="199"/>
    </row>
    <row r="49" spans="1:4" s="125" customFormat="1" x14ac:dyDescent="0.25">
      <c r="A49" s="141"/>
      <c r="B49" s="204"/>
      <c r="C49" s="204"/>
      <c r="D49" s="199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0"/>
  <sheetViews>
    <sheetView zoomScaleNormal="100" workbookViewId="0">
      <selection sqref="A1:C1"/>
    </sheetView>
  </sheetViews>
  <sheetFormatPr defaultRowHeight="12.75" x14ac:dyDescent="0.2"/>
  <cols>
    <col min="1" max="1" width="64.85546875" style="9" customWidth="1"/>
    <col min="2" max="2" width="58.28515625" style="9" customWidth="1"/>
    <col min="3" max="3" width="33.140625" style="9" customWidth="1"/>
    <col min="4" max="10" width="9.140625" style="9"/>
    <col min="11" max="256" width="9.140625" style="10"/>
    <col min="257" max="257" width="64.85546875" style="10" customWidth="1"/>
    <col min="258" max="258" width="58.28515625" style="10" customWidth="1"/>
    <col min="259" max="259" width="33.140625" style="10" customWidth="1"/>
    <col min="260" max="512" width="9.140625" style="10"/>
    <col min="513" max="513" width="64.85546875" style="10" customWidth="1"/>
    <col min="514" max="514" width="58.28515625" style="10" customWidth="1"/>
    <col min="515" max="515" width="33.140625" style="10" customWidth="1"/>
    <col min="516" max="768" width="9.140625" style="10"/>
    <col min="769" max="769" width="64.85546875" style="10" customWidth="1"/>
    <col min="770" max="770" width="58.28515625" style="10" customWidth="1"/>
    <col min="771" max="771" width="33.140625" style="10" customWidth="1"/>
    <col min="772" max="1024" width="9.140625" style="10"/>
    <col min="1025" max="1025" width="64.85546875" style="10" customWidth="1"/>
    <col min="1026" max="1026" width="58.28515625" style="10" customWidth="1"/>
    <col min="1027" max="1027" width="33.140625" style="10" customWidth="1"/>
    <col min="1028" max="1280" width="9.140625" style="10"/>
    <col min="1281" max="1281" width="64.85546875" style="10" customWidth="1"/>
    <col min="1282" max="1282" width="58.28515625" style="10" customWidth="1"/>
    <col min="1283" max="1283" width="33.140625" style="10" customWidth="1"/>
    <col min="1284" max="1536" width="9.140625" style="10"/>
    <col min="1537" max="1537" width="64.85546875" style="10" customWidth="1"/>
    <col min="1538" max="1538" width="58.28515625" style="10" customWidth="1"/>
    <col min="1539" max="1539" width="33.140625" style="10" customWidth="1"/>
    <col min="1540" max="1792" width="9.140625" style="10"/>
    <col min="1793" max="1793" width="64.85546875" style="10" customWidth="1"/>
    <col min="1794" max="1794" width="58.28515625" style="10" customWidth="1"/>
    <col min="1795" max="1795" width="33.140625" style="10" customWidth="1"/>
    <col min="1796" max="2048" width="9.140625" style="10"/>
    <col min="2049" max="2049" width="64.85546875" style="10" customWidth="1"/>
    <col min="2050" max="2050" width="58.28515625" style="10" customWidth="1"/>
    <col min="2051" max="2051" width="33.140625" style="10" customWidth="1"/>
    <col min="2052" max="2304" width="9.140625" style="10"/>
    <col min="2305" max="2305" width="64.85546875" style="10" customWidth="1"/>
    <col min="2306" max="2306" width="58.28515625" style="10" customWidth="1"/>
    <col min="2307" max="2307" width="33.140625" style="10" customWidth="1"/>
    <col min="2308" max="2560" width="9.140625" style="10"/>
    <col min="2561" max="2561" width="64.85546875" style="10" customWidth="1"/>
    <col min="2562" max="2562" width="58.28515625" style="10" customWidth="1"/>
    <col min="2563" max="2563" width="33.140625" style="10" customWidth="1"/>
    <col min="2564" max="2816" width="9.140625" style="10"/>
    <col min="2817" max="2817" width="64.85546875" style="10" customWidth="1"/>
    <col min="2818" max="2818" width="58.28515625" style="10" customWidth="1"/>
    <col min="2819" max="2819" width="33.140625" style="10" customWidth="1"/>
    <col min="2820" max="3072" width="9.140625" style="10"/>
    <col min="3073" max="3073" width="64.85546875" style="10" customWidth="1"/>
    <col min="3074" max="3074" width="58.28515625" style="10" customWidth="1"/>
    <col min="3075" max="3075" width="33.140625" style="10" customWidth="1"/>
    <col min="3076" max="3328" width="9.140625" style="10"/>
    <col min="3329" max="3329" width="64.85546875" style="10" customWidth="1"/>
    <col min="3330" max="3330" width="58.28515625" style="10" customWidth="1"/>
    <col min="3331" max="3331" width="33.140625" style="10" customWidth="1"/>
    <col min="3332" max="3584" width="9.140625" style="10"/>
    <col min="3585" max="3585" width="64.85546875" style="10" customWidth="1"/>
    <col min="3586" max="3586" width="58.28515625" style="10" customWidth="1"/>
    <col min="3587" max="3587" width="33.140625" style="10" customWidth="1"/>
    <col min="3588" max="3840" width="9.140625" style="10"/>
    <col min="3841" max="3841" width="64.85546875" style="10" customWidth="1"/>
    <col min="3842" max="3842" width="58.28515625" style="10" customWidth="1"/>
    <col min="3843" max="3843" width="33.140625" style="10" customWidth="1"/>
    <col min="3844" max="4096" width="9.140625" style="10"/>
    <col min="4097" max="4097" width="64.85546875" style="10" customWidth="1"/>
    <col min="4098" max="4098" width="58.28515625" style="10" customWidth="1"/>
    <col min="4099" max="4099" width="33.140625" style="10" customWidth="1"/>
    <col min="4100" max="4352" width="9.140625" style="10"/>
    <col min="4353" max="4353" width="64.85546875" style="10" customWidth="1"/>
    <col min="4354" max="4354" width="58.28515625" style="10" customWidth="1"/>
    <col min="4355" max="4355" width="33.140625" style="10" customWidth="1"/>
    <col min="4356" max="4608" width="9.140625" style="10"/>
    <col min="4609" max="4609" width="64.85546875" style="10" customWidth="1"/>
    <col min="4610" max="4610" width="58.28515625" style="10" customWidth="1"/>
    <col min="4611" max="4611" width="33.140625" style="10" customWidth="1"/>
    <col min="4612" max="4864" width="9.140625" style="10"/>
    <col min="4865" max="4865" width="64.85546875" style="10" customWidth="1"/>
    <col min="4866" max="4866" width="58.28515625" style="10" customWidth="1"/>
    <col min="4867" max="4867" width="33.140625" style="10" customWidth="1"/>
    <col min="4868" max="5120" width="9.140625" style="10"/>
    <col min="5121" max="5121" width="64.85546875" style="10" customWidth="1"/>
    <col min="5122" max="5122" width="58.28515625" style="10" customWidth="1"/>
    <col min="5123" max="5123" width="33.140625" style="10" customWidth="1"/>
    <col min="5124" max="5376" width="9.140625" style="10"/>
    <col min="5377" max="5377" width="64.85546875" style="10" customWidth="1"/>
    <col min="5378" max="5378" width="58.28515625" style="10" customWidth="1"/>
    <col min="5379" max="5379" width="33.140625" style="10" customWidth="1"/>
    <col min="5380" max="5632" width="9.140625" style="10"/>
    <col min="5633" max="5633" width="64.85546875" style="10" customWidth="1"/>
    <col min="5634" max="5634" width="58.28515625" style="10" customWidth="1"/>
    <col min="5635" max="5635" width="33.140625" style="10" customWidth="1"/>
    <col min="5636" max="5888" width="9.140625" style="10"/>
    <col min="5889" max="5889" width="64.85546875" style="10" customWidth="1"/>
    <col min="5890" max="5890" width="58.28515625" style="10" customWidth="1"/>
    <col min="5891" max="5891" width="33.140625" style="10" customWidth="1"/>
    <col min="5892" max="6144" width="9.140625" style="10"/>
    <col min="6145" max="6145" width="64.85546875" style="10" customWidth="1"/>
    <col min="6146" max="6146" width="58.28515625" style="10" customWidth="1"/>
    <col min="6147" max="6147" width="33.140625" style="10" customWidth="1"/>
    <col min="6148" max="6400" width="9.140625" style="10"/>
    <col min="6401" max="6401" width="64.85546875" style="10" customWidth="1"/>
    <col min="6402" max="6402" width="58.28515625" style="10" customWidth="1"/>
    <col min="6403" max="6403" width="33.140625" style="10" customWidth="1"/>
    <col min="6404" max="6656" width="9.140625" style="10"/>
    <col min="6657" max="6657" width="64.85546875" style="10" customWidth="1"/>
    <col min="6658" max="6658" width="58.28515625" style="10" customWidth="1"/>
    <col min="6659" max="6659" width="33.140625" style="10" customWidth="1"/>
    <col min="6660" max="6912" width="9.140625" style="10"/>
    <col min="6913" max="6913" width="64.85546875" style="10" customWidth="1"/>
    <col min="6914" max="6914" width="58.28515625" style="10" customWidth="1"/>
    <col min="6915" max="6915" width="33.140625" style="10" customWidth="1"/>
    <col min="6916" max="7168" width="9.140625" style="10"/>
    <col min="7169" max="7169" width="64.85546875" style="10" customWidth="1"/>
    <col min="7170" max="7170" width="58.28515625" style="10" customWidth="1"/>
    <col min="7171" max="7171" width="33.140625" style="10" customWidth="1"/>
    <col min="7172" max="7424" width="9.140625" style="10"/>
    <col min="7425" max="7425" width="64.85546875" style="10" customWidth="1"/>
    <col min="7426" max="7426" width="58.28515625" style="10" customWidth="1"/>
    <col min="7427" max="7427" width="33.140625" style="10" customWidth="1"/>
    <col min="7428" max="7680" width="9.140625" style="10"/>
    <col min="7681" max="7681" width="64.85546875" style="10" customWidth="1"/>
    <col min="7682" max="7682" width="58.28515625" style="10" customWidth="1"/>
    <col min="7683" max="7683" width="33.140625" style="10" customWidth="1"/>
    <col min="7684" max="7936" width="9.140625" style="10"/>
    <col min="7937" max="7937" width="64.85546875" style="10" customWidth="1"/>
    <col min="7938" max="7938" width="58.28515625" style="10" customWidth="1"/>
    <col min="7939" max="7939" width="33.140625" style="10" customWidth="1"/>
    <col min="7940" max="8192" width="9.140625" style="10"/>
    <col min="8193" max="8193" width="64.85546875" style="10" customWidth="1"/>
    <col min="8194" max="8194" width="58.28515625" style="10" customWidth="1"/>
    <col min="8195" max="8195" width="33.140625" style="10" customWidth="1"/>
    <col min="8196" max="8448" width="9.140625" style="10"/>
    <col min="8449" max="8449" width="64.85546875" style="10" customWidth="1"/>
    <col min="8450" max="8450" width="58.28515625" style="10" customWidth="1"/>
    <col min="8451" max="8451" width="33.140625" style="10" customWidth="1"/>
    <col min="8452" max="8704" width="9.140625" style="10"/>
    <col min="8705" max="8705" width="64.85546875" style="10" customWidth="1"/>
    <col min="8706" max="8706" width="58.28515625" style="10" customWidth="1"/>
    <col min="8707" max="8707" width="33.140625" style="10" customWidth="1"/>
    <col min="8708" max="8960" width="9.140625" style="10"/>
    <col min="8961" max="8961" width="64.85546875" style="10" customWidth="1"/>
    <col min="8962" max="8962" width="58.28515625" style="10" customWidth="1"/>
    <col min="8963" max="8963" width="33.140625" style="10" customWidth="1"/>
    <col min="8964" max="9216" width="9.140625" style="10"/>
    <col min="9217" max="9217" width="64.85546875" style="10" customWidth="1"/>
    <col min="9218" max="9218" width="58.28515625" style="10" customWidth="1"/>
    <col min="9219" max="9219" width="33.140625" style="10" customWidth="1"/>
    <col min="9220" max="9472" width="9.140625" style="10"/>
    <col min="9473" max="9473" width="64.85546875" style="10" customWidth="1"/>
    <col min="9474" max="9474" width="58.28515625" style="10" customWidth="1"/>
    <col min="9475" max="9475" width="33.140625" style="10" customWidth="1"/>
    <col min="9476" max="9728" width="9.140625" style="10"/>
    <col min="9729" max="9729" width="64.85546875" style="10" customWidth="1"/>
    <col min="9730" max="9730" width="58.28515625" style="10" customWidth="1"/>
    <col min="9731" max="9731" width="33.140625" style="10" customWidth="1"/>
    <col min="9732" max="9984" width="9.140625" style="10"/>
    <col min="9985" max="9985" width="64.85546875" style="10" customWidth="1"/>
    <col min="9986" max="9986" width="58.28515625" style="10" customWidth="1"/>
    <col min="9987" max="9987" width="33.140625" style="10" customWidth="1"/>
    <col min="9988" max="10240" width="9.140625" style="10"/>
    <col min="10241" max="10241" width="64.85546875" style="10" customWidth="1"/>
    <col min="10242" max="10242" width="58.28515625" style="10" customWidth="1"/>
    <col min="10243" max="10243" width="33.140625" style="10" customWidth="1"/>
    <col min="10244" max="10496" width="9.140625" style="10"/>
    <col min="10497" max="10497" width="64.85546875" style="10" customWidth="1"/>
    <col min="10498" max="10498" width="58.28515625" style="10" customWidth="1"/>
    <col min="10499" max="10499" width="33.140625" style="10" customWidth="1"/>
    <col min="10500" max="10752" width="9.140625" style="10"/>
    <col min="10753" max="10753" width="64.85546875" style="10" customWidth="1"/>
    <col min="10754" max="10754" width="58.28515625" style="10" customWidth="1"/>
    <col min="10755" max="10755" width="33.140625" style="10" customWidth="1"/>
    <col min="10756" max="11008" width="9.140625" style="10"/>
    <col min="11009" max="11009" width="64.85546875" style="10" customWidth="1"/>
    <col min="11010" max="11010" width="58.28515625" style="10" customWidth="1"/>
    <col min="11011" max="11011" width="33.140625" style="10" customWidth="1"/>
    <col min="11012" max="11264" width="9.140625" style="10"/>
    <col min="11265" max="11265" width="64.85546875" style="10" customWidth="1"/>
    <col min="11266" max="11266" width="58.28515625" style="10" customWidth="1"/>
    <col min="11267" max="11267" width="33.140625" style="10" customWidth="1"/>
    <col min="11268" max="11520" width="9.140625" style="10"/>
    <col min="11521" max="11521" width="64.85546875" style="10" customWidth="1"/>
    <col min="11522" max="11522" width="58.28515625" style="10" customWidth="1"/>
    <col min="11523" max="11523" width="33.140625" style="10" customWidth="1"/>
    <col min="11524" max="11776" width="9.140625" style="10"/>
    <col min="11777" max="11777" width="64.85546875" style="10" customWidth="1"/>
    <col min="11778" max="11778" width="58.28515625" style="10" customWidth="1"/>
    <col min="11779" max="11779" width="33.140625" style="10" customWidth="1"/>
    <col min="11780" max="12032" width="9.140625" style="10"/>
    <col min="12033" max="12033" width="64.85546875" style="10" customWidth="1"/>
    <col min="12034" max="12034" width="58.28515625" style="10" customWidth="1"/>
    <col min="12035" max="12035" width="33.140625" style="10" customWidth="1"/>
    <col min="12036" max="12288" width="9.140625" style="10"/>
    <col min="12289" max="12289" width="64.85546875" style="10" customWidth="1"/>
    <col min="12290" max="12290" width="58.28515625" style="10" customWidth="1"/>
    <col min="12291" max="12291" width="33.140625" style="10" customWidth="1"/>
    <col min="12292" max="12544" width="9.140625" style="10"/>
    <col min="12545" max="12545" width="64.85546875" style="10" customWidth="1"/>
    <col min="12546" max="12546" width="58.28515625" style="10" customWidth="1"/>
    <col min="12547" max="12547" width="33.140625" style="10" customWidth="1"/>
    <col min="12548" max="12800" width="9.140625" style="10"/>
    <col min="12801" max="12801" width="64.85546875" style="10" customWidth="1"/>
    <col min="12802" max="12802" width="58.28515625" style="10" customWidth="1"/>
    <col min="12803" max="12803" width="33.140625" style="10" customWidth="1"/>
    <col min="12804" max="13056" width="9.140625" style="10"/>
    <col min="13057" max="13057" width="64.85546875" style="10" customWidth="1"/>
    <col min="13058" max="13058" width="58.28515625" style="10" customWidth="1"/>
    <col min="13059" max="13059" width="33.140625" style="10" customWidth="1"/>
    <col min="13060" max="13312" width="9.140625" style="10"/>
    <col min="13313" max="13313" width="64.85546875" style="10" customWidth="1"/>
    <col min="13314" max="13314" width="58.28515625" style="10" customWidth="1"/>
    <col min="13315" max="13315" width="33.140625" style="10" customWidth="1"/>
    <col min="13316" max="13568" width="9.140625" style="10"/>
    <col min="13569" max="13569" width="64.85546875" style="10" customWidth="1"/>
    <col min="13570" max="13570" width="58.28515625" style="10" customWidth="1"/>
    <col min="13571" max="13571" width="33.140625" style="10" customWidth="1"/>
    <col min="13572" max="13824" width="9.140625" style="10"/>
    <col min="13825" max="13825" width="64.85546875" style="10" customWidth="1"/>
    <col min="13826" max="13826" width="58.28515625" style="10" customWidth="1"/>
    <col min="13827" max="13827" width="33.140625" style="10" customWidth="1"/>
    <col min="13828" max="14080" width="9.140625" style="10"/>
    <col min="14081" max="14081" width="64.85546875" style="10" customWidth="1"/>
    <col min="14082" max="14082" width="58.28515625" style="10" customWidth="1"/>
    <col min="14083" max="14083" width="33.140625" style="10" customWidth="1"/>
    <col min="14084" max="14336" width="9.140625" style="10"/>
    <col min="14337" max="14337" width="64.85546875" style="10" customWidth="1"/>
    <col min="14338" max="14338" width="58.28515625" style="10" customWidth="1"/>
    <col min="14339" max="14339" width="33.140625" style="10" customWidth="1"/>
    <col min="14340" max="14592" width="9.140625" style="10"/>
    <col min="14593" max="14593" width="64.85546875" style="10" customWidth="1"/>
    <col min="14594" max="14594" width="58.28515625" style="10" customWidth="1"/>
    <col min="14595" max="14595" width="33.140625" style="10" customWidth="1"/>
    <col min="14596" max="14848" width="9.140625" style="10"/>
    <col min="14849" max="14849" width="64.85546875" style="10" customWidth="1"/>
    <col min="14850" max="14850" width="58.28515625" style="10" customWidth="1"/>
    <col min="14851" max="14851" width="33.140625" style="10" customWidth="1"/>
    <col min="14852" max="15104" width="9.140625" style="10"/>
    <col min="15105" max="15105" width="64.85546875" style="10" customWidth="1"/>
    <col min="15106" max="15106" width="58.28515625" style="10" customWidth="1"/>
    <col min="15107" max="15107" width="33.140625" style="10" customWidth="1"/>
    <col min="15108" max="15360" width="9.140625" style="10"/>
    <col min="15361" max="15361" width="64.85546875" style="10" customWidth="1"/>
    <col min="15362" max="15362" width="58.28515625" style="10" customWidth="1"/>
    <col min="15363" max="15363" width="33.140625" style="10" customWidth="1"/>
    <col min="15364" max="15616" width="9.140625" style="10"/>
    <col min="15617" max="15617" width="64.85546875" style="10" customWidth="1"/>
    <col min="15618" max="15618" width="58.28515625" style="10" customWidth="1"/>
    <col min="15619" max="15619" width="33.140625" style="10" customWidth="1"/>
    <col min="15620" max="15872" width="9.140625" style="10"/>
    <col min="15873" max="15873" width="64.85546875" style="10" customWidth="1"/>
    <col min="15874" max="15874" width="58.28515625" style="10" customWidth="1"/>
    <col min="15875" max="15875" width="33.140625" style="10" customWidth="1"/>
    <col min="15876" max="16128" width="9.140625" style="10"/>
    <col min="16129" max="16129" width="64.85546875" style="10" customWidth="1"/>
    <col min="16130" max="16130" width="58.28515625" style="10" customWidth="1"/>
    <col min="16131" max="16131" width="33.140625" style="10" customWidth="1"/>
    <col min="16132" max="16384" width="9.140625" style="10"/>
  </cols>
  <sheetData>
    <row r="1" spans="1:3" x14ac:dyDescent="0.2">
      <c r="A1" s="676" t="s">
        <v>1113</v>
      </c>
      <c r="B1" s="676"/>
      <c r="C1" s="676"/>
    </row>
    <row r="2" spans="1:3" x14ac:dyDescent="0.2">
      <c r="A2" s="142"/>
      <c r="B2" s="142"/>
      <c r="C2" s="142"/>
    </row>
    <row r="3" spans="1:3" ht="15.75" x14ac:dyDescent="0.25">
      <c r="A3" s="143" t="s">
        <v>304</v>
      </c>
      <c r="B3" s="143"/>
      <c r="C3" s="143"/>
    </row>
    <row r="4" spans="1:3" ht="15.75" x14ac:dyDescent="0.25">
      <c r="A4" s="144"/>
      <c r="B4" s="144"/>
      <c r="C4" s="144"/>
    </row>
    <row r="5" spans="1:3" ht="15.75" x14ac:dyDescent="0.25">
      <c r="A5" s="145" t="s">
        <v>305</v>
      </c>
      <c r="B5" s="146" t="s">
        <v>306</v>
      </c>
      <c r="C5" s="147" t="s">
        <v>307</v>
      </c>
    </row>
    <row r="6" spans="1:3" ht="15.75" x14ac:dyDescent="0.25">
      <c r="A6" s="148" t="s">
        <v>308</v>
      </c>
      <c r="B6" s="149" t="s">
        <v>309</v>
      </c>
      <c r="C6" s="150">
        <v>6600</v>
      </c>
    </row>
    <row r="7" spans="1:3" ht="15.75" x14ac:dyDescent="0.25">
      <c r="A7" s="148" t="s">
        <v>310</v>
      </c>
      <c r="B7" s="149" t="s">
        <v>311</v>
      </c>
      <c r="C7" s="150">
        <v>17300</v>
      </c>
    </row>
    <row r="8" spans="1:3" ht="15.75" x14ac:dyDescent="0.25">
      <c r="A8" s="151" t="s">
        <v>312</v>
      </c>
      <c r="B8" s="152" t="s">
        <v>313</v>
      </c>
      <c r="C8" s="153">
        <v>6000</v>
      </c>
    </row>
    <row r="9" spans="1:3" ht="31.5" x14ac:dyDescent="0.25">
      <c r="A9" s="151" t="s">
        <v>314</v>
      </c>
      <c r="B9" s="152" t="s">
        <v>315</v>
      </c>
      <c r="C9" s="153">
        <v>1500</v>
      </c>
    </row>
    <row r="10" spans="1:3" ht="15.75" x14ac:dyDescent="0.25">
      <c r="A10" s="151" t="s">
        <v>316</v>
      </c>
      <c r="B10" s="152" t="s">
        <v>317</v>
      </c>
      <c r="C10" s="153">
        <v>2718</v>
      </c>
    </row>
    <row r="11" spans="1:3" ht="31.5" x14ac:dyDescent="0.25">
      <c r="A11" s="151" t="s">
        <v>318</v>
      </c>
      <c r="B11" s="149" t="s">
        <v>319</v>
      </c>
      <c r="C11" s="150">
        <v>11000</v>
      </c>
    </row>
    <row r="12" spans="1:3" ht="8.25" customHeight="1" x14ac:dyDescent="0.25">
      <c r="A12" s="144"/>
      <c r="B12" s="144"/>
      <c r="C12" s="144"/>
    </row>
    <row r="13" spans="1:3" ht="15.75" x14ac:dyDescent="0.25">
      <c r="A13" s="154" t="s">
        <v>320</v>
      </c>
      <c r="B13" s="144"/>
      <c r="C13" s="144"/>
    </row>
    <row r="14" spans="1:3" ht="15.75" x14ac:dyDescent="0.25">
      <c r="A14" s="154" t="s">
        <v>321</v>
      </c>
      <c r="B14" s="144"/>
      <c r="C14" s="144"/>
    </row>
    <row r="15" spans="1:3" ht="37.5" customHeight="1" x14ac:dyDescent="0.2">
      <c r="A15" s="677" t="s">
        <v>322</v>
      </c>
      <c r="B15" s="677"/>
      <c r="C15" s="677"/>
    </row>
    <row r="16" spans="1:3" ht="51" customHeight="1" x14ac:dyDescent="0.2">
      <c r="A16" s="677" t="s">
        <v>733</v>
      </c>
      <c r="B16" s="677"/>
      <c r="C16" s="677"/>
    </row>
    <row r="17" spans="1:3" ht="9.75" customHeight="1" x14ac:dyDescent="0.25">
      <c r="A17" s="154"/>
      <c r="B17" s="144"/>
      <c r="C17" s="144"/>
    </row>
    <row r="18" spans="1:3" ht="15.75" x14ac:dyDescent="0.25">
      <c r="A18" s="154" t="s">
        <v>323</v>
      </c>
      <c r="B18" s="144"/>
      <c r="C18" s="144"/>
    </row>
    <row r="19" spans="1:3" ht="8.25" customHeight="1" x14ac:dyDescent="0.25">
      <c r="B19" s="144"/>
      <c r="C19" s="144"/>
    </row>
    <row r="20" spans="1:3" x14ac:dyDescent="0.2">
      <c r="A20" s="678" t="s">
        <v>324</v>
      </c>
      <c r="B20" s="678"/>
      <c r="C20" s="678"/>
    </row>
    <row r="21" spans="1:3" ht="25.5" customHeight="1" x14ac:dyDescent="0.2">
      <c r="A21" s="675" t="s">
        <v>325</v>
      </c>
      <c r="B21" s="675"/>
      <c r="C21" s="675"/>
    </row>
    <row r="22" spans="1:3" x14ac:dyDescent="0.2">
      <c r="A22" s="9" t="s">
        <v>1055</v>
      </c>
    </row>
    <row r="23" spans="1:3" ht="25.5" customHeight="1" x14ac:dyDescent="0.2">
      <c r="A23" s="675" t="s">
        <v>326</v>
      </c>
      <c r="B23" s="675"/>
      <c r="C23" s="675"/>
    </row>
    <row r="24" spans="1:3" x14ac:dyDescent="0.2">
      <c r="A24" s="675" t="s">
        <v>731</v>
      </c>
      <c r="B24" s="675"/>
      <c r="C24" s="675"/>
    </row>
    <row r="25" spans="1:3" x14ac:dyDescent="0.2">
      <c r="A25" s="675" t="s">
        <v>388</v>
      </c>
      <c r="B25" s="679"/>
      <c r="C25" s="679"/>
    </row>
    <row r="26" spans="1:3" x14ac:dyDescent="0.2">
      <c r="A26" s="675" t="s">
        <v>732</v>
      </c>
      <c r="B26" s="679"/>
      <c r="C26" s="679"/>
    </row>
    <row r="27" spans="1:3" x14ac:dyDescent="0.2">
      <c r="A27" s="155"/>
      <c r="B27" s="155"/>
      <c r="C27" s="155"/>
    </row>
    <row r="28" spans="1:3" x14ac:dyDescent="0.2">
      <c r="A28" s="238" t="s">
        <v>327</v>
      </c>
      <c r="B28" s="155"/>
      <c r="C28" s="155"/>
    </row>
    <row r="29" spans="1:3" ht="30" customHeight="1" x14ac:dyDescent="0.2">
      <c r="A29" s="675" t="s">
        <v>328</v>
      </c>
      <c r="B29" s="675"/>
      <c r="C29" s="675"/>
    </row>
    <row r="30" spans="1:3" x14ac:dyDescent="0.2">
      <c r="A30" s="155"/>
      <c r="B30" s="155"/>
      <c r="C30" s="155"/>
    </row>
    <row r="31" spans="1:3" x14ac:dyDescent="0.2">
      <c r="A31" s="156" t="s">
        <v>329</v>
      </c>
    </row>
    <row r="32" spans="1:3" x14ac:dyDescent="0.2">
      <c r="A32" s="675" t="s">
        <v>330</v>
      </c>
      <c r="B32" s="675"/>
      <c r="C32" s="675"/>
    </row>
    <row r="33" spans="1:3" x14ac:dyDescent="0.2">
      <c r="A33" s="157" t="s">
        <v>331</v>
      </c>
    </row>
    <row r="34" spans="1:3" x14ac:dyDescent="0.2">
      <c r="A34" s="157"/>
    </row>
    <row r="35" spans="1:3" x14ac:dyDescent="0.2">
      <c r="A35" s="154" t="s">
        <v>332</v>
      </c>
      <c r="B35" s="154"/>
      <c r="C35" s="154"/>
    </row>
    <row r="36" spans="1:3" ht="26.25" customHeight="1" x14ac:dyDescent="0.2">
      <c r="A36" s="675" t="s">
        <v>333</v>
      </c>
      <c r="B36" s="675"/>
      <c r="C36" s="675"/>
    </row>
    <row r="38" spans="1:3" x14ac:dyDescent="0.2">
      <c r="A38" s="154" t="s">
        <v>334</v>
      </c>
      <c r="B38" s="154"/>
      <c r="C38" s="154"/>
    </row>
    <row r="39" spans="1:3" x14ac:dyDescent="0.2">
      <c r="A39" s="154"/>
      <c r="B39" s="154"/>
      <c r="C39" s="154"/>
    </row>
    <row r="40" spans="1:3" x14ac:dyDescent="0.2">
      <c r="A40" s="158" t="s">
        <v>335</v>
      </c>
      <c r="B40" s="158" t="s">
        <v>336</v>
      </c>
      <c r="C40" s="158" t="s">
        <v>337</v>
      </c>
    </row>
    <row r="41" spans="1:3" ht="51" x14ac:dyDescent="0.2">
      <c r="A41" s="345" t="s">
        <v>338</v>
      </c>
      <c r="B41" s="346" t="s">
        <v>339</v>
      </c>
      <c r="C41" s="346" t="s">
        <v>340</v>
      </c>
    </row>
    <row r="42" spans="1:3" ht="25.5" x14ac:dyDescent="0.2">
      <c r="A42" s="346" t="s">
        <v>725</v>
      </c>
      <c r="B42" s="346" t="s">
        <v>344</v>
      </c>
      <c r="C42" s="346" t="s">
        <v>345</v>
      </c>
    </row>
    <row r="43" spans="1:3" ht="76.5" x14ac:dyDescent="0.2">
      <c r="A43" s="346" t="s">
        <v>737</v>
      </c>
      <c r="B43" s="346" t="s">
        <v>739</v>
      </c>
      <c r="C43" s="346" t="s">
        <v>738</v>
      </c>
    </row>
    <row r="44" spans="1:3" ht="76.5" x14ac:dyDescent="0.2">
      <c r="A44" s="346" t="s">
        <v>734</v>
      </c>
      <c r="B44" s="346" t="s">
        <v>736</v>
      </c>
      <c r="C44" s="346" t="s">
        <v>735</v>
      </c>
    </row>
    <row r="45" spans="1:3" ht="127.5" x14ac:dyDescent="0.2">
      <c r="A45" s="345" t="s">
        <v>729</v>
      </c>
      <c r="B45" s="346" t="s">
        <v>730</v>
      </c>
      <c r="C45" s="346" t="s">
        <v>341</v>
      </c>
    </row>
    <row r="46" spans="1:3" ht="51" x14ac:dyDescent="0.2">
      <c r="A46" s="346" t="s">
        <v>726</v>
      </c>
      <c r="B46" s="346" t="s">
        <v>728</v>
      </c>
      <c r="C46" s="346" t="s">
        <v>727</v>
      </c>
    </row>
    <row r="47" spans="1:3" ht="25.5" x14ac:dyDescent="0.2">
      <c r="A47" s="346" t="s">
        <v>723</v>
      </c>
      <c r="B47" s="346" t="s">
        <v>724</v>
      </c>
      <c r="C47" s="345" t="s">
        <v>343</v>
      </c>
    </row>
    <row r="48" spans="1:3" ht="89.25" x14ac:dyDescent="0.2">
      <c r="A48" s="346" t="s">
        <v>720</v>
      </c>
      <c r="B48" s="346" t="s">
        <v>722</v>
      </c>
      <c r="C48" s="346" t="s">
        <v>721</v>
      </c>
    </row>
    <row r="49" spans="1:3" ht="51" x14ac:dyDescent="0.2">
      <c r="A49" s="346" t="s">
        <v>718</v>
      </c>
      <c r="B49" s="346" t="s">
        <v>719</v>
      </c>
      <c r="C49" s="345" t="s">
        <v>342</v>
      </c>
    </row>
    <row r="50" spans="1:3" ht="51" x14ac:dyDescent="0.2">
      <c r="A50" s="346" t="s">
        <v>718</v>
      </c>
      <c r="B50" s="346" t="s">
        <v>717</v>
      </c>
      <c r="C50" s="347" t="s">
        <v>387</v>
      </c>
    </row>
  </sheetData>
  <mergeCells count="12">
    <mergeCell ref="A29:C29"/>
    <mergeCell ref="A32:C32"/>
    <mergeCell ref="A36:C36"/>
    <mergeCell ref="A1:C1"/>
    <mergeCell ref="A15:C15"/>
    <mergeCell ref="A20:C20"/>
    <mergeCell ref="A21:C21"/>
    <mergeCell ref="A23:C23"/>
    <mergeCell ref="A24:C24"/>
    <mergeCell ref="A25:C25"/>
    <mergeCell ref="A26:C26"/>
    <mergeCell ref="A16:C1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F3A6-A867-4B17-96DE-81E3748A2352}">
  <dimension ref="A1:Q41"/>
  <sheetViews>
    <sheetView view="pageBreakPreview" zoomScaleNormal="100" zoomScaleSheetLayoutView="100" workbookViewId="0">
      <selection activeCell="O8" sqref="O8"/>
    </sheetView>
  </sheetViews>
  <sheetFormatPr defaultColWidth="8" defaultRowHeight="12.75" x14ac:dyDescent="0.2"/>
  <cols>
    <col min="1" max="1" width="2.85546875" style="161" customWidth="1"/>
    <col min="2" max="2" width="32.42578125" style="161" bestFit="1" customWidth="1"/>
    <col min="3" max="3" width="9.85546875" style="161" bestFit="1" customWidth="1"/>
    <col min="4" max="4" width="8.85546875" style="161" bestFit="1" customWidth="1"/>
    <col min="5" max="5" width="7.42578125" style="161" bestFit="1" customWidth="1"/>
    <col min="6" max="6" width="8.7109375" style="161" customWidth="1"/>
    <col min="7" max="7" width="8" style="161" bestFit="1" customWidth="1"/>
    <col min="8" max="8" width="8.28515625" style="161" customWidth="1"/>
    <col min="9" max="9" width="9.7109375" style="161" customWidth="1"/>
    <col min="10" max="10" width="8.85546875" style="161" bestFit="1" customWidth="1"/>
    <col min="11" max="14" width="8.42578125" style="161" bestFit="1" customWidth="1"/>
    <col min="15" max="15" width="8.85546875" style="161" customWidth="1"/>
    <col min="16" max="16" width="10.140625" style="161" bestFit="1" customWidth="1"/>
    <col min="17" max="17" width="8" style="162"/>
    <col min="18" max="256" width="8" style="161"/>
    <col min="257" max="257" width="2.85546875" style="161" customWidth="1"/>
    <col min="258" max="258" width="32.42578125" style="161" bestFit="1" customWidth="1"/>
    <col min="259" max="259" width="9.85546875" style="161" bestFit="1" customWidth="1"/>
    <col min="260" max="260" width="8.85546875" style="161" bestFit="1" customWidth="1"/>
    <col min="261" max="261" width="7.42578125" style="161" bestFit="1" customWidth="1"/>
    <col min="262" max="262" width="8.7109375" style="161" customWidth="1"/>
    <col min="263" max="263" width="8" style="161" bestFit="1" customWidth="1"/>
    <col min="264" max="265" width="7.42578125" style="161" bestFit="1" customWidth="1"/>
    <col min="266" max="266" width="8.85546875" style="161" bestFit="1" customWidth="1"/>
    <col min="267" max="270" width="8.42578125" style="161" bestFit="1" customWidth="1"/>
    <col min="271" max="271" width="8.85546875" style="161" customWidth="1"/>
    <col min="272" max="272" width="10.140625" style="161" bestFit="1" customWidth="1"/>
    <col min="273" max="512" width="8" style="161"/>
    <col min="513" max="513" width="2.85546875" style="161" customWidth="1"/>
    <col min="514" max="514" width="32.42578125" style="161" bestFit="1" customWidth="1"/>
    <col min="515" max="515" width="9.85546875" style="161" bestFit="1" customWidth="1"/>
    <col min="516" max="516" width="8.85546875" style="161" bestFit="1" customWidth="1"/>
    <col min="517" max="517" width="7.42578125" style="161" bestFit="1" customWidth="1"/>
    <col min="518" max="518" width="8.7109375" style="161" customWidth="1"/>
    <col min="519" max="519" width="8" style="161" bestFit="1" customWidth="1"/>
    <col min="520" max="521" width="7.42578125" style="161" bestFit="1" customWidth="1"/>
    <col min="522" max="522" width="8.85546875" style="161" bestFit="1" customWidth="1"/>
    <col min="523" max="526" width="8.42578125" style="161" bestFit="1" customWidth="1"/>
    <col min="527" max="527" width="8.85546875" style="161" customWidth="1"/>
    <col min="528" max="528" width="10.140625" style="161" bestFit="1" customWidth="1"/>
    <col min="529" max="768" width="8" style="161"/>
    <col min="769" max="769" width="2.85546875" style="161" customWidth="1"/>
    <col min="770" max="770" width="32.42578125" style="161" bestFit="1" customWidth="1"/>
    <col min="771" max="771" width="9.85546875" style="161" bestFit="1" customWidth="1"/>
    <col min="772" max="772" width="8.85546875" style="161" bestFit="1" customWidth="1"/>
    <col min="773" max="773" width="7.42578125" style="161" bestFit="1" customWidth="1"/>
    <col min="774" max="774" width="8.7109375" style="161" customWidth="1"/>
    <col min="775" max="775" width="8" style="161" bestFit="1" customWidth="1"/>
    <col min="776" max="777" width="7.42578125" style="161" bestFit="1" customWidth="1"/>
    <col min="778" max="778" width="8.85546875" style="161" bestFit="1" customWidth="1"/>
    <col min="779" max="782" width="8.42578125" style="161" bestFit="1" customWidth="1"/>
    <col min="783" max="783" width="8.85546875" style="161" customWidth="1"/>
    <col min="784" max="784" width="10.140625" style="161" bestFit="1" customWidth="1"/>
    <col min="785" max="1024" width="8" style="161"/>
    <col min="1025" max="1025" width="2.85546875" style="161" customWidth="1"/>
    <col min="1026" max="1026" width="32.42578125" style="161" bestFit="1" customWidth="1"/>
    <col min="1027" max="1027" width="9.85546875" style="161" bestFit="1" customWidth="1"/>
    <col min="1028" max="1028" width="8.85546875" style="161" bestFit="1" customWidth="1"/>
    <col min="1029" max="1029" width="7.42578125" style="161" bestFit="1" customWidth="1"/>
    <col min="1030" max="1030" width="8.7109375" style="161" customWidth="1"/>
    <col min="1031" max="1031" width="8" style="161" bestFit="1" customWidth="1"/>
    <col min="1032" max="1033" width="7.42578125" style="161" bestFit="1" customWidth="1"/>
    <col min="1034" max="1034" width="8.85546875" style="161" bestFit="1" customWidth="1"/>
    <col min="1035" max="1038" width="8.42578125" style="161" bestFit="1" customWidth="1"/>
    <col min="1039" max="1039" width="8.85546875" style="161" customWidth="1"/>
    <col min="1040" max="1040" width="10.140625" style="161" bestFit="1" customWidth="1"/>
    <col min="1041" max="1280" width="8" style="161"/>
    <col min="1281" max="1281" width="2.85546875" style="161" customWidth="1"/>
    <col min="1282" max="1282" width="32.42578125" style="161" bestFit="1" customWidth="1"/>
    <col min="1283" max="1283" width="9.85546875" style="161" bestFit="1" customWidth="1"/>
    <col min="1284" max="1284" width="8.85546875" style="161" bestFit="1" customWidth="1"/>
    <col min="1285" max="1285" width="7.42578125" style="161" bestFit="1" customWidth="1"/>
    <col min="1286" max="1286" width="8.7109375" style="161" customWidth="1"/>
    <col min="1287" max="1287" width="8" style="161" bestFit="1" customWidth="1"/>
    <col min="1288" max="1289" width="7.42578125" style="161" bestFit="1" customWidth="1"/>
    <col min="1290" max="1290" width="8.85546875" style="161" bestFit="1" customWidth="1"/>
    <col min="1291" max="1294" width="8.42578125" style="161" bestFit="1" customWidth="1"/>
    <col min="1295" max="1295" width="8.85546875" style="161" customWidth="1"/>
    <col min="1296" max="1296" width="10.140625" style="161" bestFit="1" customWidth="1"/>
    <col min="1297" max="1536" width="8" style="161"/>
    <col min="1537" max="1537" width="2.85546875" style="161" customWidth="1"/>
    <col min="1538" max="1538" width="32.42578125" style="161" bestFit="1" customWidth="1"/>
    <col min="1539" max="1539" width="9.85546875" style="161" bestFit="1" customWidth="1"/>
    <col min="1540" max="1540" width="8.85546875" style="161" bestFit="1" customWidth="1"/>
    <col min="1541" max="1541" width="7.42578125" style="161" bestFit="1" customWidth="1"/>
    <col min="1542" max="1542" width="8.7109375" style="161" customWidth="1"/>
    <col min="1543" max="1543" width="8" style="161" bestFit="1" customWidth="1"/>
    <col min="1544" max="1545" width="7.42578125" style="161" bestFit="1" customWidth="1"/>
    <col min="1546" max="1546" width="8.85546875" style="161" bestFit="1" customWidth="1"/>
    <col min="1547" max="1550" width="8.42578125" style="161" bestFit="1" customWidth="1"/>
    <col min="1551" max="1551" width="8.85546875" style="161" customWidth="1"/>
    <col min="1552" max="1552" width="10.140625" style="161" bestFit="1" customWidth="1"/>
    <col min="1553" max="1792" width="8" style="161"/>
    <col min="1793" max="1793" width="2.85546875" style="161" customWidth="1"/>
    <col min="1794" max="1794" width="32.42578125" style="161" bestFit="1" customWidth="1"/>
    <col min="1795" max="1795" width="9.85546875" style="161" bestFit="1" customWidth="1"/>
    <col min="1796" max="1796" width="8.85546875" style="161" bestFit="1" customWidth="1"/>
    <col min="1797" max="1797" width="7.42578125" style="161" bestFit="1" customWidth="1"/>
    <col min="1798" max="1798" width="8.7109375" style="161" customWidth="1"/>
    <col min="1799" max="1799" width="8" style="161" bestFit="1" customWidth="1"/>
    <col min="1800" max="1801" width="7.42578125" style="161" bestFit="1" customWidth="1"/>
    <col min="1802" max="1802" width="8.85546875" style="161" bestFit="1" customWidth="1"/>
    <col min="1803" max="1806" width="8.42578125" style="161" bestFit="1" customWidth="1"/>
    <col min="1807" max="1807" width="8.85546875" style="161" customWidth="1"/>
    <col min="1808" max="1808" width="10.140625" style="161" bestFit="1" customWidth="1"/>
    <col min="1809" max="2048" width="8" style="161"/>
    <col min="2049" max="2049" width="2.85546875" style="161" customWidth="1"/>
    <col min="2050" max="2050" width="32.42578125" style="161" bestFit="1" customWidth="1"/>
    <col min="2051" max="2051" width="9.85546875" style="161" bestFit="1" customWidth="1"/>
    <col min="2052" max="2052" width="8.85546875" style="161" bestFit="1" customWidth="1"/>
    <col min="2053" max="2053" width="7.42578125" style="161" bestFit="1" customWidth="1"/>
    <col min="2054" max="2054" width="8.7109375" style="161" customWidth="1"/>
    <col min="2055" max="2055" width="8" style="161" bestFit="1" customWidth="1"/>
    <col min="2056" max="2057" width="7.42578125" style="161" bestFit="1" customWidth="1"/>
    <col min="2058" max="2058" width="8.85546875" style="161" bestFit="1" customWidth="1"/>
    <col min="2059" max="2062" width="8.42578125" style="161" bestFit="1" customWidth="1"/>
    <col min="2063" max="2063" width="8.85546875" style="161" customWidth="1"/>
    <col min="2064" max="2064" width="10.140625" style="161" bestFit="1" customWidth="1"/>
    <col min="2065" max="2304" width="8" style="161"/>
    <col min="2305" max="2305" width="2.85546875" style="161" customWidth="1"/>
    <col min="2306" max="2306" width="32.42578125" style="161" bestFit="1" customWidth="1"/>
    <col min="2307" max="2307" width="9.85546875" style="161" bestFit="1" customWidth="1"/>
    <col min="2308" max="2308" width="8.85546875" style="161" bestFit="1" customWidth="1"/>
    <col min="2309" max="2309" width="7.42578125" style="161" bestFit="1" customWidth="1"/>
    <col min="2310" max="2310" width="8.7109375" style="161" customWidth="1"/>
    <col min="2311" max="2311" width="8" style="161" bestFit="1" customWidth="1"/>
    <col min="2312" max="2313" width="7.42578125" style="161" bestFit="1" customWidth="1"/>
    <col min="2314" max="2314" width="8.85546875" style="161" bestFit="1" customWidth="1"/>
    <col min="2315" max="2318" width="8.42578125" style="161" bestFit="1" customWidth="1"/>
    <col min="2319" max="2319" width="8.85546875" style="161" customWidth="1"/>
    <col min="2320" max="2320" width="10.140625" style="161" bestFit="1" customWidth="1"/>
    <col min="2321" max="2560" width="8" style="161"/>
    <col min="2561" max="2561" width="2.85546875" style="161" customWidth="1"/>
    <col min="2562" max="2562" width="32.42578125" style="161" bestFit="1" customWidth="1"/>
    <col min="2563" max="2563" width="9.85546875" style="161" bestFit="1" customWidth="1"/>
    <col min="2564" max="2564" width="8.85546875" style="161" bestFit="1" customWidth="1"/>
    <col min="2565" max="2565" width="7.42578125" style="161" bestFit="1" customWidth="1"/>
    <col min="2566" max="2566" width="8.7109375" style="161" customWidth="1"/>
    <col min="2567" max="2567" width="8" style="161" bestFit="1" customWidth="1"/>
    <col min="2568" max="2569" width="7.42578125" style="161" bestFit="1" customWidth="1"/>
    <col min="2570" max="2570" width="8.85546875" style="161" bestFit="1" customWidth="1"/>
    <col min="2571" max="2574" width="8.42578125" style="161" bestFit="1" customWidth="1"/>
    <col min="2575" max="2575" width="8.85546875" style="161" customWidth="1"/>
    <col min="2576" max="2576" width="10.140625" style="161" bestFit="1" customWidth="1"/>
    <col min="2577" max="2816" width="8" style="161"/>
    <col min="2817" max="2817" width="2.85546875" style="161" customWidth="1"/>
    <col min="2818" max="2818" width="32.42578125" style="161" bestFit="1" customWidth="1"/>
    <col min="2819" max="2819" width="9.85546875" style="161" bestFit="1" customWidth="1"/>
    <col min="2820" max="2820" width="8.85546875" style="161" bestFit="1" customWidth="1"/>
    <col min="2821" max="2821" width="7.42578125" style="161" bestFit="1" customWidth="1"/>
    <col min="2822" max="2822" width="8.7109375" style="161" customWidth="1"/>
    <col min="2823" max="2823" width="8" style="161" bestFit="1" customWidth="1"/>
    <col min="2824" max="2825" width="7.42578125" style="161" bestFit="1" customWidth="1"/>
    <col min="2826" max="2826" width="8.85546875" style="161" bestFit="1" customWidth="1"/>
    <col min="2827" max="2830" width="8.42578125" style="161" bestFit="1" customWidth="1"/>
    <col min="2831" max="2831" width="8.85546875" style="161" customWidth="1"/>
    <col min="2832" max="2832" width="10.140625" style="161" bestFit="1" customWidth="1"/>
    <col min="2833" max="3072" width="8" style="161"/>
    <col min="3073" max="3073" width="2.85546875" style="161" customWidth="1"/>
    <col min="3074" max="3074" width="32.42578125" style="161" bestFit="1" customWidth="1"/>
    <col min="3075" max="3075" width="9.85546875" style="161" bestFit="1" customWidth="1"/>
    <col min="3076" max="3076" width="8.85546875" style="161" bestFit="1" customWidth="1"/>
    <col min="3077" max="3077" width="7.42578125" style="161" bestFit="1" customWidth="1"/>
    <col min="3078" max="3078" width="8.7109375" style="161" customWidth="1"/>
    <col min="3079" max="3079" width="8" style="161" bestFit="1" customWidth="1"/>
    <col min="3080" max="3081" width="7.42578125" style="161" bestFit="1" customWidth="1"/>
    <col min="3082" max="3082" width="8.85546875" style="161" bestFit="1" customWidth="1"/>
    <col min="3083" max="3086" width="8.42578125" style="161" bestFit="1" customWidth="1"/>
    <col min="3087" max="3087" width="8.85546875" style="161" customWidth="1"/>
    <col min="3088" max="3088" width="10.140625" style="161" bestFit="1" customWidth="1"/>
    <col min="3089" max="3328" width="8" style="161"/>
    <col min="3329" max="3329" width="2.85546875" style="161" customWidth="1"/>
    <col min="3330" max="3330" width="32.42578125" style="161" bestFit="1" customWidth="1"/>
    <col min="3331" max="3331" width="9.85546875" style="161" bestFit="1" customWidth="1"/>
    <col min="3332" max="3332" width="8.85546875" style="161" bestFit="1" customWidth="1"/>
    <col min="3333" max="3333" width="7.42578125" style="161" bestFit="1" customWidth="1"/>
    <col min="3334" max="3334" width="8.7109375" style="161" customWidth="1"/>
    <col min="3335" max="3335" width="8" style="161" bestFit="1" customWidth="1"/>
    <col min="3336" max="3337" width="7.42578125" style="161" bestFit="1" customWidth="1"/>
    <col min="3338" max="3338" width="8.85546875" style="161" bestFit="1" customWidth="1"/>
    <col min="3339" max="3342" width="8.42578125" style="161" bestFit="1" customWidth="1"/>
    <col min="3343" max="3343" width="8.85546875" style="161" customWidth="1"/>
    <col min="3344" max="3344" width="10.140625" style="161" bestFit="1" customWidth="1"/>
    <col min="3345" max="3584" width="8" style="161"/>
    <col min="3585" max="3585" width="2.85546875" style="161" customWidth="1"/>
    <col min="3586" max="3586" width="32.42578125" style="161" bestFit="1" customWidth="1"/>
    <col min="3587" max="3587" width="9.85546875" style="161" bestFit="1" customWidth="1"/>
    <col min="3588" max="3588" width="8.85546875" style="161" bestFit="1" customWidth="1"/>
    <col min="3589" max="3589" width="7.42578125" style="161" bestFit="1" customWidth="1"/>
    <col min="3590" max="3590" width="8.7109375" style="161" customWidth="1"/>
    <col min="3591" max="3591" width="8" style="161" bestFit="1" customWidth="1"/>
    <col min="3592" max="3593" width="7.42578125" style="161" bestFit="1" customWidth="1"/>
    <col min="3594" max="3594" width="8.85546875" style="161" bestFit="1" customWidth="1"/>
    <col min="3595" max="3598" width="8.42578125" style="161" bestFit="1" customWidth="1"/>
    <col min="3599" max="3599" width="8.85546875" style="161" customWidth="1"/>
    <col min="3600" max="3600" width="10.140625" style="161" bestFit="1" customWidth="1"/>
    <col min="3601" max="3840" width="8" style="161"/>
    <col min="3841" max="3841" width="2.85546875" style="161" customWidth="1"/>
    <col min="3842" max="3842" width="32.42578125" style="161" bestFit="1" customWidth="1"/>
    <col min="3843" max="3843" width="9.85546875" style="161" bestFit="1" customWidth="1"/>
    <col min="3844" max="3844" width="8.85546875" style="161" bestFit="1" customWidth="1"/>
    <col min="3845" max="3845" width="7.42578125" style="161" bestFit="1" customWidth="1"/>
    <col min="3846" max="3846" width="8.7109375" style="161" customWidth="1"/>
    <col min="3847" max="3847" width="8" style="161" bestFit="1" customWidth="1"/>
    <col min="3848" max="3849" width="7.42578125" style="161" bestFit="1" customWidth="1"/>
    <col min="3850" max="3850" width="8.85546875" style="161" bestFit="1" customWidth="1"/>
    <col min="3851" max="3854" width="8.42578125" style="161" bestFit="1" customWidth="1"/>
    <col min="3855" max="3855" width="8.85546875" style="161" customWidth="1"/>
    <col min="3856" max="3856" width="10.140625" style="161" bestFit="1" customWidth="1"/>
    <col min="3857" max="4096" width="8" style="161"/>
    <col min="4097" max="4097" width="2.85546875" style="161" customWidth="1"/>
    <col min="4098" max="4098" width="32.42578125" style="161" bestFit="1" customWidth="1"/>
    <col min="4099" max="4099" width="9.85546875" style="161" bestFit="1" customWidth="1"/>
    <col min="4100" max="4100" width="8.85546875" style="161" bestFit="1" customWidth="1"/>
    <col min="4101" max="4101" width="7.42578125" style="161" bestFit="1" customWidth="1"/>
    <col min="4102" max="4102" width="8.7109375" style="161" customWidth="1"/>
    <col min="4103" max="4103" width="8" style="161" bestFit="1" customWidth="1"/>
    <col min="4104" max="4105" width="7.42578125" style="161" bestFit="1" customWidth="1"/>
    <col min="4106" max="4106" width="8.85546875" style="161" bestFit="1" customWidth="1"/>
    <col min="4107" max="4110" width="8.42578125" style="161" bestFit="1" customWidth="1"/>
    <col min="4111" max="4111" width="8.85546875" style="161" customWidth="1"/>
    <col min="4112" max="4112" width="10.140625" style="161" bestFit="1" customWidth="1"/>
    <col min="4113" max="4352" width="8" style="161"/>
    <col min="4353" max="4353" width="2.85546875" style="161" customWidth="1"/>
    <col min="4354" max="4354" width="32.42578125" style="161" bestFit="1" customWidth="1"/>
    <col min="4355" max="4355" width="9.85546875" style="161" bestFit="1" customWidth="1"/>
    <col min="4356" max="4356" width="8.85546875" style="161" bestFit="1" customWidth="1"/>
    <col min="4357" max="4357" width="7.42578125" style="161" bestFit="1" customWidth="1"/>
    <col min="4358" max="4358" width="8.7109375" style="161" customWidth="1"/>
    <col min="4359" max="4359" width="8" style="161" bestFit="1" customWidth="1"/>
    <col min="4360" max="4361" width="7.42578125" style="161" bestFit="1" customWidth="1"/>
    <col min="4362" max="4362" width="8.85546875" style="161" bestFit="1" customWidth="1"/>
    <col min="4363" max="4366" width="8.42578125" style="161" bestFit="1" customWidth="1"/>
    <col min="4367" max="4367" width="8.85546875" style="161" customWidth="1"/>
    <col min="4368" max="4368" width="10.140625" style="161" bestFit="1" customWidth="1"/>
    <col min="4369" max="4608" width="8" style="161"/>
    <col min="4609" max="4609" width="2.85546875" style="161" customWidth="1"/>
    <col min="4610" max="4610" width="32.42578125" style="161" bestFit="1" customWidth="1"/>
    <col min="4611" max="4611" width="9.85546875" style="161" bestFit="1" customWidth="1"/>
    <col min="4612" max="4612" width="8.85546875" style="161" bestFit="1" customWidth="1"/>
    <col min="4613" max="4613" width="7.42578125" style="161" bestFit="1" customWidth="1"/>
    <col min="4614" max="4614" width="8.7109375" style="161" customWidth="1"/>
    <col min="4615" max="4615" width="8" style="161" bestFit="1" customWidth="1"/>
    <col min="4616" max="4617" width="7.42578125" style="161" bestFit="1" customWidth="1"/>
    <col min="4618" max="4618" width="8.85546875" style="161" bestFit="1" customWidth="1"/>
    <col min="4619" max="4622" width="8.42578125" style="161" bestFit="1" customWidth="1"/>
    <col min="4623" max="4623" width="8.85546875" style="161" customWidth="1"/>
    <col min="4624" max="4624" width="10.140625" style="161" bestFit="1" customWidth="1"/>
    <col min="4625" max="4864" width="8" style="161"/>
    <col min="4865" max="4865" width="2.85546875" style="161" customWidth="1"/>
    <col min="4866" max="4866" width="32.42578125" style="161" bestFit="1" customWidth="1"/>
    <col min="4867" max="4867" width="9.85546875" style="161" bestFit="1" customWidth="1"/>
    <col min="4868" max="4868" width="8.85546875" style="161" bestFit="1" customWidth="1"/>
    <col min="4869" max="4869" width="7.42578125" style="161" bestFit="1" customWidth="1"/>
    <col min="4870" max="4870" width="8.7109375" style="161" customWidth="1"/>
    <col min="4871" max="4871" width="8" style="161" bestFit="1" customWidth="1"/>
    <col min="4872" max="4873" width="7.42578125" style="161" bestFit="1" customWidth="1"/>
    <col min="4874" max="4874" width="8.85546875" style="161" bestFit="1" customWidth="1"/>
    <col min="4875" max="4878" width="8.42578125" style="161" bestFit="1" customWidth="1"/>
    <col min="4879" max="4879" width="8.85546875" style="161" customWidth="1"/>
    <col min="4880" max="4880" width="10.140625" style="161" bestFit="1" customWidth="1"/>
    <col min="4881" max="5120" width="8" style="161"/>
    <col min="5121" max="5121" width="2.85546875" style="161" customWidth="1"/>
    <col min="5122" max="5122" width="32.42578125" style="161" bestFit="1" customWidth="1"/>
    <col min="5123" max="5123" width="9.85546875" style="161" bestFit="1" customWidth="1"/>
    <col min="5124" max="5124" width="8.85546875" style="161" bestFit="1" customWidth="1"/>
    <col min="5125" max="5125" width="7.42578125" style="161" bestFit="1" customWidth="1"/>
    <col min="5126" max="5126" width="8.7109375" style="161" customWidth="1"/>
    <col min="5127" max="5127" width="8" style="161" bestFit="1" customWidth="1"/>
    <col min="5128" max="5129" width="7.42578125" style="161" bestFit="1" customWidth="1"/>
    <col min="5130" max="5130" width="8.85546875" style="161" bestFit="1" customWidth="1"/>
    <col min="5131" max="5134" width="8.42578125" style="161" bestFit="1" customWidth="1"/>
    <col min="5135" max="5135" width="8.85546875" style="161" customWidth="1"/>
    <col min="5136" max="5136" width="10.140625" style="161" bestFit="1" customWidth="1"/>
    <col min="5137" max="5376" width="8" style="161"/>
    <col min="5377" max="5377" width="2.85546875" style="161" customWidth="1"/>
    <col min="5378" max="5378" width="32.42578125" style="161" bestFit="1" customWidth="1"/>
    <col min="5379" max="5379" width="9.85546875" style="161" bestFit="1" customWidth="1"/>
    <col min="5380" max="5380" width="8.85546875" style="161" bestFit="1" customWidth="1"/>
    <col min="5381" max="5381" width="7.42578125" style="161" bestFit="1" customWidth="1"/>
    <col min="5382" max="5382" width="8.7109375" style="161" customWidth="1"/>
    <col min="5383" max="5383" width="8" style="161" bestFit="1" customWidth="1"/>
    <col min="5384" max="5385" width="7.42578125" style="161" bestFit="1" customWidth="1"/>
    <col min="5386" max="5386" width="8.85546875" style="161" bestFit="1" customWidth="1"/>
    <col min="5387" max="5390" width="8.42578125" style="161" bestFit="1" customWidth="1"/>
    <col min="5391" max="5391" width="8.85546875" style="161" customWidth="1"/>
    <col min="5392" max="5392" width="10.140625" style="161" bestFit="1" customWidth="1"/>
    <col min="5393" max="5632" width="8" style="161"/>
    <col min="5633" max="5633" width="2.85546875" style="161" customWidth="1"/>
    <col min="5634" max="5634" width="32.42578125" style="161" bestFit="1" customWidth="1"/>
    <col min="5635" max="5635" width="9.85546875" style="161" bestFit="1" customWidth="1"/>
    <col min="5636" max="5636" width="8.85546875" style="161" bestFit="1" customWidth="1"/>
    <col min="5637" max="5637" width="7.42578125" style="161" bestFit="1" customWidth="1"/>
    <col min="5638" max="5638" width="8.7109375" style="161" customWidth="1"/>
    <col min="5639" max="5639" width="8" style="161" bestFit="1" customWidth="1"/>
    <col min="5640" max="5641" width="7.42578125" style="161" bestFit="1" customWidth="1"/>
    <col min="5642" max="5642" width="8.85546875" style="161" bestFit="1" customWidth="1"/>
    <col min="5643" max="5646" width="8.42578125" style="161" bestFit="1" customWidth="1"/>
    <col min="5647" max="5647" width="8.85546875" style="161" customWidth="1"/>
    <col min="5648" max="5648" width="10.140625" style="161" bestFit="1" customWidth="1"/>
    <col min="5649" max="5888" width="8" style="161"/>
    <col min="5889" max="5889" width="2.85546875" style="161" customWidth="1"/>
    <col min="5890" max="5890" width="32.42578125" style="161" bestFit="1" customWidth="1"/>
    <col min="5891" max="5891" width="9.85546875" style="161" bestFit="1" customWidth="1"/>
    <col min="5892" max="5892" width="8.85546875" style="161" bestFit="1" customWidth="1"/>
    <col min="5893" max="5893" width="7.42578125" style="161" bestFit="1" customWidth="1"/>
    <col min="5894" max="5894" width="8.7109375" style="161" customWidth="1"/>
    <col min="5895" max="5895" width="8" style="161" bestFit="1" customWidth="1"/>
    <col min="5896" max="5897" width="7.42578125" style="161" bestFit="1" customWidth="1"/>
    <col min="5898" max="5898" width="8.85546875" style="161" bestFit="1" customWidth="1"/>
    <col min="5899" max="5902" width="8.42578125" style="161" bestFit="1" customWidth="1"/>
    <col min="5903" max="5903" width="8.85546875" style="161" customWidth="1"/>
    <col min="5904" max="5904" width="10.140625" style="161" bestFit="1" customWidth="1"/>
    <col min="5905" max="6144" width="8" style="161"/>
    <col min="6145" max="6145" width="2.85546875" style="161" customWidth="1"/>
    <col min="6146" max="6146" width="32.42578125" style="161" bestFit="1" customWidth="1"/>
    <col min="6147" max="6147" width="9.85546875" style="161" bestFit="1" customWidth="1"/>
    <col min="6148" max="6148" width="8.85546875" style="161" bestFit="1" customWidth="1"/>
    <col min="6149" max="6149" width="7.42578125" style="161" bestFit="1" customWidth="1"/>
    <col min="6150" max="6150" width="8.7109375" style="161" customWidth="1"/>
    <col min="6151" max="6151" width="8" style="161" bestFit="1" customWidth="1"/>
    <col min="6152" max="6153" width="7.42578125" style="161" bestFit="1" customWidth="1"/>
    <col min="6154" max="6154" width="8.85546875" style="161" bestFit="1" customWidth="1"/>
    <col min="6155" max="6158" width="8.42578125" style="161" bestFit="1" customWidth="1"/>
    <col min="6159" max="6159" width="8.85546875" style="161" customWidth="1"/>
    <col min="6160" max="6160" width="10.140625" style="161" bestFit="1" customWidth="1"/>
    <col min="6161" max="6400" width="8" style="161"/>
    <col min="6401" max="6401" width="2.85546875" style="161" customWidth="1"/>
    <col min="6402" max="6402" width="32.42578125" style="161" bestFit="1" customWidth="1"/>
    <col min="6403" max="6403" width="9.85546875" style="161" bestFit="1" customWidth="1"/>
    <col min="6404" max="6404" width="8.85546875" style="161" bestFit="1" customWidth="1"/>
    <col min="6405" max="6405" width="7.42578125" style="161" bestFit="1" customWidth="1"/>
    <col min="6406" max="6406" width="8.7109375" style="161" customWidth="1"/>
    <col min="6407" max="6407" width="8" style="161" bestFit="1" customWidth="1"/>
    <col min="6408" max="6409" width="7.42578125" style="161" bestFit="1" customWidth="1"/>
    <col min="6410" max="6410" width="8.85546875" style="161" bestFit="1" customWidth="1"/>
    <col min="6411" max="6414" width="8.42578125" style="161" bestFit="1" customWidth="1"/>
    <col min="6415" max="6415" width="8.85546875" style="161" customWidth="1"/>
    <col min="6416" max="6416" width="10.140625" style="161" bestFit="1" customWidth="1"/>
    <col min="6417" max="6656" width="8" style="161"/>
    <col min="6657" max="6657" width="2.85546875" style="161" customWidth="1"/>
    <col min="6658" max="6658" width="32.42578125" style="161" bestFit="1" customWidth="1"/>
    <col min="6659" max="6659" width="9.85546875" style="161" bestFit="1" customWidth="1"/>
    <col min="6660" max="6660" width="8.85546875" style="161" bestFit="1" customWidth="1"/>
    <col min="6661" max="6661" width="7.42578125" style="161" bestFit="1" customWidth="1"/>
    <col min="6662" max="6662" width="8.7109375" style="161" customWidth="1"/>
    <col min="6663" max="6663" width="8" style="161" bestFit="1" customWidth="1"/>
    <col min="6664" max="6665" width="7.42578125" style="161" bestFit="1" customWidth="1"/>
    <col min="6666" max="6666" width="8.85546875" style="161" bestFit="1" customWidth="1"/>
    <col min="6667" max="6670" width="8.42578125" style="161" bestFit="1" customWidth="1"/>
    <col min="6671" max="6671" width="8.85546875" style="161" customWidth="1"/>
    <col min="6672" max="6672" width="10.140625" style="161" bestFit="1" customWidth="1"/>
    <col min="6673" max="6912" width="8" style="161"/>
    <col min="6913" max="6913" width="2.85546875" style="161" customWidth="1"/>
    <col min="6914" max="6914" width="32.42578125" style="161" bestFit="1" customWidth="1"/>
    <col min="6915" max="6915" width="9.85546875" style="161" bestFit="1" customWidth="1"/>
    <col min="6916" max="6916" width="8.85546875" style="161" bestFit="1" customWidth="1"/>
    <col min="6917" max="6917" width="7.42578125" style="161" bestFit="1" customWidth="1"/>
    <col min="6918" max="6918" width="8.7109375" style="161" customWidth="1"/>
    <col min="6919" max="6919" width="8" style="161" bestFit="1" customWidth="1"/>
    <col min="6920" max="6921" width="7.42578125" style="161" bestFit="1" customWidth="1"/>
    <col min="6922" max="6922" width="8.85546875" style="161" bestFit="1" customWidth="1"/>
    <col min="6923" max="6926" width="8.42578125" style="161" bestFit="1" customWidth="1"/>
    <col min="6927" max="6927" width="8.85546875" style="161" customWidth="1"/>
    <col min="6928" max="6928" width="10.140625" style="161" bestFit="1" customWidth="1"/>
    <col min="6929" max="7168" width="8" style="161"/>
    <col min="7169" max="7169" width="2.85546875" style="161" customWidth="1"/>
    <col min="7170" max="7170" width="32.42578125" style="161" bestFit="1" customWidth="1"/>
    <col min="7171" max="7171" width="9.85546875" style="161" bestFit="1" customWidth="1"/>
    <col min="7172" max="7172" width="8.85546875" style="161" bestFit="1" customWidth="1"/>
    <col min="7173" max="7173" width="7.42578125" style="161" bestFit="1" customWidth="1"/>
    <col min="7174" max="7174" width="8.7109375" style="161" customWidth="1"/>
    <col min="7175" max="7175" width="8" style="161" bestFit="1" customWidth="1"/>
    <col min="7176" max="7177" width="7.42578125" style="161" bestFit="1" customWidth="1"/>
    <col min="7178" max="7178" width="8.85546875" style="161" bestFit="1" customWidth="1"/>
    <col min="7179" max="7182" width="8.42578125" style="161" bestFit="1" customWidth="1"/>
    <col min="7183" max="7183" width="8.85546875" style="161" customWidth="1"/>
    <col min="7184" max="7184" width="10.140625" style="161" bestFit="1" customWidth="1"/>
    <col min="7185" max="7424" width="8" style="161"/>
    <col min="7425" max="7425" width="2.85546875" style="161" customWidth="1"/>
    <col min="7426" max="7426" width="32.42578125" style="161" bestFit="1" customWidth="1"/>
    <col min="7427" max="7427" width="9.85546875" style="161" bestFit="1" customWidth="1"/>
    <col min="7428" max="7428" width="8.85546875" style="161" bestFit="1" customWidth="1"/>
    <col min="7429" max="7429" width="7.42578125" style="161" bestFit="1" customWidth="1"/>
    <col min="7430" max="7430" width="8.7109375" style="161" customWidth="1"/>
    <col min="7431" max="7431" width="8" style="161" bestFit="1" customWidth="1"/>
    <col min="7432" max="7433" width="7.42578125" style="161" bestFit="1" customWidth="1"/>
    <col min="7434" max="7434" width="8.85546875" style="161" bestFit="1" customWidth="1"/>
    <col min="7435" max="7438" width="8.42578125" style="161" bestFit="1" customWidth="1"/>
    <col min="7439" max="7439" width="8.85546875" style="161" customWidth="1"/>
    <col min="7440" max="7440" width="10.140625" style="161" bestFit="1" customWidth="1"/>
    <col min="7441" max="7680" width="8" style="161"/>
    <col min="7681" max="7681" width="2.85546875" style="161" customWidth="1"/>
    <col min="7682" max="7682" width="32.42578125" style="161" bestFit="1" customWidth="1"/>
    <col min="7683" max="7683" width="9.85546875" style="161" bestFit="1" customWidth="1"/>
    <col min="7684" max="7684" width="8.85546875" style="161" bestFit="1" customWidth="1"/>
    <col min="7685" max="7685" width="7.42578125" style="161" bestFit="1" customWidth="1"/>
    <col min="7686" max="7686" width="8.7109375" style="161" customWidth="1"/>
    <col min="7687" max="7687" width="8" style="161" bestFit="1" customWidth="1"/>
    <col min="7688" max="7689" width="7.42578125" style="161" bestFit="1" customWidth="1"/>
    <col min="7690" max="7690" width="8.85546875" style="161" bestFit="1" customWidth="1"/>
    <col min="7691" max="7694" width="8.42578125" style="161" bestFit="1" customWidth="1"/>
    <col min="7695" max="7695" width="8.85546875" style="161" customWidth="1"/>
    <col min="7696" max="7696" width="10.140625" style="161" bestFit="1" customWidth="1"/>
    <col min="7697" max="7936" width="8" style="161"/>
    <col min="7937" max="7937" width="2.85546875" style="161" customWidth="1"/>
    <col min="7938" max="7938" width="32.42578125" style="161" bestFit="1" customWidth="1"/>
    <col min="7939" max="7939" width="9.85546875" style="161" bestFit="1" customWidth="1"/>
    <col min="7940" max="7940" width="8.85546875" style="161" bestFit="1" customWidth="1"/>
    <col min="7941" max="7941" width="7.42578125" style="161" bestFit="1" customWidth="1"/>
    <col min="7942" max="7942" width="8.7109375" style="161" customWidth="1"/>
    <col min="7943" max="7943" width="8" style="161" bestFit="1" customWidth="1"/>
    <col min="7944" max="7945" width="7.42578125" style="161" bestFit="1" customWidth="1"/>
    <col min="7946" max="7946" width="8.85546875" style="161" bestFit="1" customWidth="1"/>
    <col min="7947" max="7950" width="8.42578125" style="161" bestFit="1" customWidth="1"/>
    <col min="7951" max="7951" width="8.85546875" style="161" customWidth="1"/>
    <col min="7952" max="7952" width="10.140625" style="161" bestFit="1" customWidth="1"/>
    <col min="7953" max="8192" width="8" style="161"/>
    <col min="8193" max="8193" width="2.85546875" style="161" customWidth="1"/>
    <col min="8194" max="8194" width="32.42578125" style="161" bestFit="1" customWidth="1"/>
    <col min="8195" max="8195" width="9.85546875" style="161" bestFit="1" customWidth="1"/>
    <col min="8196" max="8196" width="8.85546875" style="161" bestFit="1" customWidth="1"/>
    <col min="8197" max="8197" width="7.42578125" style="161" bestFit="1" customWidth="1"/>
    <col min="8198" max="8198" width="8.7109375" style="161" customWidth="1"/>
    <col min="8199" max="8199" width="8" style="161" bestFit="1" customWidth="1"/>
    <col min="8200" max="8201" width="7.42578125" style="161" bestFit="1" customWidth="1"/>
    <col min="8202" max="8202" width="8.85546875" style="161" bestFit="1" customWidth="1"/>
    <col min="8203" max="8206" width="8.42578125" style="161" bestFit="1" customWidth="1"/>
    <col min="8207" max="8207" width="8.85546875" style="161" customWidth="1"/>
    <col min="8208" max="8208" width="10.140625" style="161" bestFit="1" customWidth="1"/>
    <col min="8209" max="8448" width="8" style="161"/>
    <col min="8449" max="8449" width="2.85546875" style="161" customWidth="1"/>
    <col min="8450" max="8450" width="32.42578125" style="161" bestFit="1" customWidth="1"/>
    <col min="8451" max="8451" width="9.85546875" style="161" bestFit="1" customWidth="1"/>
    <col min="8452" max="8452" width="8.85546875" style="161" bestFit="1" customWidth="1"/>
    <col min="8453" max="8453" width="7.42578125" style="161" bestFit="1" customWidth="1"/>
    <col min="8454" max="8454" width="8.7109375" style="161" customWidth="1"/>
    <col min="8455" max="8455" width="8" style="161" bestFit="1" customWidth="1"/>
    <col min="8456" max="8457" width="7.42578125" style="161" bestFit="1" customWidth="1"/>
    <col min="8458" max="8458" width="8.85546875" style="161" bestFit="1" customWidth="1"/>
    <col min="8459" max="8462" width="8.42578125" style="161" bestFit="1" customWidth="1"/>
    <col min="8463" max="8463" width="8.85546875" style="161" customWidth="1"/>
    <col min="8464" max="8464" width="10.140625" style="161" bestFit="1" customWidth="1"/>
    <col min="8465" max="8704" width="8" style="161"/>
    <col min="8705" max="8705" width="2.85546875" style="161" customWidth="1"/>
    <col min="8706" max="8706" width="32.42578125" style="161" bestFit="1" customWidth="1"/>
    <col min="8707" max="8707" width="9.85546875" style="161" bestFit="1" customWidth="1"/>
    <col min="8708" max="8708" width="8.85546875" style="161" bestFit="1" customWidth="1"/>
    <col min="8709" max="8709" width="7.42578125" style="161" bestFit="1" customWidth="1"/>
    <col min="8710" max="8710" width="8.7109375" style="161" customWidth="1"/>
    <col min="8711" max="8711" width="8" style="161" bestFit="1" customWidth="1"/>
    <col min="8712" max="8713" width="7.42578125" style="161" bestFit="1" customWidth="1"/>
    <col min="8714" max="8714" width="8.85546875" style="161" bestFit="1" customWidth="1"/>
    <col min="8715" max="8718" width="8.42578125" style="161" bestFit="1" customWidth="1"/>
    <col min="8719" max="8719" width="8.85546875" style="161" customWidth="1"/>
    <col min="8720" max="8720" width="10.140625" style="161" bestFit="1" customWidth="1"/>
    <col min="8721" max="8960" width="8" style="161"/>
    <col min="8961" max="8961" width="2.85546875" style="161" customWidth="1"/>
    <col min="8962" max="8962" width="32.42578125" style="161" bestFit="1" customWidth="1"/>
    <col min="8963" max="8963" width="9.85546875" style="161" bestFit="1" customWidth="1"/>
    <col min="8964" max="8964" width="8.85546875" style="161" bestFit="1" customWidth="1"/>
    <col min="8965" max="8965" width="7.42578125" style="161" bestFit="1" customWidth="1"/>
    <col min="8966" max="8966" width="8.7109375" style="161" customWidth="1"/>
    <col min="8967" max="8967" width="8" style="161" bestFit="1" customWidth="1"/>
    <col min="8968" max="8969" width="7.42578125" style="161" bestFit="1" customWidth="1"/>
    <col min="8970" max="8970" width="8.85546875" style="161" bestFit="1" customWidth="1"/>
    <col min="8971" max="8974" width="8.42578125" style="161" bestFit="1" customWidth="1"/>
    <col min="8975" max="8975" width="8.85546875" style="161" customWidth="1"/>
    <col min="8976" max="8976" width="10.140625" style="161" bestFit="1" customWidth="1"/>
    <col min="8977" max="9216" width="8" style="161"/>
    <col min="9217" max="9217" width="2.85546875" style="161" customWidth="1"/>
    <col min="9218" max="9218" width="32.42578125" style="161" bestFit="1" customWidth="1"/>
    <col min="9219" max="9219" width="9.85546875" style="161" bestFit="1" customWidth="1"/>
    <col min="9220" max="9220" width="8.85546875" style="161" bestFit="1" customWidth="1"/>
    <col min="9221" max="9221" width="7.42578125" style="161" bestFit="1" customWidth="1"/>
    <col min="9222" max="9222" width="8.7109375" style="161" customWidth="1"/>
    <col min="9223" max="9223" width="8" style="161" bestFit="1" customWidth="1"/>
    <col min="9224" max="9225" width="7.42578125" style="161" bestFit="1" customWidth="1"/>
    <col min="9226" max="9226" width="8.85546875" style="161" bestFit="1" customWidth="1"/>
    <col min="9227" max="9230" width="8.42578125" style="161" bestFit="1" customWidth="1"/>
    <col min="9231" max="9231" width="8.85546875" style="161" customWidth="1"/>
    <col min="9232" max="9232" width="10.140625" style="161" bestFit="1" customWidth="1"/>
    <col min="9233" max="9472" width="8" style="161"/>
    <col min="9473" max="9473" width="2.85546875" style="161" customWidth="1"/>
    <col min="9474" max="9474" width="32.42578125" style="161" bestFit="1" customWidth="1"/>
    <col min="9475" max="9475" width="9.85546875" style="161" bestFit="1" customWidth="1"/>
    <col min="9476" max="9476" width="8.85546875" style="161" bestFit="1" customWidth="1"/>
    <col min="9477" max="9477" width="7.42578125" style="161" bestFit="1" customWidth="1"/>
    <col min="9478" max="9478" width="8.7109375" style="161" customWidth="1"/>
    <col min="9479" max="9479" width="8" style="161" bestFit="1" customWidth="1"/>
    <col min="9480" max="9481" width="7.42578125" style="161" bestFit="1" customWidth="1"/>
    <col min="9482" max="9482" width="8.85546875" style="161" bestFit="1" customWidth="1"/>
    <col min="9483" max="9486" width="8.42578125" style="161" bestFit="1" customWidth="1"/>
    <col min="9487" max="9487" width="8.85546875" style="161" customWidth="1"/>
    <col min="9488" max="9488" width="10.140625" style="161" bestFit="1" customWidth="1"/>
    <col min="9489" max="9728" width="8" style="161"/>
    <col min="9729" max="9729" width="2.85546875" style="161" customWidth="1"/>
    <col min="9730" max="9730" width="32.42578125" style="161" bestFit="1" customWidth="1"/>
    <col min="9731" max="9731" width="9.85546875" style="161" bestFit="1" customWidth="1"/>
    <col min="9732" max="9732" width="8.85546875" style="161" bestFit="1" customWidth="1"/>
    <col min="9733" max="9733" width="7.42578125" style="161" bestFit="1" customWidth="1"/>
    <col min="9734" max="9734" width="8.7109375" style="161" customWidth="1"/>
    <col min="9735" max="9735" width="8" style="161" bestFit="1" customWidth="1"/>
    <col min="9736" max="9737" width="7.42578125" style="161" bestFit="1" customWidth="1"/>
    <col min="9738" max="9738" width="8.85546875" style="161" bestFit="1" customWidth="1"/>
    <col min="9739" max="9742" width="8.42578125" style="161" bestFit="1" customWidth="1"/>
    <col min="9743" max="9743" width="8.85546875" style="161" customWidth="1"/>
    <col min="9744" max="9744" width="10.140625" style="161" bestFit="1" customWidth="1"/>
    <col min="9745" max="9984" width="8" style="161"/>
    <col min="9985" max="9985" width="2.85546875" style="161" customWidth="1"/>
    <col min="9986" max="9986" width="32.42578125" style="161" bestFit="1" customWidth="1"/>
    <col min="9987" max="9987" width="9.85546875" style="161" bestFit="1" customWidth="1"/>
    <col min="9988" max="9988" width="8.85546875" style="161" bestFit="1" customWidth="1"/>
    <col min="9989" max="9989" width="7.42578125" style="161" bestFit="1" customWidth="1"/>
    <col min="9990" max="9990" width="8.7109375" style="161" customWidth="1"/>
    <col min="9991" max="9991" width="8" style="161" bestFit="1" customWidth="1"/>
    <col min="9992" max="9993" width="7.42578125" style="161" bestFit="1" customWidth="1"/>
    <col min="9994" max="9994" width="8.85546875" style="161" bestFit="1" customWidth="1"/>
    <col min="9995" max="9998" width="8.42578125" style="161" bestFit="1" customWidth="1"/>
    <col min="9999" max="9999" width="8.85546875" style="161" customWidth="1"/>
    <col min="10000" max="10000" width="10.140625" style="161" bestFit="1" customWidth="1"/>
    <col min="10001" max="10240" width="8" style="161"/>
    <col min="10241" max="10241" width="2.85546875" style="161" customWidth="1"/>
    <col min="10242" max="10242" width="32.42578125" style="161" bestFit="1" customWidth="1"/>
    <col min="10243" max="10243" width="9.85546875" style="161" bestFit="1" customWidth="1"/>
    <col min="10244" max="10244" width="8.85546875" style="161" bestFit="1" customWidth="1"/>
    <col min="10245" max="10245" width="7.42578125" style="161" bestFit="1" customWidth="1"/>
    <col min="10246" max="10246" width="8.7109375" style="161" customWidth="1"/>
    <col min="10247" max="10247" width="8" style="161" bestFit="1" customWidth="1"/>
    <col min="10248" max="10249" width="7.42578125" style="161" bestFit="1" customWidth="1"/>
    <col min="10250" max="10250" width="8.85546875" style="161" bestFit="1" customWidth="1"/>
    <col min="10251" max="10254" width="8.42578125" style="161" bestFit="1" customWidth="1"/>
    <col min="10255" max="10255" width="8.85546875" style="161" customWidth="1"/>
    <col min="10256" max="10256" width="10.140625" style="161" bestFit="1" customWidth="1"/>
    <col min="10257" max="10496" width="8" style="161"/>
    <col min="10497" max="10497" width="2.85546875" style="161" customWidth="1"/>
    <col min="10498" max="10498" width="32.42578125" style="161" bestFit="1" customWidth="1"/>
    <col min="10499" max="10499" width="9.85546875" style="161" bestFit="1" customWidth="1"/>
    <col min="10500" max="10500" width="8.85546875" style="161" bestFit="1" customWidth="1"/>
    <col min="10501" max="10501" width="7.42578125" style="161" bestFit="1" customWidth="1"/>
    <col min="10502" max="10502" width="8.7109375" style="161" customWidth="1"/>
    <col min="10503" max="10503" width="8" style="161" bestFit="1" customWidth="1"/>
    <col min="10504" max="10505" width="7.42578125" style="161" bestFit="1" customWidth="1"/>
    <col min="10506" max="10506" width="8.85546875" style="161" bestFit="1" customWidth="1"/>
    <col min="10507" max="10510" width="8.42578125" style="161" bestFit="1" customWidth="1"/>
    <col min="10511" max="10511" width="8.85546875" style="161" customWidth="1"/>
    <col min="10512" max="10512" width="10.140625" style="161" bestFit="1" customWidth="1"/>
    <col min="10513" max="10752" width="8" style="161"/>
    <col min="10753" max="10753" width="2.85546875" style="161" customWidth="1"/>
    <col min="10754" max="10754" width="32.42578125" style="161" bestFit="1" customWidth="1"/>
    <col min="10755" max="10755" width="9.85546875" style="161" bestFit="1" customWidth="1"/>
    <col min="10756" max="10756" width="8.85546875" style="161" bestFit="1" customWidth="1"/>
    <col min="10757" max="10757" width="7.42578125" style="161" bestFit="1" customWidth="1"/>
    <col min="10758" max="10758" width="8.7109375" style="161" customWidth="1"/>
    <col min="10759" max="10759" width="8" style="161" bestFit="1" customWidth="1"/>
    <col min="10760" max="10761" width="7.42578125" style="161" bestFit="1" customWidth="1"/>
    <col min="10762" max="10762" width="8.85546875" style="161" bestFit="1" customWidth="1"/>
    <col min="10763" max="10766" width="8.42578125" style="161" bestFit="1" customWidth="1"/>
    <col min="10767" max="10767" width="8.85546875" style="161" customWidth="1"/>
    <col min="10768" max="10768" width="10.140625" style="161" bestFit="1" customWidth="1"/>
    <col min="10769" max="11008" width="8" style="161"/>
    <col min="11009" max="11009" width="2.85546875" style="161" customWidth="1"/>
    <col min="11010" max="11010" width="32.42578125" style="161" bestFit="1" customWidth="1"/>
    <col min="11011" max="11011" width="9.85546875" style="161" bestFit="1" customWidth="1"/>
    <col min="11012" max="11012" width="8.85546875" style="161" bestFit="1" customWidth="1"/>
    <col min="11013" max="11013" width="7.42578125" style="161" bestFit="1" customWidth="1"/>
    <col min="11014" max="11014" width="8.7109375" style="161" customWidth="1"/>
    <col min="11015" max="11015" width="8" style="161" bestFit="1" customWidth="1"/>
    <col min="11016" max="11017" width="7.42578125" style="161" bestFit="1" customWidth="1"/>
    <col min="11018" max="11018" width="8.85546875" style="161" bestFit="1" customWidth="1"/>
    <col min="11019" max="11022" width="8.42578125" style="161" bestFit="1" customWidth="1"/>
    <col min="11023" max="11023" width="8.85546875" style="161" customWidth="1"/>
    <col min="11024" max="11024" width="10.140625" style="161" bestFit="1" customWidth="1"/>
    <col min="11025" max="11264" width="8" style="161"/>
    <col min="11265" max="11265" width="2.85546875" style="161" customWidth="1"/>
    <col min="11266" max="11266" width="32.42578125" style="161" bestFit="1" customWidth="1"/>
    <col min="11267" max="11267" width="9.85546875" style="161" bestFit="1" customWidth="1"/>
    <col min="11268" max="11268" width="8.85546875" style="161" bestFit="1" customWidth="1"/>
    <col min="11269" max="11269" width="7.42578125" style="161" bestFit="1" customWidth="1"/>
    <col min="11270" max="11270" width="8.7109375" style="161" customWidth="1"/>
    <col min="11271" max="11271" width="8" style="161" bestFit="1" customWidth="1"/>
    <col min="11272" max="11273" width="7.42578125" style="161" bestFit="1" customWidth="1"/>
    <col min="11274" max="11274" width="8.85546875" style="161" bestFit="1" customWidth="1"/>
    <col min="11275" max="11278" width="8.42578125" style="161" bestFit="1" customWidth="1"/>
    <col min="11279" max="11279" width="8.85546875" style="161" customWidth="1"/>
    <col min="11280" max="11280" width="10.140625" style="161" bestFit="1" customWidth="1"/>
    <col min="11281" max="11520" width="8" style="161"/>
    <col min="11521" max="11521" width="2.85546875" style="161" customWidth="1"/>
    <col min="11522" max="11522" width="32.42578125" style="161" bestFit="1" customWidth="1"/>
    <col min="11523" max="11523" width="9.85546875" style="161" bestFit="1" customWidth="1"/>
    <col min="11524" max="11524" width="8.85546875" style="161" bestFit="1" customWidth="1"/>
    <col min="11525" max="11525" width="7.42578125" style="161" bestFit="1" customWidth="1"/>
    <col min="11526" max="11526" width="8.7109375" style="161" customWidth="1"/>
    <col min="11527" max="11527" width="8" style="161" bestFit="1" customWidth="1"/>
    <col min="11528" max="11529" width="7.42578125" style="161" bestFit="1" customWidth="1"/>
    <col min="11530" max="11530" width="8.85546875" style="161" bestFit="1" customWidth="1"/>
    <col min="11531" max="11534" width="8.42578125" style="161" bestFit="1" customWidth="1"/>
    <col min="11535" max="11535" width="8.85546875" style="161" customWidth="1"/>
    <col min="11536" max="11536" width="10.140625" style="161" bestFit="1" customWidth="1"/>
    <col min="11537" max="11776" width="8" style="161"/>
    <col min="11777" max="11777" width="2.85546875" style="161" customWidth="1"/>
    <col min="11778" max="11778" width="32.42578125" style="161" bestFit="1" customWidth="1"/>
    <col min="11779" max="11779" width="9.85546875" style="161" bestFit="1" customWidth="1"/>
    <col min="11780" max="11780" width="8.85546875" style="161" bestFit="1" customWidth="1"/>
    <col min="11781" max="11781" width="7.42578125" style="161" bestFit="1" customWidth="1"/>
    <col min="11782" max="11782" width="8.7109375" style="161" customWidth="1"/>
    <col min="11783" max="11783" width="8" style="161" bestFit="1" customWidth="1"/>
    <col min="11784" max="11785" width="7.42578125" style="161" bestFit="1" customWidth="1"/>
    <col min="11786" max="11786" width="8.85546875" style="161" bestFit="1" customWidth="1"/>
    <col min="11787" max="11790" width="8.42578125" style="161" bestFit="1" customWidth="1"/>
    <col min="11791" max="11791" width="8.85546875" style="161" customWidth="1"/>
    <col min="11792" max="11792" width="10.140625" style="161" bestFit="1" customWidth="1"/>
    <col min="11793" max="12032" width="8" style="161"/>
    <col min="12033" max="12033" width="2.85546875" style="161" customWidth="1"/>
    <col min="12034" max="12034" width="32.42578125" style="161" bestFit="1" customWidth="1"/>
    <col min="12035" max="12035" width="9.85546875" style="161" bestFit="1" customWidth="1"/>
    <col min="12036" max="12036" width="8.85546875" style="161" bestFit="1" customWidth="1"/>
    <col min="12037" max="12037" width="7.42578125" style="161" bestFit="1" customWidth="1"/>
    <col min="12038" max="12038" width="8.7109375" style="161" customWidth="1"/>
    <col min="12039" max="12039" width="8" style="161" bestFit="1" customWidth="1"/>
    <col min="12040" max="12041" width="7.42578125" style="161" bestFit="1" customWidth="1"/>
    <col min="12042" max="12042" width="8.85546875" style="161" bestFit="1" customWidth="1"/>
    <col min="12043" max="12046" width="8.42578125" style="161" bestFit="1" customWidth="1"/>
    <col min="12047" max="12047" width="8.85546875" style="161" customWidth="1"/>
    <col min="12048" max="12048" width="10.140625" style="161" bestFit="1" customWidth="1"/>
    <col min="12049" max="12288" width="8" style="161"/>
    <col min="12289" max="12289" width="2.85546875" style="161" customWidth="1"/>
    <col min="12290" max="12290" width="32.42578125" style="161" bestFit="1" customWidth="1"/>
    <col min="12291" max="12291" width="9.85546875" style="161" bestFit="1" customWidth="1"/>
    <col min="12292" max="12292" width="8.85546875" style="161" bestFit="1" customWidth="1"/>
    <col min="12293" max="12293" width="7.42578125" style="161" bestFit="1" customWidth="1"/>
    <col min="12294" max="12294" width="8.7109375" style="161" customWidth="1"/>
    <col min="12295" max="12295" width="8" style="161" bestFit="1" customWidth="1"/>
    <col min="12296" max="12297" width="7.42578125" style="161" bestFit="1" customWidth="1"/>
    <col min="12298" max="12298" width="8.85546875" style="161" bestFit="1" customWidth="1"/>
    <col min="12299" max="12302" width="8.42578125" style="161" bestFit="1" customWidth="1"/>
    <col min="12303" max="12303" width="8.85546875" style="161" customWidth="1"/>
    <col min="12304" max="12304" width="10.140625" style="161" bestFit="1" customWidth="1"/>
    <col min="12305" max="12544" width="8" style="161"/>
    <col min="12545" max="12545" width="2.85546875" style="161" customWidth="1"/>
    <col min="12546" max="12546" width="32.42578125" style="161" bestFit="1" customWidth="1"/>
    <col min="12547" max="12547" width="9.85546875" style="161" bestFit="1" customWidth="1"/>
    <col min="12548" max="12548" width="8.85546875" style="161" bestFit="1" customWidth="1"/>
    <col min="12549" max="12549" width="7.42578125" style="161" bestFit="1" customWidth="1"/>
    <col min="12550" max="12550" width="8.7109375" style="161" customWidth="1"/>
    <col min="12551" max="12551" width="8" style="161" bestFit="1" customWidth="1"/>
    <col min="12552" max="12553" width="7.42578125" style="161" bestFit="1" customWidth="1"/>
    <col min="12554" max="12554" width="8.85546875" style="161" bestFit="1" customWidth="1"/>
    <col min="12555" max="12558" width="8.42578125" style="161" bestFit="1" customWidth="1"/>
    <col min="12559" max="12559" width="8.85546875" style="161" customWidth="1"/>
    <col min="12560" max="12560" width="10.140625" style="161" bestFit="1" customWidth="1"/>
    <col min="12561" max="12800" width="8" style="161"/>
    <col min="12801" max="12801" width="2.85546875" style="161" customWidth="1"/>
    <col min="12802" max="12802" width="32.42578125" style="161" bestFit="1" customWidth="1"/>
    <col min="12803" max="12803" width="9.85546875" style="161" bestFit="1" customWidth="1"/>
    <col min="12804" max="12804" width="8.85546875" style="161" bestFit="1" customWidth="1"/>
    <col min="12805" max="12805" width="7.42578125" style="161" bestFit="1" customWidth="1"/>
    <col min="12806" max="12806" width="8.7109375" style="161" customWidth="1"/>
    <col min="12807" max="12807" width="8" style="161" bestFit="1" customWidth="1"/>
    <col min="12808" max="12809" width="7.42578125" style="161" bestFit="1" customWidth="1"/>
    <col min="12810" max="12810" width="8.85546875" style="161" bestFit="1" customWidth="1"/>
    <col min="12811" max="12814" width="8.42578125" style="161" bestFit="1" customWidth="1"/>
    <col min="12815" max="12815" width="8.85546875" style="161" customWidth="1"/>
    <col min="12816" max="12816" width="10.140625" style="161" bestFit="1" customWidth="1"/>
    <col min="12817" max="13056" width="8" style="161"/>
    <col min="13057" max="13057" width="2.85546875" style="161" customWidth="1"/>
    <col min="13058" max="13058" width="32.42578125" style="161" bestFit="1" customWidth="1"/>
    <col min="13059" max="13059" width="9.85546875" style="161" bestFit="1" customWidth="1"/>
    <col min="13060" max="13060" width="8.85546875" style="161" bestFit="1" customWidth="1"/>
    <col min="13061" max="13061" width="7.42578125" style="161" bestFit="1" customWidth="1"/>
    <col min="13062" max="13062" width="8.7109375" style="161" customWidth="1"/>
    <col min="13063" max="13063" width="8" style="161" bestFit="1" customWidth="1"/>
    <col min="13064" max="13065" width="7.42578125" style="161" bestFit="1" customWidth="1"/>
    <col min="13066" max="13066" width="8.85546875" style="161" bestFit="1" customWidth="1"/>
    <col min="13067" max="13070" width="8.42578125" style="161" bestFit="1" customWidth="1"/>
    <col min="13071" max="13071" width="8.85546875" style="161" customWidth="1"/>
    <col min="13072" max="13072" width="10.140625" style="161" bestFit="1" customWidth="1"/>
    <col min="13073" max="13312" width="8" style="161"/>
    <col min="13313" max="13313" width="2.85546875" style="161" customWidth="1"/>
    <col min="13314" max="13314" width="32.42578125" style="161" bestFit="1" customWidth="1"/>
    <col min="13315" max="13315" width="9.85546875" style="161" bestFit="1" customWidth="1"/>
    <col min="13316" max="13316" width="8.85546875" style="161" bestFit="1" customWidth="1"/>
    <col min="13317" max="13317" width="7.42578125" style="161" bestFit="1" customWidth="1"/>
    <col min="13318" max="13318" width="8.7109375" style="161" customWidth="1"/>
    <col min="13319" max="13319" width="8" style="161" bestFit="1" customWidth="1"/>
    <col min="13320" max="13321" width="7.42578125" style="161" bestFit="1" customWidth="1"/>
    <col min="13322" max="13322" width="8.85546875" style="161" bestFit="1" customWidth="1"/>
    <col min="13323" max="13326" width="8.42578125" style="161" bestFit="1" customWidth="1"/>
    <col min="13327" max="13327" width="8.85546875" style="161" customWidth="1"/>
    <col min="13328" max="13328" width="10.140625" style="161" bestFit="1" customWidth="1"/>
    <col min="13329" max="13568" width="8" style="161"/>
    <col min="13569" max="13569" width="2.85546875" style="161" customWidth="1"/>
    <col min="13570" max="13570" width="32.42578125" style="161" bestFit="1" customWidth="1"/>
    <col min="13571" max="13571" width="9.85546875" style="161" bestFit="1" customWidth="1"/>
    <col min="13572" max="13572" width="8.85546875" style="161" bestFit="1" customWidth="1"/>
    <col min="13573" max="13573" width="7.42578125" style="161" bestFit="1" customWidth="1"/>
    <col min="13574" max="13574" width="8.7109375" style="161" customWidth="1"/>
    <col min="13575" max="13575" width="8" style="161" bestFit="1" customWidth="1"/>
    <col min="13576" max="13577" width="7.42578125" style="161" bestFit="1" customWidth="1"/>
    <col min="13578" max="13578" width="8.85546875" style="161" bestFit="1" customWidth="1"/>
    <col min="13579" max="13582" width="8.42578125" style="161" bestFit="1" customWidth="1"/>
    <col min="13583" max="13583" width="8.85546875" style="161" customWidth="1"/>
    <col min="13584" max="13584" width="10.140625" style="161" bestFit="1" customWidth="1"/>
    <col min="13585" max="13824" width="8" style="161"/>
    <col min="13825" max="13825" width="2.85546875" style="161" customWidth="1"/>
    <col min="13826" max="13826" width="32.42578125" style="161" bestFit="1" customWidth="1"/>
    <col min="13827" max="13827" width="9.85546875" style="161" bestFit="1" customWidth="1"/>
    <col min="13828" max="13828" width="8.85546875" style="161" bestFit="1" customWidth="1"/>
    <col min="13829" max="13829" width="7.42578125" style="161" bestFit="1" customWidth="1"/>
    <col min="13830" max="13830" width="8.7109375" style="161" customWidth="1"/>
    <col min="13831" max="13831" width="8" style="161" bestFit="1" customWidth="1"/>
    <col min="13832" max="13833" width="7.42578125" style="161" bestFit="1" customWidth="1"/>
    <col min="13834" max="13834" width="8.85546875" style="161" bestFit="1" customWidth="1"/>
    <col min="13835" max="13838" width="8.42578125" style="161" bestFit="1" customWidth="1"/>
    <col min="13839" max="13839" width="8.85546875" style="161" customWidth="1"/>
    <col min="13840" max="13840" width="10.140625" style="161" bestFit="1" customWidth="1"/>
    <col min="13841" max="14080" width="8" style="161"/>
    <col min="14081" max="14081" width="2.85546875" style="161" customWidth="1"/>
    <col min="14082" max="14082" width="32.42578125" style="161" bestFit="1" customWidth="1"/>
    <col min="14083" max="14083" width="9.85546875" style="161" bestFit="1" customWidth="1"/>
    <col min="14084" max="14084" width="8.85546875" style="161" bestFit="1" customWidth="1"/>
    <col min="14085" max="14085" width="7.42578125" style="161" bestFit="1" customWidth="1"/>
    <col min="14086" max="14086" width="8.7109375" style="161" customWidth="1"/>
    <col min="14087" max="14087" width="8" style="161" bestFit="1" customWidth="1"/>
    <col min="14088" max="14089" width="7.42578125" style="161" bestFit="1" customWidth="1"/>
    <col min="14090" max="14090" width="8.85546875" style="161" bestFit="1" customWidth="1"/>
    <col min="14091" max="14094" width="8.42578125" style="161" bestFit="1" customWidth="1"/>
    <col min="14095" max="14095" width="8.85546875" style="161" customWidth="1"/>
    <col min="14096" max="14096" width="10.140625" style="161" bestFit="1" customWidth="1"/>
    <col min="14097" max="14336" width="8" style="161"/>
    <col min="14337" max="14337" width="2.85546875" style="161" customWidth="1"/>
    <col min="14338" max="14338" width="32.42578125" style="161" bestFit="1" customWidth="1"/>
    <col min="14339" max="14339" width="9.85546875" style="161" bestFit="1" customWidth="1"/>
    <col min="14340" max="14340" width="8.85546875" style="161" bestFit="1" customWidth="1"/>
    <col min="14341" max="14341" width="7.42578125" style="161" bestFit="1" customWidth="1"/>
    <col min="14342" max="14342" width="8.7109375" style="161" customWidth="1"/>
    <col min="14343" max="14343" width="8" style="161" bestFit="1" customWidth="1"/>
    <col min="14344" max="14345" width="7.42578125" style="161" bestFit="1" customWidth="1"/>
    <col min="14346" max="14346" width="8.85546875" style="161" bestFit="1" customWidth="1"/>
    <col min="14347" max="14350" width="8.42578125" style="161" bestFit="1" customWidth="1"/>
    <col min="14351" max="14351" width="8.85546875" style="161" customWidth="1"/>
    <col min="14352" max="14352" width="10.140625" style="161" bestFit="1" customWidth="1"/>
    <col min="14353" max="14592" width="8" style="161"/>
    <col min="14593" max="14593" width="2.85546875" style="161" customWidth="1"/>
    <col min="14594" max="14594" width="32.42578125" style="161" bestFit="1" customWidth="1"/>
    <col min="14595" max="14595" width="9.85546875" style="161" bestFit="1" customWidth="1"/>
    <col min="14596" max="14596" width="8.85546875" style="161" bestFit="1" customWidth="1"/>
    <col min="14597" max="14597" width="7.42578125" style="161" bestFit="1" customWidth="1"/>
    <col min="14598" max="14598" width="8.7109375" style="161" customWidth="1"/>
    <col min="14599" max="14599" width="8" style="161" bestFit="1" customWidth="1"/>
    <col min="14600" max="14601" width="7.42578125" style="161" bestFit="1" customWidth="1"/>
    <col min="14602" max="14602" width="8.85546875" style="161" bestFit="1" customWidth="1"/>
    <col min="14603" max="14606" width="8.42578125" style="161" bestFit="1" customWidth="1"/>
    <col min="14607" max="14607" width="8.85546875" style="161" customWidth="1"/>
    <col min="14608" max="14608" width="10.140625" style="161" bestFit="1" customWidth="1"/>
    <col min="14609" max="14848" width="8" style="161"/>
    <col min="14849" max="14849" width="2.85546875" style="161" customWidth="1"/>
    <col min="14850" max="14850" width="32.42578125" style="161" bestFit="1" customWidth="1"/>
    <col min="14851" max="14851" width="9.85546875" style="161" bestFit="1" customWidth="1"/>
    <col min="14852" max="14852" width="8.85546875" style="161" bestFit="1" customWidth="1"/>
    <col min="14853" max="14853" width="7.42578125" style="161" bestFit="1" customWidth="1"/>
    <col min="14854" max="14854" width="8.7109375" style="161" customWidth="1"/>
    <col min="14855" max="14855" width="8" style="161" bestFit="1" customWidth="1"/>
    <col min="14856" max="14857" width="7.42578125" style="161" bestFit="1" customWidth="1"/>
    <col min="14858" max="14858" width="8.85546875" style="161" bestFit="1" customWidth="1"/>
    <col min="14859" max="14862" width="8.42578125" style="161" bestFit="1" customWidth="1"/>
    <col min="14863" max="14863" width="8.85546875" style="161" customWidth="1"/>
    <col min="14864" max="14864" width="10.140625" style="161" bestFit="1" customWidth="1"/>
    <col min="14865" max="15104" width="8" style="161"/>
    <col min="15105" max="15105" width="2.85546875" style="161" customWidth="1"/>
    <col min="15106" max="15106" width="32.42578125" style="161" bestFit="1" customWidth="1"/>
    <col min="15107" max="15107" width="9.85546875" style="161" bestFit="1" customWidth="1"/>
    <col min="15108" max="15108" width="8.85546875" style="161" bestFit="1" customWidth="1"/>
    <col min="15109" max="15109" width="7.42578125" style="161" bestFit="1" customWidth="1"/>
    <col min="15110" max="15110" width="8.7109375" style="161" customWidth="1"/>
    <col min="15111" max="15111" width="8" style="161" bestFit="1" customWidth="1"/>
    <col min="15112" max="15113" width="7.42578125" style="161" bestFit="1" customWidth="1"/>
    <col min="15114" max="15114" width="8.85546875" style="161" bestFit="1" customWidth="1"/>
    <col min="15115" max="15118" width="8.42578125" style="161" bestFit="1" customWidth="1"/>
    <col min="15119" max="15119" width="8.85546875" style="161" customWidth="1"/>
    <col min="15120" max="15120" width="10.140625" style="161" bestFit="1" customWidth="1"/>
    <col min="15121" max="15360" width="8" style="161"/>
    <col min="15361" max="15361" width="2.85546875" style="161" customWidth="1"/>
    <col min="15362" max="15362" width="32.42578125" style="161" bestFit="1" customWidth="1"/>
    <col min="15363" max="15363" width="9.85546875" style="161" bestFit="1" customWidth="1"/>
    <col min="15364" max="15364" width="8.85546875" style="161" bestFit="1" customWidth="1"/>
    <col min="15365" max="15365" width="7.42578125" style="161" bestFit="1" customWidth="1"/>
    <col min="15366" max="15366" width="8.7109375" style="161" customWidth="1"/>
    <col min="15367" max="15367" width="8" style="161" bestFit="1" customWidth="1"/>
    <col min="15368" max="15369" width="7.42578125" style="161" bestFit="1" customWidth="1"/>
    <col min="15370" max="15370" width="8.85546875" style="161" bestFit="1" customWidth="1"/>
    <col min="15371" max="15374" width="8.42578125" style="161" bestFit="1" customWidth="1"/>
    <col min="15375" max="15375" width="8.85546875" style="161" customWidth="1"/>
    <col min="15376" max="15376" width="10.140625" style="161" bestFit="1" customWidth="1"/>
    <col min="15377" max="15616" width="8" style="161"/>
    <col min="15617" max="15617" width="2.85546875" style="161" customWidth="1"/>
    <col min="15618" max="15618" width="32.42578125" style="161" bestFit="1" customWidth="1"/>
    <col min="15619" max="15619" width="9.85546875" style="161" bestFit="1" customWidth="1"/>
    <col min="15620" max="15620" width="8.85546875" style="161" bestFit="1" customWidth="1"/>
    <col min="15621" max="15621" width="7.42578125" style="161" bestFit="1" customWidth="1"/>
    <col min="15622" max="15622" width="8.7109375" style="161" customWidth="1"/>
    <col min="15623" max="15623" width="8" style="161" bestFit="1" customWidth="1"/>
    <col min="15624" max="15625" width="7.42578125" style="161" bestFit="1" customWidth="1"/>
    <col min="15626" max="15626" width="8.85546875" style="161" bestFit="1" customWidth="1"/>
    <col min="15627" max="15630" width="8.42578125" style="161" bestFit="1" customWidth="1"/>
    <col min="15631" max="15631" width="8.85546875" style="161" customWidth="1"/>
    <col min="15632" max="15632" width="10.140625" style="161" bestFit="1" customWidth="1"/>
    <col min="15633" max="15872" width="8" style="161"/>
    <col min="15873" max="15873" width="2.85546875" style="161" customWidth="1"/>
    <col min="15874" max="15874" width="32.42578125" style="161" bestFit="1" customWidth="1"/>
    <col min="15875" max="15875" width="9.85546875" style="161" bestFit="1" customWidth="1"/>
    <col min="15876" max="15876" width="8.85546875" style="161" bestFit="1" customWidth="1"/>
    <col min="15877" max="15877" width="7.42578125" style="161" bestFit="1" customWidth="1"/>
    <col min="15878" max="15878" width="8.7109375" style="161" customWidth="1"/>
    <col min="15879" max="15879" width="8" style="161" bestFit="1" customWidth="1"/>
    <col min="15880" max="15881" width="7.42578125" style="161" bestFit="1" customWidth="1"/>
    <col min="15882" max="15882" width="8.85546875" style="161" bestFit="1" customWidth="1"/>
    <col min="15883" max="15886" width="8.42578125" style="161" bestFit="1" customWidth="1"/>
    <col min="15887" max="15887" width="8.85546875" style="161" customWidth="1"/>
    <col min="15888" max="15888" width="10.140625" style="161" bestFit="1" customWidth="1"/>
    <col min="15889" max="16128" width="8" style="161"/>
    <col min="16129" max="16129" width="2.85546875" style="161" customWidth="1"/>
    <col min="16130" max="16130" width="32.42578125" style="161" bestFit="1" customWidth="1"/>
    <col min="16131" max="16131" width="9.85546875" style="161" bestFit="1" customWidth="1"/>
    <col min="16132" max="16132" width="8.85546875" style="161" bestFit="1" customWidth="1"/>
    <col min="16133" max="16133" width="7.42578125" style="161" bestFit="1" customWidth="1"/>
    <col min="16134" max="16134" width="8.7109375" style="161" customWidth="1"/>
    <col min="16135" max="16135" width="8" style="161" bestFit="1" customWidth="1"/>
    <col min="16136" max="16137" width="7.42578125" style="161" bestFit="1" customWidth="1"/>
    <col min="16138" max="16138" width="8.85546875" style="161" bestFit="1" customWidth="1"/>
    <col min="16139" max="16142" width="8.42578125" style="161" bestFit="1" customWidth="1"/>
    <col min="16143" max="16143" width="8.85546875" style="161" customWidth="1"/>
    <col min="16144" max="16144" width="10.140625" style="161" bestFit="1" customWidth="1"/>
    <col min="16145" max="16384" width="8" style="161"/>
  </cols>
  <sheetData>
    <row r="1" spans="1:16" ht="15" x14ac:dyDescent="0.25">
      <c r="A1" s="587"/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51" t="s">
        <v>1114</v>
      </c>
    </row>
    <row r="2" spans="1:16" x14ac:dyDescent="0.2">
      <c r="A2" s="680" t="s">
        <v>1102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</row>
    <row r="3" spans="1:16" x14ac:dyDescent="0.2">
      <c r="A3" s="585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6"/>
    </row>
    <row r="4" spans="1:16" ht="7.9" customHeight="1" x14ac:dyDescent="0.2">
      <c r="A4" s="585"/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</row>
    <row r="5" spans="1:16" x14ac:dyDescent="0.2"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585" t="s">
        <v>25</v>
      </c>
    </row>
    <row r="6" spans="1:16" x14ac:dyDescent="0.2">
      <c r="A6" s="573"/>
      <c r="B6" s="573"/>
      <c r="C6" s="584" t="s">
        <v>346</v>
      </c>
      <c r="D6" s="584" t="s">
        <v>347</v>
      </c>
      <c r="E6" s="584" t="s">
        <v>348</v>
      </c>
      <c r="F6" s="584" t="s">
        <v>349</v>
      </c>
      <c r="G6" s="584" t="s">
        <v>350</v>
      </c>
      <c r="H6" s="584" t="s">
        <v>351</v>
      </c>
      <c r="I6" s="584" t="s">
        <v>352</v>
      </c>
      <c r="J6" s="584" t="s">
        <v>353</v>
      </c>
      <c r="K6" s="584" t="s">
        <v>354</v>
      </c>
      <c r="L6" s="584" t="s">
        <v>355</v>
      </c>
      <c r="M6" s="584" t="s">
        <v>356</v>
      </c>
      <c r="N6" s="584" t="s">
        <v>357</v>
      </c>
      <c r="O6" s="583" t="s">
        <v>194</v>
      </c>
    </row>
    <row r="7" spans="1:16" x14ac:dyDescent="0.2">
      <c r="A7" s="576" t="s">
        <v>189</v>
      </c>
      <c r="B7" s="573"/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</row>
    <row r="8" spans="1:16" x14ac:dyDescent="0.2">
      <c r="A8" s="573">
        <v>1</v>
      </c>
      <c r="B8" s="578" t="s">
        <v>358</v>
      </c>
      <c r="C8" s="572">
        <v>15500</v>
      </c>
      <c r="D8" s="572">
        <v>18500</v>
      </c>
      <c r="E8" s="572">
        <v>20500</v>
      </c>
      <c r="F8" s="572">
        <v>19500</v>
      </c>
      <c r="G8" s="572">
        <v>19100</v>
      </c>
      <c r="H8" s="572">
        <f>18800-7285</f>
        <v>11515</v>
      </c>
      <c r="I8" s="572">
        <v>12715</v>
      </c>
      <c r="J8" s="572">
        <v>12715</v>
      </c>
      <c r="K8" s="572">
        <v>11415</v>
      </c>
      <c r="L8" s="572">
        <v>11715</v>
      </c>
      <c r="M8" s="572">
        <v>13315</v>
      </c>
      <c r="N8" s="572">
        <f>19640-5</f>
        <v>19635</v>
      </c>
      <c r="O8" s="574">
        <f t="shared" ref="O8:O16" si="0">SUM(C8:N8)</f>
        <v>186125</v>
      </c>
      <c r="P8" s="162"/>
    </row>
    <row r="9" spans="1:16" x14ac:dyDescent="0.2">
      <c r="A9" s="573">
        <v>2</v>
      </c>
      <c r="B9" s="578" t="s">
        <v>60</v>
      </c>
      <c r="C9" s="572">
        <v>12000</v>
      </c>
      <c r="D9" s="572">
        <v>25000</v>
      </c>
      <c r="E9" s="572">
        <v>310000</v>
      </c>
      <c r="F9" s="572">
        <v>22000</v>
      </c>
      <c r="G9" s="572">
        <v>20000</v>
      </c>
      <c r="H9" s="572">
        <v>11465</v>
      </c>
      <c r="I9" s="572">
        <v>12620</v>
      </c>
      <c r="J9" s="572">
        <f>21543-10000</f>
        <v>11543</v>
      </c>
      <c r="K9" s="572">
        <f>313000-23000</f>
        <v>290000</v>
      </c>
      <c r="L9" s="572">
        <v>21000</v>
      </c>
      <c r="M9" s="572">
        <v>22000</v>
      </c>
      <c r="N9" s="572">
        <f>85372-40000</f>
        <v>45372</v>
      </c>
      <c r="O9" s="574">
        <f t="shared" si="0"/>
        <v>803000</v>
      </c>
      <c r="P9" s="162"/>
    </row>
    <row r="10" spans="1:16" x14ac:dyDescent="0.2">
      <c r="A10" s="573"/>
      <c r="B10" s="578" t="s">
        <v>359</v>
      </c>
      <c r="C10" s="572">
        <v>5500</v>
      </c>
      <c r="D10" s="572">
        <v>20000</v>
      </c>
      <c r="E10" s="572">
        <f>294500</f>
        <v>294500</v>
      </c>
      <c r="F10" s="572">
        <v>13000</v>
      </c>
      <c r="G10" s="572">
        <v>16000</v>
      </c>
      <c r="H10" s="572">
        <v>8000</v>
      </c>
      <c r="I10" s="572">
        <v>17000</v>
      </c>
      <c r="J10" s="572">
        <f>17000</f>
        <v>17000</v>
      </c>
      <c r="K10" s="572">
        <f>311000-25000</f>
        <v>286000</v>
      </c>
      <c r="L10" s="572">
        <v>14000</v>
      </c>
      <c r="M10" s="572">
        <v>15000</v>
      </c>
      <c r="N10" s="572">
        <v>85000</v>
      </c>
      <c r="O10" s="574">
        <f t="shared" si="0"/>
        <v>791000</v>
      </c>
      <c r="P10" s="162"/>
    </row>
    <row r="11" spans="1:16" x14ac:dyDescent="0.2">
      <c r="A11" s="573">
        <v>3</v>
      </c>
      <c r="B11" s="578" t="s">
        <v>69</v>
      </c>
      <c r="C11" s="572">
        <v>19743</v>
      </c>
      <c r="D11" s="572">
        <v>5061</v>
      </c>
      <c r="E11" s="572">
        <v>28000</v>
      </c>
      <c r="F11" s="572">
        <v>15000</v>
      </c>
      <c r="G11" s="572">
        <v>97000</v>
      </c>
      <c r="H11" s="572">
        <v>13000</v>
      </c>
      <c r="I11" s="572">
        <v>40257</v>
      </c>
      <c r="J11" s="572">
        <v>14000</v>
      </c>
      <c r="K11" s="572">
        <v>34000</v>
      </c>
      <c r="L11" s="572">
        <v>18500</v>
      </c>
      <c r="M11" s="572">
        <v>32256</v>
      </c>
      <c r="N11" s="572">
        <v>14240</v>
      </c>
      <c r="O11" s="574">
        <f t="shared" si="0"/>
        <v>331057</v>
      </c>
      <c r="P11" s="162"/>
    </row>
    <row r="12" spans="1:16" x14ac:dyDescent="0.2">
      <c r="A12" s="573">
        <v>4</v>
      </c>
      <c r="B12" s="578" t="s">
        <v>28</v>
      </c>
      <c r="C12" s="572">
        <v>133948</v>
      </c>
      <c r="D12" s="572">
        <v>89293</v>
      </c>
      <c r="E12" s="572">
        <v>89293</v>
      </c>
      <c r="F12" s="572">
        <v>89293</v>
      </c>
      <c r="G12" s="572">
        <v>89293</v>
      </c>
      <c r="H12" s="572">
        <f>90941+689</f>
        <v>91630</v>
      </c>
      <c r="I12" s="572">
        <v>90941</v>
      </c>
      <c r="J12" s="572">
        <v>90941</v>
      </c>
      <c r="K12" s="572">
        <v>90941</v>
      </c>
      <c r="L12" s="572">
        <v>90941</v>
      </c>
      <c r="M12" s="572">
        <v>90941</v>
      </c>
      <c r="N12" s="572">
        <v>90941</v>
      </c>
      <c r="O12" s="574">
        <f t="shared" si="0"/>
        <v>1128396</v>
      </c>
      <c r="P12" s="162"/>
    </row>
    <row r="13" spans="1:16" ht="25.5" x14ac:dyDescent="0.2">
      <c r="A13" s="573">
        <v>5</v>
      </c>
      <c r="B13" s="582" t="s">
        <v>360</v>
      </c>
      <c r="C13" s="572">
        <f t="shared" ref="C13:N13" si="1">SUM(C14:C15)</f>
        <v>11500</v>
      </c>
      <c r="D13" s="572">
        <f t="shared" si="1"/>
        <v>13500</v>
      </c>
      <c r="E13" s="572">
        <f t="shared" si="1"/>
        <v>24000</v>
      </c>
      <c r="F13" s="572">
        <f t="shared" si="1"/>
        <v>16000</v>
      </c>
      <c r="G13" s="572">
        <f t="shared" si="1"/>
        <v>18900</v>
      </c>
      <c r="H13" s="572">
        <f t="shared" si="1"/>
        <v>63740</v>
      </c>
      <c r="I13" s="572">
        <f t="shared" si="1"/>
        <v>18500</v>
      </c>
      <c r="J13" s="572">
        <f t="shared" si="1"/>
        <v>21000</v>
      </c>
      <c r="K13" s="572">
        <f t="shared" si="1"/>
        <v>37848</v>
      </c>
      <c r="L13" s="572">
        <f t="shared" si="1"/>
        <v>90000</v>
      </c>
      <c r="M13" s="572">
        <f t="shared" si="1"/>
        <v>27400</v>
      </c>
      <c r="N13" s="572">
        <f t="shared" si="1"/>
        <v>53403</v>
      </c>
      <c r="O13" s="574">
        <f t="shared" si="0"/>
        <v>395791</v>
      </c>
      <c r="P13" s="162"/>
    </row>
    <row r="14" spans="1:16" x14ac:dyDescent="0.2">
      <c r="A14" s="573"/>
      <c r="B14" s="578" t="s">
        <v>361</v>
      </c>
      <c r="C14" s="572">
        <v>6500</v>
      </c>
      <c r="D14" s="572">
        <v>5500</v>
      </c>
      <c r="E14" s="572">
        <f>10500+1500</f>
        <v>12000</v>
      </c>
      <c r="F14" s="572">
        <f>6500+1500</f>
        <v>8000</v>
      </c>
      <c r="G14" s="572">
        <v>8900</v>
      </c>
      <c r="H14" s="572">
        <v>12500</v>
      </c>
      <c r="I14" s="572">
        <v>8500</v>
      </c>
      <c r="J14" s="572">
        <v>9000</v>
      </c>
      <c r="K14" s="572">
        <f>22266+538+44</f>
        <v>22848</v>
      </c>
      <c r="L14" s="572">
        <v>25000</v>
      </c>
      <c r="M14" s="572">
        <v>12400</v>
      </c>
      <c r="N14" s="572">
        <f>8550+1500</f>
        <v>10050</v>
      </c>
      <c r="O14" s="574">
        <f t="shared" si="0"/>
        <v>141198</v>
      </c>
      <c r="P14" s="162"/>
    </row>
    <row r="15" spans="1:16" x14ac:dyDescent="0.2">
      <c r="A15" s="573"/>
      <c r="B15" s="578" t="s">
        <v>362</v>
      </c>
      <c r="C15" s="572">
        <v>5000</v>
      </c>
      <c r="D15" s="572">
        <v>8000</v>
      </c>
      <c r="E15" s="572">
        <v>12000</v>
      </c>
      <c r="F15" s="572">
        <v>8000</v>
      </c>
      <c r="G15" s="572">
        <v>10000</v>
      </c>
      <c r="H15" s="572">
        <v>51240</v>
      </c>
      <c r="I15" s="572">
        <v>10000</v>
      </c>
      <c r="J15" s="572">
        <v>12000</v>
      </c>
      <c r="K15" s="572">
        <v>15000</v>
      </c>
      <c r="L15" s="572">
        <v>65000</v>
      </c>
      <c r="M15" s="572">
        <v>15000</v>
      </c>
      <c r="N15" s="572">
        <v>43353</v>
      </c>
      <c r="O15" s="574">
        <f t="shared" si="0"/>
        <v>254593</v>
      </c>
      <c r="P15" s="162"/>
    </row>
    <row r="16" spans="1:16" x14ac:dyDescent="0.2">
      <c r="A16" s="573">
        <v>6</v>
      </c>
      <c r="B16" s="577" t="s">
        <v>2</v>
      </c>
      <c r="C16" s="572">
        <v>0</v>
      </c>
      <c r="D16" s="572">
        <v>0</v>
      </c>
      <c r="E16" s="572">
        <v>0</v>
      </c>
      <c r="F16" s="572">
        <v>0</v>
      </c>
      <c r="G16" s="572">
        <v>0</v>
      </c>
      <c r="H16" s="572">
        <v>0</v>
      </c>
      <c r="I16" s="572">
        <v>0</v>
      </c>
      <c r="J16" s="572">
        <v>0</v>
      </c>
      <c r="K16" s="572">
        <v>0</v>
      </c>
      <c r="L16" s="572">
        <v>0</v>
      </c>
      <c r="M16" s="572">
        <v>37400</v>
      </c>
      <c r="N16" s="572">
        <v>0</v>
      </c>
      <c r="O16" s="574">
        <f t="shared" si="0"/>
        <v>37400</v>
      </c>
      <c r="P16" s="162"/>
    </row>
    <row r="17" spans="1:16" x14ac:dyDescent="0.2">
      <c r="A17" s="573">
        <v>7</v>
      </c>
      <c r="B17" s="573" t="s">
        <v>363</v>
      </c>
      <c r="C17" s="572">
        <f t="shared" ref="C17:O17" si="2">C8+C9+C11+C12+C13+C16</f>
        <v>192691</v>
      </c>
      <c r="D17" s="572">
        <f t="shared" si="2"/>
        <v>151354</v>
      </c>
      <c r="E17" s="572">
        <f t="shared" si="2"/>
        <v>471793</v>
      </c>
      <c r="F17" s="572">
        <f t="shared" si="2"/>
        <v>161793</v>
      </c>
      <c r="G17" s="572">
        <f t="shared" si="2"/>
        <v>244293</v>
      </c>
      <c r="H17" s="572">
        <f t="shared" si="2"/>
        <v>191350</v>
      </c>
      <c r="I17" s="572">
        <f t="shared" si="2"/>
        <v>175033</v>
      </c>
      <c r="J17" s="572">
        <f t="shared" si="2"/>
        <v>150199</v>
      </c>
      <c r="K17" s="572">
        <f t="shared" si="2"/>
        <v>464204</v>
      </c>
      <c r="L17" s="572">
        <f t="shared" si="2"/>
        <v>232156</v>
      </c>
      <c r="M17" s="572">
        <f t="shared" si="2"/>
        <v>223312</v>
      </c>
      <c r="N17" s="572">
        <f t="shared" si="2"/>
        <v>223591</v>
      </c>
      <c r="O17" s="574">
        <f t="shared" si="2"/>
        <v>2881769</v>
      </c>
      <c r="P17" s="162"/>
    </row>
    <row r="18" spans="1:16" ht="25.5" x14ac:dyDescent="0.2">
      <c r="A18" s="573">
        <v>8</v>
      </c>
      <c r="B18" s="577" t="s">
        <v>364</v>
      </c>
      <c r="C18" s="572">
        <f>583050+95001+2764+369</f>
        <v>681184</v>
      </c>
      <c r="D18" s="572">
        <v>0</v>
      </c>
      <c r="E18" s="572">
        <v>28259</v>
      </c>
      <c r="F18" s="572">
        <v>379077</v>
      </c>
      <c r="G18" s="572">
        <v>0</v>
      </c>
      <c r="H18" s="572">
        <v>0</v>
      </c>
      <c r="I18" s="572">
        <v>0</v>
      </c>
      <c r="J18" s="572">
        <v>0</v>
      </c>
      <c r="K18" s="572">
        <v>0</v>
      </c>
      <c r="L18" s="572">
        <v>0</v>
      </c>
      <c r="M18" s="572">
        <v>0</v>
      </c>
      <c r="N18" s="572">
        <v>0</v>
      </c>
      <c r="O18" s="574">
        <f>SUM(C18:N18)</f>
        <v>1088520</v>
      </c>
      <c r="P18" s="162"/>
    </row>
    <row r="19" spans="1:16" x14ac:dyDescent="0.2">
      <c r="A19" s="573"/>
      <c r="B19" s="573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162"/>
    </row>
    <row r="20" spans="1:16" x14ac:dyDescent="0.2">
      <c r="A20" s="576">
        <v>9</v>
      </c>
      <c r="B20" s="576" t="s">
        <v>365</v>
      </c>
      <c r="C20" s="575">
        <f t="shared" ref="C20:O20" si="3">C17+C18</f>
        <v>873875</v>
      </c>
      <c r="D20" s="575">
        <f t="shared" si="3"/>
        <v>151354</v>
      </c>
      <c r="E20" s="575">
        <f t="shared" si="3"/>
        <v>500052</v>
      </c>
      <c r="F20" s="575">
        <f t="shared" si="3"/>
        <v>540870</v>
      </c>
      <c r="G20" s="575">
        <f t="shared" si="3"/>
        <v>244293</v>
      </c>
      <c r="H20" s="575">
        <f t="shared" si="3"/>
        <v>191350</v>
      </c>
      <c r="I20" s="575">
        <f t="shared" si="3"/>
        <v>175033</v>
      </c>
      <c r="J20" s="575">
        <f t="shared" si="3"/>
        <v>150199</v>
      </c>
      <c r="K20" s="575">
        <f t="shared" si="3"/>
        <v>464204</v>
      </c>
      <c r="L20" s="575">
        <f t="shared" si="3"/>
        <v>232156</v>
      </c>
      <c r="M20" s="575">
        <f t="shared" si="3"/>
        <v>223312</v>
      </c>
      <c r="N20" s="575">
        <f t="shared" si="3"/>
        <v>223591</v>
      </c>
      <c r="O20" s="575">
        <f t="shared" si="3"/>
        <v>3970289</v>
      </c>
      <c r="P20" s="162"/>
    </row>
    <row r="21" spans="1:16" x14ac:dyDescent="0.2">
      <c r="A21" s="581"/>
      <c r="B21" s="581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</row>
    <row r="22" spans="1:16" x14ac:dyDescent="0.2">
      <c r="A22" s="576" t="s">
        <v>213</v>
      </c>
      <c r="B22" s="573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60"/>
      <c r="P22" s="579"/>
    </row>
    <row r="23" spans="1:16" x14ac:dyDescent="0.2">
      <c r="A23" s="573">
        <v>10</v>
      </c>
      <c r="B23" s="578" t="s">
        <v>366</v>
      </c>
      <c r="C23" s="572">
        <v>70888</v>
      </c>
      <c r="D23" s="572">
        <v>71526</v>
      </c>
      <c r="E23" s="572">
        <v>70622</v>
      </c>
      <c r="F23" s="572">
        <v>69240</v>
      </c>
      <c r="G23" s="572">
        <f>70888-6995</f>
        <v>63893</v>
      </c>
      <c r="H23" s="572">
        <f>71154-6995</f>
        <v>64159</v>
      </c>
      <c r="I23" s="572">
        <f>72218-6996</f>
        <v>65222</v>
      </c>
      <c r="J23" s="572">
        <v>71792</v>
      </c>
      <c r="K23" s="572">
        <v>70994</v>
      </c>
      <c r="L23" s="572">
        <v>72749</v>
      </c>
      <c r="M23" s="572">
        <v>71513</v>
      </c>
      <c r="N23" s="572">
        <v>71089</v>
      </c>
      <c r="O23" s="574">
        <f>SUM(C23:N23)</f>
        <v>833687</v>
      </c>
      <c r="P23" s="162"/>
    </row>
    <row r="24" spans="1:16" x14ac:dyDescent="0.2">
      <c r="A24" s="573">
        <v>11</v>
      </c>
      <c r="B24" s="578" t="s">
        <v>367</v>
      </c>
      <c r="C24" s="572">
        <v>12380</v>
      </c>
      <c r="D24" s="572">
        <v>12491</v>
      </c>
      <c r="E24" s="572">
        <v>12333</v>
      </c>
      <c r="F24" s="572">
        <v>12092</v>
      </c>
      <c r="G24" s="572">
        <f>12380-3085</f>
        <v>9295</v>
      </c>
      <c r="H24" s="572">
        <f>12426-3085</f>
        <v>9341</v>
      </c>
      <c r="I24" s="572">
        <f>12612-3085</f>
        <v>9527</v>
      </c>
      <c r="J24" s="572">
        <v>12538</v>
      </c>
      <c r="K24" s="572">
        <v>12398</v>
      </c>
      <c r="L24" s="572">
        <v>12704</v>
      </c>
      <c r="M24" s="572">
        <v>12489</v>
      </c>
      <c r="N24" s="572">
        <v>14195</v>
      </c>
      <c r="O24" s="574">
        <f>SUM(C24:N24)</f>
        <v>141783</v>
      </c>
      <c r="P24" s="162"/>
    </row>
    <row r="25" spans="1:16" x14ac:dyDescent="0.2">
      <c r="A25" s="573">
        <v>12</v>
      </c>
      <c r="B25" s="578" t="s">
        <v>368</v>
      </c>
      <c r="C25" s="572">
        <v>68820</v>
      </c>
      <c r="D25" s="572">
        <v>70070</v>
      </c>
      <c r="E25" s="572">
        <v>67620</v>
      </c>
      <c r="F25" s="572">
        <v>79270</v>
      </c>
      <c r="G25" s="572">
        <v>72520</v>
      </c>
      <c r="H25" s="572">
        <f>70100-10000</f>
        <v>60100</v>
      </c>
      <c r="I25" s="572">
        <v>61320</v>
      </c>
      <c r="J25" s="572">
        <v>63770</v>
      </c>
      <c r="K25" s="572">
        <v>61320</v>
      </c>
      <c r="L25" s="572">
        <v>62520</v>
      </c>
      <c r="M25" s="572">
        <v>66220</v>
      </c>
      <c r="N25" s="572">
        <f>69731-9567</f>
        <v>60164</v>
      </c>
      <c r="O25" s="574">
        <f>SUM(C25:N25)</f>
        <v>793714</v>
      </c>
      <c r="P25" s="162"/>
    </row>
    <row r="26" spans="1:16" x14ac:dyDescent="0.2">
      <c r="A26" s="573">
        <v>13</v>
      </c>
      <c r="B26" s="578" t="s">
        <v>49</v>
      </c>
      <c r="C26" s="572">
        <v>1500</v>
      </c>
      <c r="D26" s="572">
        <v>1250</v>
      </c>
      <c r="E26" s="572">
        <v>2500</v>
      </c>
      <c r="F26" s="572">
        <v>2237</v>
      </c>
      <c r="G26" s="572">
        <v>1500</v>
      </c>
      <c r="H26" s="572">
        <v>3000</v>
      </c>
      <c r="I26" s="572">
        <v>2895</v>
      </c>
      <c r="J26" s="572">
        <v>3100</v>
      </c>
      <c r="K26" s="572">
        <v>3300</v>
      </c>
      <c r="L26" s="572">
        <v>3100</v>
      </c>
      <c r="M26" s="572">
        <v>1500</v>
      </c>
      <c r="N26" s="572">
        <v>1500</v>
      </c>
      <c r="O26" s="574">
        <f>SUM(C26:N26)</f>
        <v>27382</v>
      </c>
      <c r="P26" s="162"/>
    </row>
    <row r="27" spans="1:16" x14ac:dyDescent="0.2">
      <c r="A27" s="573">
        <v>14</v>
      </c>
      <c r="B27" s="578" t="s">
        <v>369</v>
      </c>
      <c r="C27" s="572">
        <v>43900</v>
      </c>
      <c r="D27" s="572">
        <v>45900</v>
      </c>
      <c r="E27" s="572">
        <v>42900</v>
      </c>
      <c r="F27" s="572">
        <v>42900</v>
      </c>
      <c r="G27" s="572">
        <v>42400</v>
      </c>
      <c r="H27" s="572">
        <v>45000</v>
      </c>
      <c r="I27" s="572">
        <v>50500</v>
      </c>
      <c r="J27" s="572">
        <v>50400</v>
      </c>
      <c r="K27" s="572">
        <v>46500</v>
      </c>
      <c r="L27" s="572">
        <f>44900+1192</f>
        <v>46092</v>
      </c>
      <c r="M27" s="572">
        <v>49100</v>
      </c>
      <c r="N27" s="572">
        <v>49574</v>
      </c>
      <c r="O27" s="574">
        <f>SUM(C27:N27)</f>
        <v>555166</v>
      </c>
      <c r="P27" s="162"/>
    </row>
    <row r="28" spans="1:16" x14ac:dyDescent="0.2">
      <c r="A28" s="573">
        <v>15</v>
      </c>
      <c r="B28" s="578" t="s">
        <v>370</v>
      </c>
      <c r="C28" s="572">
        <f t="shared" ref="C28:O28" si="4">C23+C24+C25+C26+C27</f>
        <v>197488</v>
      </c>
      <c r="D28" s="572">
        <f t="shared" si="4"/>
        <v>201237</v>
      </c>
      <c r="E28" s="572">
        <f t="shared" si="4"/>
        <v>195975</v>
      </c>
      <c r="F28" s="572">
        <f t="shared" si="4"/>
        <v>205739</v>
      </c>
      <c r="G28" s="572">
        <f t="shared" si="4"/>
        <v>189608</v>
      </c>
      <c r="H28" s="572">
        <f t="shared" si="4"/>
        <v>181600</v>
      </c>
      <c r="I28" s="572">
        <f t="shared" si="4"/>
        <v>189464</v>
      </c>
      <c r="J28" s="572">
        <f t="shared" si="4"/>
        <v>201600</v>
      </c>
      <c r="K28" s="572">
        <f t="shared" si="4"/>
        <v>194512</v>
      </c>
      <c r="L28" s="572">
        <f t="shared" si="4"/>
        <v>197165</v>
      </c>
      <c r="M28" s="572">
        <f t="shared" si="4"/>
        <v>200822</v>
      </c>
      <c r="N28" s="572">
        <f t="shared" si="4"/>
        <v>196522</v>
      </c>
      <c r="O28" s="574">
        <f t="shared" si="4"/>
        <v>2351732</v>
      </c>
      <c r="P28" s="162"/>
    </row>
    <row r="29" spans="1:16" x14ac:dyDescent="0.2">
      <c r="A29" s="573">
        <v>16</v>
      </c>
      <c r="B29" s="578" t="s">
        <v>20</v>
      </c>
      <c r="C29" s="572">
        <v>5000</v>
      </c>
      <c r="D29" s="572">
        <v>8000</v>
      </c>
      <c r="E29" s="572">
        <v>8500</v>
      </c>
      <c r="F29" s="572">
        <v>12660</v>
      </c>
      <c r="G29" s="572">
        <v>15000</v>
      </c>
      <c r="H29" s="572">
        <v>35000</v>
      </c>
      <c r="I29" s="572">
        <v>6362</v>
      </c>
      <c r="J29" s="572">
        <v>35500</v>
      </c>
      <c r="K29" s="572">
        <v>48202</v>
      </c>
      <c r="L29" s="572">
        <v>16000</v>
      </c>
      <c r="M29" s="572">
        <v>24267</v>
      </c>
      <c r="N29" s="572">
        <v>32543</v>
      </c>
      <c r="O29" s="574">
        <f>SUM(C29:N29)</f>
        <v>247034</v>
      </c>
      <c r="P29" s="162"/>
    </row>
    <row r="30" spans="1:16" x14ac:dyDescent="0.2">
      <c r="A30" s="573">
        <v>17</v>
      </c>
      <c r="B30" s="578" t="s">
        <v>51</v>
      </c>
      <c r="C30" s="572">
        <v>3550</v>
      </c>
      <c r="D30" s="572">
        <v>11000</v>
      </c>
      <c r="E30" s="572">
        <v>24500</v>
      </c>
      <c r="F30" s="572">
        <v>81899</v>
      </c>
      <c r="G30" s="572">
        <v>78000</v>
      </c>
      <c r="H30" s="572">
        <v>85000</v>
      </c>
      <c r="I30" s="572">
        <v>105000</v>
      </c>
      <c r="J30" s="572">
        <v>39197</v>
      </c>
      <c r="K30" s="572">
        <v>65000</v>
      </c>
      <c r="L30" s="572">
        <v>65000</v>
      </c>
      <c r="M30" s="572">
        <v>88000</v>
      </c>
      <c r="N30" s="572">
        <v>69005</v>
      </c>
      <c r="O30" s="574">
        <f>SUM(C30:N30)</f>
        <v>715151</v>
      </c>
      <c r="P30" s="162"/>
    </row>
    <row r="31" spans="1:16" x14ac:dyDescent="0.2">
      <c r="A31" s="573">
        <v>18</v>
      </c>
      <c r="B31" s="578" t="s">
        <v>371</v>
      </c>
      <c r="C31" s="572">
        <v>0</v>
      </c>
      <c r="D31" s="572">
        <v>1500</v>
      </c>
      <c r="E31" s="572">
        <v>1000</v>
      </c>
      <c r="F31" s="572">
        <v>1000</v>
      </c>
      <c r="G31" s="572">
        <v>22860</v>
      </c>
      <c r="H31" s="572">
        <v>493</v>
      </c>
      <c r="I31" s="572">
        <v>500</v>
      </c>
      <c r="J31" s="572">
        <v>500</v>
      </c>
      <c r="K31" s="572">
        <v>1710</v>
      </c>
      <c r="L31" s="572">
        <v>1500</v>
      </c>
      <c r="M31" s="572">
        <v>500</v>
      </c>
      <c r="N31" s="572">
        <v>0</v>
      </c>
      <c r="O31" s="574">
        <f>SUM(C31:N31)</f>
        <v>31563</v>
      </c>
      <c r="P31" s="162"/>
    </row>
    <row r="32" spans="1:16" x14ac:dyDescent="0.2">
      <c r="A32" s="573">
        <v>19</v>
      </c>
      <c r="B32" s="578" t="s">
        <v>372</v>
      </c>
      <c r="C32" s="572">
        <f t="shared" ref="C32:O32" si="5">C29+C30+C31</f>
        <v>8550</v>
      </c>
      <c r="D32" s="572">
        <f t="shared" si="5"/>
        <v>20500</v>
      </c>
      <c r="E32" s="572">
        <f t="shared" si="5"/>
        <v>34000</v>
      </c>
      <c r="F32" s="572">
        <f t="shared" si="5"/>
        <v>95559</v>
      </c>
      <c r="G32" s="572">
        <f t="shared" si="5"/>
        <v>115860</v>
      </c>
      <c r="H32" s="572">
        <f t="shared" si="5"/>
        <v>120493</v>
      </c>
      <c r="I32" s="572">
        <f t="shared" si="5"/>
        <v>111862</v>
      </c>
      <c r="J32" s="572">
        <f t="shared" si="5"/>
        <v>75197</v>
      </c>
      <c r="K32" s="572">
        <f t="shared" si="5"/>
        <v>114912</v>
      </c>
      <c r="L32" s="572">
        <f t="shared" si="5"/>
        <v>82500</v>
      </c>
      <c r="M32" s="572">
        <f t="shared" si="5"/>
        <v>112767</v>
      </c>
      <c r="N32" s="572">
        <f t="shared" si="5"/>
        <v>101548</v>
      </c>
      <c r="O32" s="574">
        <f t="shared" si="5"/>
        <v>993748</v>
      </c>
      <c r="P32" s="162"/>
    </row>
    <row r="33" spans="1:16" x14ac:dyDescent="0.2">
      <c r="A33" s="573">
        <v>20</v>
      </c>
      <c r="B33" s="578" t="s">
        <v>373</v>
      </c>
      <c r="C33" s="574">
        <v>95001</v>
      </c>
      <c r="D33" s="574"/>
      <c r="E33" s="574"/>
      <c r="F33" s="574"/>
      <c r="G33" s="574">
        <v>8000</v>
      </c>
      <c r="H33" s="574">
        <v>8000</v>
      </c>
      <c r="I33" s="574">
        <v>10000</v>
      </c>
      <c r="J33" s="574">
        <v>5000</v>
      </c>
      <c r="K33" s="574">
        <v>10000</v>
      </c>
      <c r="L33" s="574">
        <v>5000</v>
      </c>
      <c r="M33" s="574">
        <v>5000</v>
      </c>
      <c r="N33" s="574">
        <v>10969</v>
      </c>
      <c r="O33" s="574">
        <f>SUM(C33:N33)</f>
        <v>156970</v>
      </c>
      <c r="P33" s="162"/>
    </row>
    <row r="34" spans="1:16" x14ac:dyDescent="0.2">
      <c r="A34" s="573">
        <v>21</v>
      </c>
      <c r="B34" s="578" t="s">
        <v>374</v>
      </c>
      <c r="C34" s="572">
        <f t="shared" ref="C34:O34" si="6">C28+C32+C33</f>
        <v>301039</v>
      </c>
      <c r="D34" s="572">
        <f t="shared" si="6"/>
        <v>221737</v>
      </c>
      <c r="E34" s="572">
        <f t="shared" si="6"/>
        <v>229975</v>
      </c>
      <c r="F34" s="572">
        <f t="shared" si="6"/>
        <v>301298</v>
      </c>
      <c r="G34" s="572">
        <f t="shared" si="6"/>
        <v>313468</v>
      </c>
      <c r="H34" s="572">
        <f t="shared" si="6"/>
        <v>310093</v>
      </c>
      <c r="I34" s="572">
        <f t="shared" si="6"/>
        <v>311326</v>
      </c>
      <c r="J34" s="572">
        <f t="shared" si="6"/>
        <v>281797</v>
      </c>
      <c r="K34" s="572">
        <f t="shared" si="6"/>
        <v>319424</v>
      </c>
      <c r="L34" s="572">
        <f t="shared" si="6"/>
        <v>284665</v>
      </c>
      <c r="M34" s="572">
        <f t="shared" si="6"/>
        <v>318589</v>
      </c>
      <c r="N34" s="572">
        <f t="shared" si="6"/>
        <v>309039</v>
      </c>
      <c r="O34" s="572">
        <f t="shared" si="6"/>
        <v>3502450</v>
      </c>
    </row>
    <row r="35" spans="1:16" ht="25.5" x14ac:dyDescent="0.2">
      <c r="A35" s="573">
        <v>22</v>
      </c>
      <c r="B35" s="577" t="s">
        <v>375</v>
      </c>
      <c r="C35" s="572">
        <v>41705</v>
      </c>
      <c r="D35" s="572">
        <v>0</v>
      </c>
      <c r="E35" s="572">
        <v>11764</v>
      </c>
      <c r="F35" s="572">
        <v>379077</v>
      </c>
      <c r="G35" s="572">
        <v>0</v>
      </c>
      <c r="H35" s="572">
        <v>11764</v>
      </c>
      <c r="I35" s="572">
        <v>0</v>
      </c>
      <c r="J35" s="572">
        <v>0</v>
      </c>
      <c r="K35" s="572">
        <v>11764</v>
      </c>
      <c r="L35" s="572">
        <v>0</v>
      </c>
      <c r="M35" s="572">
        <v>0</v>
      </c>
      <c r="N35" s="572">
        <v>11765</v>
      </c>
      <c r="O35" s="574">
        <f>SUM(C35:N35)</f>
        <v>467839</v>
      </c>
      <c r="P35" s="162"/>
    </row>
    <row r="36" spans="1:16" x14ac:dyDescent="0.2">
      <c r="A36" s="576">
        <v>23</v>
      </c>
      <c r="B36" s="576" t="s">
        <v>376</v>
      </c>
      <c r="C36" s="575">
        <f t="shared" ref="C36:O36" si="7">C34+C35</f>
        <v>342744</v>
      </c>
      <c r="D36" s="575">
        <f t="shared" si="7"/>
        <v>221737</v>
      </c>
      <c r="E36" s="575">
        <f t="shared" si="7"/>
        <v>241739</v>
      </c>
      <c r="F36" s="575">
        <f t="shared" si="7"/>
        <v>680375</v>
      </c>
      <c r="G36" s="575">
        <f t="shared" si="7"/>
        <v>313468</v>
      </c>
      <c r="H36" s="575">
        <f t="shared" si="7"/>
        <v>321857</v>
      </c>
      <c r="I36" s="575">
        <f t="shared" si="7"/>
        <v>311326</v>
      </c>
      <c r="J36" s="575">
        <f t="shared" si="7"/>
        <v>281797</v>
      </c>
      <c r="K36" s="575">
        <f t="shared" si="7"/>
        <v>331188</v>
      </c>
      <c r="L36" s="575">
        <f t="shared" si="7"/>
        <v>284665</v>
      </c>
      <c r="M36" s="575">
        <f t="shared" si="7"/>
        <v>318589</v>
      </c>
      <c r="N36" s="575">
        <f t="shared" si="7"/>
        <v>320804</v>
      </c>
      <c r="O36" s="575">
        <f t="shared" si="7"/>
        <v>3970289</v>
      </c>
      <c r="P36" s="162"/>
    </row>
    <row r="37" spans="1:16" x14ac:dyDescent="0.2">
      <c r="A37" s="573">
        <v>24</v>
      </c>
      <c r="B37" s="573" t="s">
        <v>377</v>
      </c>
      <c r="C37" s="572">
        <f t="shared" ref="C37:N37" si="8">C17-C34</f>
        <v>-108348</v>
      </c>
      <c r="D37" s="572">
        <f t="shared" si="8"/>
        <v>-70383</v>
      </c>
      <c r="E37" s="572">
        <f t="shared" si="8"/>
        <v>241818</v>
      </c>
      <c r="F37" s="572">
        <f t="shared" si="8"/>
        <v>-139505</v>
      </c>
      <c r="G37" s="572">
        <f t="shared" si="8"/>
        <v>-69175</v>
      </c>
      <c r="H37" s="572">
        <f t="shared" si="8"/>
        <v>-118743</v>
      </c>
      <c r="I37" s="572">
        <f t="shared" si="8"/>
        <v>-136293</v>
      </c>
      <c r="J37" s="572">
        <f t="shared" si="8"/>
        <v>-131598</v>
      </c>
      <c r="K37" s="572">
        <f t="shared" si="8"/>
        <v>144780</v>
      </c>
      <c r="L37" s="572">
        <f t="shared" si="8"/>
        <v>-52509</v>
      </c>
      <c r="M37" s="572">
        <f t="shared" si="8"/>
        <v>-95277</v>
      </c>
      <c r="N37" s="572">
        <f t="shared" si="8"/>
        <v>-85448</v>
      </c>
      <c r="O37" s="574">
        <f>SUM(C37:N37)</f>
        <v>-620681</v>
      </c>
      <c r="P37" s="162"/>
    </row>
    <row r="38" spans="1:16" x14ac:dyDescent="0.2">
      <c r="A38" s="573">
        <v>25</v>
      </c>
      <c r="B38" s="573" t="s">
        <v>378</v>
      </c>
      <c r="C38" s="572">
        <f t="shared" ref="C38:N38" si="9">C20-C36</f>
        <v>531131</v>
      </c>
      <c r="D38" s="572">
        <f t="shared" si="9"/>
        <v>-70383</v>
      </c>
      <c r="E38" s="572">
        <f t="shared" si="9"/>
        <v>258313</v>
      </c>
      <c r="F38" s="572">
        <f t="shared" si="9"/>
        <v>-139505</v>
      </c>
      <c r="G38" s="572">
        <f t="shared" si="9"/>
        <v>-69175</v>
      </c>
      <c r="H38" s="572">
        <f t="shared" si="9"/>
        <v>-130507</v>
      </c>
      <c r="I38" s="572">
        <f t="shared" si="9"/>
        <v>-136293</v>
      </c>
      <c r="J38" s="572">
        <f t="shared" si="9"/>
        <v>-131598</v>
      </c>
      <c r="K38" s="572">
        <f t="shared" si="9"/>
        <v>133016</v>
      </c>
      <c r="L38" s="572">
        <f t="shared" si="9"/>
        <v>-52509</v>
      </c>
      <c r="M38" s="572">
        <f t="shared" si="9"/>
        <v>-95277</v>
      </c>
      <c r="N38" s="572">
        <f t="shared" si="9"/>
        <v>-97213</v>
      </c>
      <c r="O38" s="574">
        <f>SUM(C38:N38)</f>
        <v>0</v>
      </c>
    </row>
    <row r="39" spans="1:16" x14ac:dyDescent="0.2">
      <c r="A39" s="573">
        <v>26</v>
      </c>
      <c r="B39" s="573" t="s">
        <v>379</v>
      </c>
      <c r="C39" s="572">
        <f>C20-C36</f>
        <v>531131</v>
      </c>
      <c r="D39" s="572">
        <f t="shared" ref="D39:O39" si="10">C39+D20-D36</f>
        <v>460748</v>
      </c>
      <c r="E39" s="572">
        <f t="shared" si="10"/>
        <v>719061</v>
      </c>
      <c r="F39" s="572">
        <f t="shared" si="10"/>
        <v>579556</v>
      </c>
      <c r="G39" s="572">
        <f t="shared" si="10"/>
        <v>510381</v>
      </c>
      <c r="H39" s="572">
        <f t="shared" si="10"/>
        <v>379874</v>
      </c>
      <c r="I39" s="572">
        <f t="shared" si="10"/>
        <v>243581</v>
      </c>
      <c r="J39" s="572">
        <f t="shared" si="10"/>
        <v>111983</v>
      </c>
      <c r="K39" s="572">
        <f t="shared" si="10"/>
        <v>244999</v>
      </c>
      <c r="L39" s="572">
        <f t="shared" si="10"/>
        <v>192490</v>
      </c>
      <c r="M39" s="572">
        <f t="shared" si="10"/>
        <v>97213</v>
      </c>
      <c r="N39" s="572">
        <f t="shared" si="10"/>
        <v>0</v>
      </c>
      <c r="O39" s="572">
        <f t="shared" si="10"/>
        <v>0</v>
      </c>
    </row>
    <row r="41" spans="1:16" x14ac:dyDescent="0.2"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</row>
  </sheetData>
  <mergeCells count="1"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7EC-D82F-4024-9ECA-21F9BE036813}">
  <sheetPr>
    <pageSetUpPr fitToPage="1"/>
  </sheetPr>
  <dimension ref="A1:S12"/>
  <sheetViews>
    <sheetView workbookViewId="0">
      <selection sqref="A1:XFD1"/>
    </sheetView>
  </sheetViews>
  <sheetFormatPr defaultRowHeight="12.75" x14ac:dyDescent="0.2"/>
  <cols>
    <col min="1" max="5" width="8.85546875" style="10"/>
    <col min="6" max="6" width="11.28515625" style="10" customWidth="1"/>
    <col min="7" max="8" width="8.85546875" style="10"/>
    <col min="9" max="9" width="10.7109375" style="10" customWidth="1"/>
    <col min="10" max="10" width="8.85546875" style="10"/>
    <col min="11" max="11" width="10.7109375" style="10" customWidth="1"/>
    <col min="12" max="13" width="8.85546875" style="10"/>
    <col min="14" max="14" width="10.42578125" style="10" customWidth="1"/>
    <col min="15" max="15" width="7.28515625" style="10" bestFit="1" customWidth="1"/>
    <col min="16" max="16" width="9.140625" style="10" customWidth="1"/>
    <col min="17" max="261" width="8.85546875" style="10"/>
    <col min="262" max="262" width="11.28515625" style="10" customWidth="1"/>
    <col min="263" max="269" width="8.85546875" style="10"/>
    <col min="270" max="270" width="6" style="10" bestFit="1" customWidth="1"/>
    <col min="271" max="271" width="7.28515625" style="10" bestFit="1" customWidth="1"/>
    <col min="272" max="517" width="8.85546875" style="10"/>
    <col min="518" max="518" width="11.28515625" style="10" customWidth="1"/>
    <col min="519" max="525" width="8.85546875" style="10"/>
    <col min="526" max="526" width="6" style="10" bestFit="1" customWidth="1"/>
    <col min="527" max="527" width="7.28515625" style="10" bestFit="1" customWidth="1"/>
    <col min="528" max="773" width="8.85546875" style="10"/>
    <col min="774" max="774" width="11.28515625" style="10" customWidth="1"/>
    <col min="775" max="781" width="8.85546875" style="10"/>
    <col min="782" max="782" width="6" style="10" bestFit="1" customWidth="1"/>
    <col min="783" max="783" width="7.28515625" style="10" bestFit="1" customWidth="1"/>
    <col min="784" max="1029" width="8.85546875" style="10"/>
    <col min="1030" max="1030" width="11.28515625" style="10" customWidth="1"/>
    <col min="1031" max="1037" width="8.85546875" style="10"/>
    <col min="1038" max="1038" width="6" style="10" bestFit="1" customWidth="1"/>
    <col min="1039" max="1039" width="7.28515625" style="10" bestFit="1" customWidth="1"/>
    <col min="1040" max="1285" width="8.85546875" style="10"/>
    <col min="1286" max="1286" width="11.28515625" style="10" customWidth="1"/>
    <col min="1287" max="1293" width="8.85546875" style="10"/>
    <col min="1294" max="1294" width="6" style="10" bestFit="1" customWidth="1"/>
    <col min="1295" max="1295" width="7.28515625" style="10" bestFit="1" customWidth="1"/>
    <col min="1296" max="1541" width="8.85546875" style="10"/>
    <col min="1542" max="1542" width="11.28515625" style="10" customWidth="1"/>
    <col min="1543" max="1549" width="8.85546875" style="10"/>
    <col min="1550" max="1550" width="6" style="10" bestFit="1" customWidth="1"/>
    <col min="1551" max="1551" width="7.28515625" style="10" bestFit="1" customWidth="1"/>
    <col min="1552" max="1797" width="8.85546875" style="10"/>
    <col min="1798" max="1798" width="11.28515625" style="10" customWidth="1"/>
    <col min="1799" max="1805" width="8.85546875" style="10"/>
    <col min="1806" max="1806" width="6" style="10" bestFit="1" customWidth="1"/>
    <col min="1807" max="1807" width="7.28515625" style="10" bestFit="1" customWidth="1"/>
    <col min="1808" max="2053" width="8.85546875" style="10"/>
    <col min="2054" max="2054" width="11.28515625" style="10" customWidth="1"/>
    <col min="2055" max="2061" width="8.85546875" style="10"/>
    <col min="2062" max="2062" width="6" style="10" bestFit="1" customWidth="1"/>
    <col min="2063" max="2063" width="7.28515625" style="10" bestFit="1" customWidth="1"/>
    <col min="2064" max="2309" width="8.85546875" style="10"/>
    <col min="2310" max="2310" width="11.28515625" style="10" customWidth="1"/>
    <col min="2311" max="2317" width="8.85546875" style="10"/>
    <col min="2318" max="2318" width="6" style="10" bestFit="1" customWidth="1"/>
    <col min="2319" max="2319" width="7.28515625" style="10" bestFit="1" customWidth="1"/>
    <col min="2320" max="2565" width="8.85546875" style="10"/>
    <col min="2566" max="2566" width="11.28515625" style="10" customWidth="1"/>
    <col min="2567" max="2573" width="8.85546875" style="10"/>
    <col min="2574" max="2574" width="6" style="10" bestFit="1" customWidth="1"/>
    <col min="2575" max="2575" width="7.28515625" style="10" bestFit="1" customWidth="1"/>
    <col min="2576" max="2821" width="8.85546875" style="10"/>
    <col min="2822" max="2822" width="11.28515625" style="10" customWidth="1"/>
    <col min="2823" max="2829" width="8.85546875" style="10"/>
    <col min="2830" max="2830" width="6" style="10" bestFit="1" customWidth="1"/>
    <col min="2831" max="2831" width="7.28515625" style="10" bestFit="1" customWidth="1"/>
    <col min="2832" max="3077" width="8.85546875" style="10"/>
    <col min="3078" max="3078" width="11.28515625" style="10" customWidth="1"/>
    <col min="3079" max="3085" width="8.85546875" style="10"/>
    <col min="3086" max="3086" width="6" style="10" bestFit="1" customWidth="1"/>
    <col min="3087" max="3087" width="7.28515625" style="10" bestFit="1" customWidth="1"/>
    <col min="3088" max="3333" width="8.85546875" style="10"/>
    <col min="3334" max="3334" width="11.28515625" style="10" customWidth="1"/>
    <col min="3335" max="3341" width="8.85546875" style="10"/>
    <col min="3342" max="3342" width="6" style="10" bestFit="1" customWidth="1"/>
    <col min="3343" max="3343" width="7.28515625" style="10" bestFit="1" customWidth="1"/>
    <col min="3344" max="3589" width="8.85546875" style="10"/>
    <col min="3590" max="3590" width="11.28515625" style="10" customWidth="1"/>
    <col min="3591" max="3597" width="8.85546875" style="10"/>
    <col min="3598" max="3598" width="6" style="10" bestFit="1" customWidth="1"/>
    <col min="3599" max="3599" width="7.28515625" style="10" bestFit="1" customWidth="1"/>
    <col min="3600" max="3845" width="8.85546875" style="10"/>
    <col min="3846" max="3846" width="11.28515625" style="10" customWidth="1"/>
    <col min="3847" max="3853" width="8.85546875" style="10"/>
    <col min="3854" max="3854" width="6" style="10" bestFit="1" customWidth="1"/>
    <col min="3855" max="3855" width="7.28515625" style="10" bestFit="1" customWidth="1"/>
    <col min="3856" max="4101" width="8.85546875" style="10"/>
    <col min="4102" max="4102" width="11.28515625" style="10" customWidth="1"/>
    <col min="4103" max="4109" width="8.85546875" style="10"/>
    <col min="4110" max="4110" width="6" style="10" bestFit="1" customWidth="1"/>
    <col min="4111" max="4111" width="7.28515625" style="10" bestFit="1" customWidth="1"/>
    <col min="4112" max="4357" width="8.85546875" style="10"/>
    <col min="4358" max="4358" width="11.28515625" style="10" customWidth="1"/>
    <col min="4359" max="4365" width="8.85546875" style="10"/>
    <col min="4366" max="4366" width="6" style="10" bestFit="1" customWidth="1"/>
    <col min="4367" max="4367" width="7.28515625" style="10" bestFit="1" customWidth="1"/>
    <col min="4368" max="4613" width="8.85546875" style="10"/>
    <col min="4614" max="4614" width="11.28515625" style="10" customWidth="1"/>
    <col min="4615" max="4621" width="8.85546875" style="10"/>
    <col min="4622" max="4622" width="6" style="10" bestFit="1" customWidth="1"/>
    <col min="4623" max="4623" width="7.28515625" style="10" bestFit="1" customWidth="1"/>
    <col min="4624" max="4869" width="8.85546875" style="10"/>
    <col min="4870" max="4870" width="11.28515625" style="10" customWidth="1"/>
    <col min="4871" max="4877" width="8.85546875" style="10"/>
    <col min="4878" max="4878" width="6" style="10" bestFit="1" customWidth="1"/>
    <col min="4879" max="4879" width="7.28515625" style="10" bestFit="1" customWidth="1"/>
    <col min="4880" max="5125" width="8.85546875" style="10"/>
    <col min="5126" max="5126" width="11.28515625" style="10" customWidth="1"/>
    <col min="5127" max="5133" width="8.85546875" style="10"/>
    <col min="5134" max="5134" width="6" style="10" bestFit="1" customWidth="1"/>
    <col min="5135" max="5135" width="7.28515625" style="10" bestFit="1" customWidth="1"/>
    <col min="5136" max="5381" width="8.85546875" style="10"/>
    <col min="5382" max="5382" width="11.28515625" style="10" customWidth="1"/>
    <col min="5383" max="5389" width="8.85546875" style="10"/>
    <col min="5390" max="5390" width="6" style="10" bestFit="1" customWidth="1"/>
    <col min="5391" max="5391" width="7.28515625" style="10" bestFit="1" customWidth="1"/>
    <col min="5392" max="5637" width="8.85546875" style="10"/>
    <col min="5638" max="5638" width="11.28515625" style="10" customWidth="1"/>
    <col min="5639" max="5645" width="8.85546875" style="10"/>
    <col min="5646" max="5646" width="6" style="10" bestFit="1" customWidth="1"/>
    <col min="5647" max="5647" width="7.28515625" style="10" bestFit="1" customWidth="1"/>
    <col min="5648" max="5893" width="8.85546875" style="10"/>
    <col min="5894" max="5894" width="11.28515625" style="10" customWidth="1"/>
    <col min="5895" max="5901" width="8.85546875" style="10"/>
    <col min="5902" max="5902" width="6" style="10" bestFit="1" customWidth="1"/>
    <col min="5903" max="5903" width="7.28515625" style="10" bestFit="1" customWidth="1"/>
    <col min="5904" max="6149" width="8.85546875" style="10"/>
    <col min="6150" max="6150" width="11.28515625" style="10" customWidth="1"/>
    <col min="6151" max="6157" width="8.85546875" style="10"/>
    <col min="6158" max="6158" width="6" style="10" bestFit="1" customWidth="1"/>
    <col min="6159" max="6159" width="7.28515625" style="10" bestFit="1" customWidth="1"/>
    <col min="6160" max="6405" width="8.85546875" style="10"/>
    <col min="6406" max="6406" width="11.28515625" style="10" customWidth="1"/>
    <col min="6407" max="6413" width="8.85546875" style="10"/>
    <col min="6414" max="6414" width="6" style="10" bestFit="1" customWidth="1"/>
    <col min="6415" max="6415" width="7.28515625" style="10" bestFit="1" customWidth="1"/>
    <col min="6416" max="6661" width="8.85546875" style="10"/>
    <col min="6662" max="6662" width="11.28515625" style="10" customWidth="1"/>
    <col min="6663" max="6669" width="8.85546875" style="10"/>
    <col min="6670" max="6670" width="6" style="10" bestFit="1" customWidth="1"/>
    <col min="6671" max="6671" width="7.28515625" style="10" bestFit="1" customWidth="1"/>
    <col min="6672" max="6917" width="8.85546875" style="10"/>
    <col min="6918" max="6918" width="11.28515625" style="10" customWidth="1"/>
    <col min="6919" max="6925" width="8.85546875" style="10"/>
    <col min="6926" max="6926" width="6" style="10" bestFit="1" customWidth="1"/>
    <col min="6927" max="6927" width="7.28515625" style="10" bestFit="1" customWidth="1"/>
    <col min="6928" max="7173" width="8.85546875" style="10"/>
    <col min="7174" max="7174" width="11.28515625" style="10" customWidth="1"/>
    <col min="7175" max="7181" width="8.85546875" style="10"/>
    <col min="7182" max="7182" width="6" style="10" bestFit="1" customWidth="1"/>
    <col min="7183" max="7183" width="7.28515625" style="10" bestFit="1" customWidth="1"/>
    <col min="7184" max="7429" width="8.85546875" style="10"/>
    <col min="7430" max="7430" width="11.28515625" style="10" customWidth="1"/>
    <col min="7431" max="7437" width="8.85546875" style="10"/>
    <col min="7438" max="7438" width="6" style="10" bestFit="1" customWidth="1"/>
    <col min="7439" max="7439" width="7.28515625" style="10" bestFit="1" customWidth="1"/>
    <col min="7440" max="7685" width="8.85546875" style="10"/>
    <col min="7686" max="7686" width="11.28515625" style="10" customWidth="1"/>
    <col min="7687" max="7693" width="8.85546875" style="10"/>
    <col min="7694" max="7694" width="6" style="10" bestFit="1" customWidth="1"/>
    <col min="7695" max="7695" width="7.28515625" style="10" bestFit="1" customWidth="1"/>
    <col min="7696" max="7941" width="8.85546875" style="10"/>
    <col min="7942" max="7942" width="11.28515625" style="10" customWidth="1"/>
    <col min="7943" max="7949" width="8.85546875" style="10"/>
    <col min="7950" max="7950" width="6" style="10" bestFit="1" customWidth="1"/>
    <col min="7951" max="7951" width="7.28515625" style="10" bestFit="1" customWidth="1"/>
    <col min="7952" max="8197" width="8.85546875" style="10"/>
    <col min="8198" max="8198" width="11.28515625" style="10" customWidth="1"/>
    <col min="8199" max="8205" width="8.85546875" style="10"/>
    <col min="8206" max="8206" width="6" style="10" bestFit="1" customWidth="1"/>
    <col min="8207" max="8207" width="7.28515625" style="10" bestFit="1" customWidth="1"/>
    <col min="8208" max="8453" width="8.85546875" style="10"/>
    <col min="8454" max="8454" width="11.28515625" style="10" customWidth="1"/>
    <col min="8455" max="8461" width="8.85546875" style="10"/>
    <col min="8462" max="8462" width="6" style="10" bestFit="1" customWidth="1"/>
    <col min="8463" max="8463" width="7.28515625" style="10" bestFit="1" customWidth="1"/>
    <col min="8464" max="8709" width="8.85546875" style="10"/>
    <col min="8710" max="8710" width="11.28515625" style="10" customWidth="1"/>
    <col min="8711" max="8717" width="8.85546875" style="10"/>
    <col min="8718" max="8718" width="6" style="10" bestFit="1" customWidth="1"/>
    <col min="8719" max="8719" width="7.28515625" style="10" bestFit="1" customWidth="1"/>
    <col min="8720" max="8965" width="8.85546875" style="10"/>
    <col min="8966" max="8966" width="11.28515625" style="10" customWidth="1"/>
    <col min="8967" max="8973" width="8.85546875" style="10"/>
    <col min="8974" max="8974" width="6" style="10" bestFit="1" customWidth="1"/>
    <col min="8975" max="8975" width="7.28515625" style="10" bestFit="1" customWidth="1"/>
    <col min="8976" max="9221" width="8.85546875" style="10"/>
    <col min="9222" max="9222" width="11.28515625" style="10" customWidth="1"/>
    <col min="9223" max="9229" width="8.85546875" style="10"/>
    <col min="9230" max="9230" width="6" style="10" bestFit="1" customWidth="1"/>
    <col min="9231" max="9231" width="7.28515625" style="10" bestFit="1" customWidth="1"/>
    <col min="9232" max="9477" width="8.85546875" style="10"/>
    <col min="9478" max="9478" width="11.28515625" style="10" customWidth="1"/>
    <col min="9479" max="9485" width="8.85546875" style="10"/>
    <col min="9486" max="9486" width="6" style="10" bestFit="1" customWidth="1"/>
    <col min="9487" max="9487" width="7.28515625" style="10" bestFit="1" customWidth="1"/>
    <col min="9488" max="9733" width="8.85546875" style="10"/>
    <col min="9734" max="9734" width="11.28515625" style="10" customWidth="1"/>
    <col min="9735" max="9741" width="8.85546875" style="10"/>
    <col min="9742" max="9742" width="6" style="10" bestFit="1" customWidth="1"/>
    <col min="9743" max="9743" width="7.28515625" style="10" bestFit="1" customWidth="1"/>
    <col min="9744" max="9989" width="8.85546875" style="10"/>
    <col min="9990" max="9990" width="11.28515625" style="10" customWidth="1"/>
    <col min="9991" max="9997" width="8.85546875" style="10"/>
    <col min="9998" max="9998" width="6" style="10" bestFit="1" customWidth="1"/>
    <col min="9999" max="9999" width="7.28515625" style="10" bestFit="1" customWidth="1"/>
    <col min="10000" max="10245" width="8.85546875" style="10"/>
    <col min="10246" max="10246" width="11.28515625" style="10" customWidth="1"/>
    <col min="10247" max="10253" width="8.85546875" style="10"/>
    <col min="10254" max="10254" width="6" style="10" bestFit="1" customWidth="1"/>
    <col min="10255" max="10255" width="7.28515625" style="10" bestFit="1" customWidth="1"/>
    <col min="10256" max="10501" width="8.85546875" style="10"/>
    <col min="10502" max="10502" width="11.28515625" style="10" customWidth="1"/>
    <col min="10503" max="10509" width="8.85546875" style="10"/>
    <col min="10510" max="10510" width="6" style="10" bestFit="1" customWidth="1"/>
    <col min="10511" max="10511" width="7.28515625" style="10" bestFit="1" customWidth="1"/>
    <col min="10512" max="10757" width="8.85546875" style="10"/>
    <col min="10758" max="10758" width="11.28515625" style="10" customWidth="1"/>
    <col min="10759" max="10765" width="8.85546875" style="10"/>
    <col min="10766" max="10766" width="6" style="10" bestFit="1" customWidth="1"/>
    <col min="10767" max="10767" width="7.28515625" style="10" bestFit="1" customWidth="1"/>
    <col min="10768" max="11013" width="8.85546875" style="10"/>
    <col min="11014" max="11014" width="11.28515625" style="10" customWidth="1"/>
    <col min="11015" max="11021" width="8.85546875" style="10"/>
    <col min="11022" max="11022" width="6" style="10" bestFit="1" customWidth="1"/>
    <col min="11023" max="11023" width="7.28515625" style="10" bestFit="1" customWidth="1"/>
    <col min="11024" max="11269" width="8.85546875" style="10"/>
    <col min="11270" max="11270" width="11.28515625" style="10" customWidth="1"/>
    <col min="11271" max="11277" width="8.85546875" style="10"/>
    <col min="11278" max="11278" width="6" style="10" bestFit="1" customWidth="1"/>
    <col min="11279" max="11279" width="7.28515625" style="10" bestFit="1" customWidth="1"/>
    <col min="11280" max="11525" width="8.85546875" style="10"/>
    <col min="11526" max="11526" width="11.28515625" style="10" customWidth="1"/>
    <col min="11527" max="11533" width="8.85546875" style="10"/>
    <col min="11534" max="11534" width="6" style="10" bestFit="1" customWidth="1"/>
    <col min="11535" max="11535" width="7.28515625" style="10" bestFit="1" customWidth="1"/>
    <col min="11536" max="11781" width="8.85546875" style="10"/>
    <col min="11782" max="11782" width="11.28515625" style="10" customWidth="1"/>
    <col min="11783" max="11789" width="8.85546875" style="10"/>
    <col min="11790" max="11790" width="6" style="10" bestFit="1" customWidth="1"/>
    <col min="11791" max="11791" width="7.28515625" style="10" bestFit="1" customWidth="1"/>
    <col min="11792" max="12037" width="8.85546875" style="10"/>
    <col min="12038" max="12038" width="11.28515625" style="10" customWidth="1"/>
    <col min="12039" max="12045" width="8.85546875" style="10"/>
    <col min="12046" max="12046" width="6" style="10" bestFit="1" customWidth="1"/>
    <col min="12047" max="12047" width="7.28515625" style="10" bestFit="1" customWidth="1"/>
    <col min="12048" max="12293" width="8.85546875" style="10"/>
    <col min="12294" max="12294" width="11.28515625" style="10" customWidth="1"/>
    <col min="12295" max="12301" width="8.85546875" style="10"/>
    <col min="12302" max="12302" width="6" style="10" bestFit="1" customWidth="1"/>
    <col min="12303" max="12303" width="7.28515625" style="10" bestFit="1" customWidth="1"/>
    <col min="12304" max="12549" width="8.85546875" style="10"/>
    <col min="12550" max="12550" width="11.28515625" style="10" customWidth="1"/>
    <col min="12551" max="12557" width="8.85546875" style="10"/>
    <col min="12558" max="12558" width="6" style="10" bestFit="1" customWidth="1"/>
    <col min="12559" max="12559" width="7.28515625" style="10" bestFit="1" customWidth="1"/>
    <col min="12560" max="12805" width="8.85546875" style="10"/>
    <col min="12806" max="12806" width="11.28515625" style="10" customWidth="1"/>
    <col min="12807" max="12813" width="8.85546875" style="10"/>
    <col min="12814" max="12814" width="6" style="10" bestFit="1" customWidth="1"/>
    <col min="12815" max="12815" width="7.28515625" style="10" bestFit="1" customWidth="1"/>
    <col min="12816" max="13061" width="8.85546875" style="10"/>
    <col min="13062" max="13062" width="11.28515625" style="10" customWidth="1"/>
    <col min="13063" max="13069" width="8.85546875" style="10"/>
    <col min="13070" max="13070" width="6" style="10" bestFit="1" customWidth="1"/>
    <col min="13071" max="13071" width="7.28515625" style="10" bestFit="1" customWidth="1"/>
    <col min="13072" max="13317" width="8.85546875" style="10"/>
    <col min="13318" max="13318" width="11.28515625" style="10" customWidth="1"/>
    <col min="13319" max="13325" width="8.85546875" style="10"/>
    <col min="13326" max="13326" width="6" style="10" bestFit="1" customWidth="1"/>
    <col min="13327" max="13327" width="7.28515625" style="10" bestFit="1" customWidth="1"/>
    <col min="13328" max="13573" width="8.85546875" style="10"/>
    <col min="13574" max="13574" width="11.28515625" style="10" customWidth="1"/>
    <col min="13575" max="13581" width="8.85546875" style="10"/>
    <col min="13582" max="13582" width="6" style="10" bestFit="1" customWidth="1"/>
    <col min="13583" max="13583" width="7.28515625" style="10" bestFit="1" customWidth="1"/>
    <col min="13584" max="13829" width="8.85546875" style="10"/>
    <col min="13830" max="13830" width="11.28515625" style="10" customWidth="1"/>
    <col min="13831" max="13837" width="8.85546875" style="10"/>
    <col min="13838" max="13838" width="6" style="10" bestFit="1" customWidth="1"/>
    <col min="13839" max="13839" width="7.28515625" style="10" bestFit="1" customWidth="1"/>
    <col min="13840" max="14085" width="8.85546875" style="10"/>
    <col min="14086" max="14086" width="11.28515625" style="10" customWidth="1"/>
    <col min="14087" max="14093" width="8.85546875" style="10"/>
    <col min="14094" max="14094" width="6" style="10" bestFit="1" customWidth="1"/>
    <col min="14095" max="14095" width="7.28515625" style="10" bestFit="1" customWidth="1"/>
    <col min="14096" max="14341" width="8.85546875" style="10"/>
    <col min="14342" max="14342" width="11.28515625" style="10" customWidth="1"/>
    <col min="14343" max="14349" width="8.85546875" style="10"/>
    <col min="14350" max="14350" width="6" style="10" bestFit="1" customWidth="1"/>
    <col min="14351" max="14351" width="7.28515625" style="10" bestFit="1" customWidth="1"/>
    <col min="14352" max="14597" width="8.85546875" style="10"/>
    <col min="14598" max="14598" width="11.28515625" style="10" customWidth="1"/>
    <col min="14599" max="14605" width="8.85546875" style="10"/>
    <col min="14606" max="14606" width="6" style="10" bestFit="1" customWidth="1"/>
    <col min="14607" max="14607" width="7.28515625" style="10" bestFit="1" customWidth="1"/>
    <col min="14608" max="14853" width="8.85546875" style="10"/>
    <col min="14854" max="14854" width="11.28515625" style="10" customWidth="1"/>
    <col min="14855" max="14861" width="8.85546875" style="10"/>
    <col min="14862" max="14862" width="6" style="10" bestFit="1" customWidth="1"/>
    <col min="14863" max="14863" width="7.28515625" style="10" bestFit="1" customWidth="1"/>
    <col min="14864" max="15109" width="8.85546875" style="10"/>
    <col min="15110" max="15110" width="11.28515625" style="10" customWidth="1"/>
    <col min="15111" max="15117" width="8.85546875" style="10"/>
    <col min="15118" max="15118" width="6" style="10" bestFit="1" customWidth="1"/>
    <col min="15119" max="15119" width="7.28515625" style="10" bestFit="1" customWidth="1"/>
    <col min="15120" max="15365" width="8.85546875" style="10"/>
    <col min="15366" max="15366" width="11.28515625" style="10" customWidth="1"/>
    <col min="15367" max="15373" width="8.85546875" style="10"/>
    <col min="15374" max="15374" width="6" style="10" bestFit="1" customWidth="1"/>
    <col min="15375" max="15375" width="7.28515625" style="10" bestFit="1" customWidth="1"/>
    <col min="15376" max="15621" width="8.85546875" style="10"/>
    <col min="15622" max="15622" width="11.28515625" style="10" customWidth="1"/>
    <col min="15623" max="15629" width="8.85546875" style="10"/>
    <col min="15630" max="15630" width="6" style="10" bestFit="1" customWidth="1"/>
    <col min="15631" max="15631" width="7.28515625" style="10" bestFit="1" customWidth="1"/>
    <col min="15632" max="15877" width="8.85546875" style="10"/>
    <col min="15878" max="15878" width="11.28515625" style="10" customWidth="1"/>
    <col min="15879" max="15885" width="8.85546875" style="10"/>
    <col min="15886" max="15886" width="6" style="10" bestFit="1" customWidth="1"/>
    <col min="15887" max="15887" width="7.28515625" style="10" bestFit="1" customWidth="1"/>
    <col min="15888" max="16133" width="8.85546875" style="10"/>
    <col min="16134" max="16134" width="11.28515625" style="10" customWidth="1"/>
    <col min="16135" max="16141" width="8.85546875" style="10"/>
    <col min="16142" max="16142" width="6" style="10" bestFit="1" customWidth="1"/>
    <col min="16143" max="16143" width="7.28515625" style="10" bestFit="1" customWidth="1"/>
    <col min="16144" max="16384" width="8.85546875" style="10"/>
  </cols>
  <sheetData>
    <row r="1" spans="1:19" ht="15" x14ac:dyDescent="0.25">
      <c r="A1" s="587"/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51" t="s">
        <v>1150</v>
      </c>
    </row>
    <row r="2" spans="1:19" x14ac:dyDescent="0.2">
      <c r="A2" s="681" t="s">
        <v>1057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</row>
    <row r="3" spans="1:19" x14ac:dyDescent="0.2">
      <c r="A3" s="681"/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</row>
    <row r="4" spans="1:19" ht="19.5" thickBot="1" x14ac:dyDescent="0.3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3"/>
      <c r="R4" s="161"/>
      <c r="S4" s="164" t="s">
        <v>25</v>
      </c>
    </row>
    <row r="5" spans="1:19" ht="77.25" thickTop="1" x14ac:dyDescent="0.2">
      <c r="A5" s="165"/>
      <c r="B5" s="166"/>
      <c r="C5" s="166"/>
      <c r="D5" s="167"/>
      <c r="E5" s="168" t="s">
        <v>366</v>
      </c>
      <c r="F5" s="613" t="s">
        <v>83</v>
      </c>
      <c r="G5" s="168" t="s">
        <v>27</v>
      </c>
      <c r="H5" s="168" t="s">
        <v>50</v>
      </c>
      <c r="I5" s="168" t="s">
        <v>51</v>
      </c>
      <c r="J5" s="168" t="s">
        <v>20</v>
      </c>
      <c r="K5" s="169" t="s">
        <v>194</v>
      </c>
      <c r="L5" s="612" t="s">
        <v>380</v>
      </c>
      <c r="M5" s="611" t="s">
        <v>381</v>
      </c>
      <c r="N5" s="168" t="s">
        <v>698</v>
      </c>
      <c r="O5" s="168" t="s">
        <v>1056</v>
      </c>
      <c r="P5" s="168" t="s">
        <v>382</v>
      </c>
      <c r="Q5" s="610" t="s">
        <v>383</v>
      </c>
      <c r="R5" s="610" t="s">
        <v>194</v>
      </c>
      <c r="S5" s="609" t="s">
        <v>384</v>
      </c>
    </row>
    <row r="6" spans="1:19" x14ac:dyDescent="0.2">
      <c r="A6" s="608" t="s">
        <v>754</v>
      </c>
      <c r="B6" s="607"/>
      <c r="C6" s="607"/>
      <c r="D6" s="606"/>
      <c r="E6" s="572">
        <v>131320</v>
      </c>
      <c r="F6" s="572">
        <v>21820</v>
      </c>
      <c r="G6" s="572">
        <v>10600</v>
      </c>
      <c r="H6" s="572">
        <v>0</v>
      </c>
      <c r="I6" s="572">
        <f>'2. m. kiadások'!D14</f>
        <v>875</v>
      </c>
      <c r="J6" s="572">
        <f>'2. m. kiadások'!D18</f>
        <v>3000</v>
      </c>
      <c r="K6" s="602">
        <f>SUM(E6:J6)</f>
        <v>167615</v>
      </c>
      <c r="L6" s="601">
        <v>3600</v>
      </c>
      <c r="M6" s="600">
        <v>0</v>
      </c>
      <c r="N6" s="572">
        <v>101</v>
      </c>
      <c r="O6" s="572">
        <v>100</v>
      </c>
      <c r="P6" s="572">
        <v>167156</v>
      </c>
      <c r="Q6" s="572">
        <f>K6-L6-M6-N6-O6-P6</f>
        <v>-3342</v>
      </c>
      <c r="R6" s="572">
        <f>SUM(L6:Q6)</f>
        <v>167615</v>
      </c>
      <c r="S6" s="599">
        <f>P6+Q6</f>
        <v>163814</v>
      </c>
    </row>
    <row r="7" spans="1:19" x14ac:dyDescent="0.2">
      <c r="A7" s="608" t="s">
        <v>700</v>
      </c>
      <c r="B7" s="607"/>
      <c r="C7" s="607"/>
      <c r="D7" s="606"/>
      <c r="E7" s="572">
        <v>125153</v>
      </c>
      <c r="F7" s="572">
        <v>20687</v>
      </c>
      <c r="G7" s="572">
        <v>9959</v>
      </c>
      <c r="H7" s="572">
        <v>0</v>
      </c>
      <c r="I7" s="572">
        <v>0</v>
      </c>
      <c r="J7" s="572">
        <f>'2. m. kiadások'!D28</f>
        <v>7771</v>
      </c>
      <c r="K7" s="602">
        <f>SUM(E7:J7)</f>
        <v>163570</v>
      </c>
      <c r="L7" s="601">
        <f>'1. m. bevételek'!D15</f>
        <v>4300</v>
      </c>
      <c r="M7" s="600">
        <v>0</v>
      </c>
      <c r="N7" s="572">
        <v>139</v>
      </c>
      <c r="O7" s="572">
        <v>959</v>
      </c>
      <c r="P7" s="572">
        <v>117416</v>
      </c>
      <c r="Q7" s="572">
        <f>K7-L7-M7-N7-O7-P7</f>
        <v>40756</v>
      </c>
      <c r="R7" s="572">
        <f>SUM(L7:Q7)</f>
        <v>163570</v>
      </c>
      <c r="S7" s="599">
        <f>P7+Q7</f>
        <v>158172</v>
      </c>
    </row>
    <row r="8" spans="1:19" x14ac:dyDescent="0.2">
      <c r="A8" s="605" t="s">
        <v>385</v>
      </c>
      <c r="B8" s="604"/>
      <c r="C8" s="604"/>
      <c r="D8" s="603"/>
      <c r="E8" s="572">
        <v>158801</v>
      </c>
      <c r="F8" s="572">
        <v>26286</v>
      </c>
      <c r="G8" s="572">
        <v>131916</v>
      </c>
      <c r="H8" s="572">
        <v>0</v>
      </c>
      <c r="I8" s="572">
        <f>'2. m. kiadások'!D38</f>
        <v>1000</v>
      </c>
      <c r="J8" s="572">
        <v>0</v>
      </c>
      <c r="K8" s="602">
        <f>SUM(E8:J8)</f>
        <v>318003</v>
      </c>
      <c r="L8" s="601">
        <v>66000</v>
      </c>
      <c r="M8" s="600">
        <v>0</v>
      </c>
      <c r="N8" s="572">
        <v>416</v>
      </c>
      <c r="O8" s="572">
        <v>1327</v>
      </c>
      <c r="P8" s="572">
        <f>122129+61600</f>
        <v>183729</v>
      </c>
      <c r="Q8" s="572">
        <f>K8-L8-M8-N8-O8-P8</f>
        <v>66531</v>
      </c>
      <c r="R8" s="572">
        <f>SUM(L8:Q8)</f>
        <v>318003</v>
      </c>
      <c r="S8" s="599">
        <f>P8+Q8</f>
        <v>250260</v>
      </c>
    </row>
    <row r="9" spans="1:19" x14ac:dyDescent="0.2">
      <c r="A9" s="605" t="s">
        <v>755</v>
      </c>
      <c r="B9" s="604"/>
      <c r="C9" s="604"/>
      <c r="D9" s="603"/>
      <c r="E9" s="572">
        <v>16621</v>
      </c>
      <c r="F9" s="572">
        <v>2826</v>
      </c>
      <c r="G9" s="572">
        <v>10778</v>
      </c>
      <c r="H9" s="572">
        <v>0</v>
      </c>
      <c r="I9" s="572">
        <f>'2. m. kiadások'!D48</f>
        <v>3500</v>
      </c>
      <c r="J9" s="572">
        <f>'2. m. kiadások'!D52</f>
        <v>5284</v>
      </c>
      <c r="K9" s="602">
        <f>SUM(E9:J9)</f>
        <v>39009</v>
      </c>
      <c r="L9" s="601">
        <f>'1. m. bevételek'!D28</f>
        <v>1400</v>
      </c>
      <c r="M9" s="600">
        <v>0</v>
      </c>
      <c r="N9" s="572">
        <v>370</v>
      </c>
      <c r="O9" s="572">
        <v>378</v>
      </c>
      <c r="P9" s="572">
        <v>0</v>
      </c>
      <c r="Q9" s="572">
        <f>K9-L9-M9-N9-O9-P9</f>
        <v>36861</v>
      </c>
      <c r="R9" s="572">
        <f>SUM(L9:Q9)</f>
        <v>39009</v>
      </c>
      <c r="S9" s="599">
        <f>P9+Q9</f>
        <v>36861</v>
      </c>
    </row>
    <row r="10" spans="1:19" ht="13.5" thickBot="1" x14ac:dyDescent="0.25">
      <c r="A10" s="598" t="s">
        <v>47</v>
      </c>
      <c r="B10" s="597"/>
      <c r="C10" s="597"/>
      <c r="D10" s="596"/>
      <c r="E10" s="592">
        <v>295630</v>
      </c>
      <c r="F10" s="592">
        <v>52034</v>
      </c>
      <c r="G10" s="592">
        <v>70369</v>
      </c>
      <c r="H10" s="592">
        <v>0</v>
      </c>
      <c r="I10" s="592">
        <v>9550</v>
      </c>
      <c r="J10" s="592">
        <v>0</v>
      </c>
      <c r="K10" s="595">
        <f>SUM(E10:J10)</f>
        <v>427583</v>
      </c>
      <c r="L10" s="594">
        <f>'1. m. bevételek'!D39</f>
        <v>10000</v>
      </c>
      <c r="M10" s="593">
        <v>0</v>
      </c>
      <c r="N10" s="592">
        <v>0</v>
      </c>
      <c r="O10" s="592">
        <v>369</v>
      </c>
      <c r="P10" s="592">
        <v>222222</v>
      </c>
      <c r="Q10" s="572">
        <f>K10-L10-M10-N10-O10-P10</f>
        <v>194992</v>
      </c>
      <c r="R10" s="592">
        <f>SUM(L10:Q10)</f>
        <v>427583</v>
      </c>
      <c r="S10" s="591">
        <f>P10+Q10</f>
        <v>417214</v>
      </c>
    </row>
    <row r="11" spans="1:19" ht="14.25" thickTop="1" thickBot="1" x14ac:dyDescent="0.25">
      <c r="A11" s="682" t="s">
        <v>24</v>
      </c>
      <c r="B11" s="683"/>
      <c r="C11" s="683"/>
      <c r="D11" s="684"/>
      <c r="E11" s="589">
        <f t="shared" ref="E11:S11" si="0">SUM(E6:E10)</f>
        <v>727525</v>
      </c>
      <c r="F11" s="589">
        <f t="shared" si="0"/>
        <v>123653</v>
      </c>
      <c r="G11" s="589">
        <f t="shared" si="0"/>
        <v>233622</v>
      </c>
      <c r="H11" s="589">
        <f t="shared" si="0"/>
        <v>0</v>
      </c>
      <c r="I11" s="589">
        <f t="shared" si="0"/>
        <v>14925</v>
      </c>
      <c r="J11" s="589">
        <f t="shared" si="0"/>
        <v>16055</v>
      </c>
      <c r="K11" s="588">
        <f t="shared" si="0"/>
        <v>1115780</v>
      </c>
      <c r="L11" s="590">
        <f t="shared" si="0"/>
        <v>85300</v>
      </c>
      <c r="M11" s="589">
        <f t="shared" si="0"/>
        <v>0</v>
      </c>
      <c r="N11" s="589">
        <f t="shared" si="0"/>
        <v>1026</v>
      </c>
      <c r="O11" s="589">
        <f t="shared" si="0"/>
        <v>3133</v>
      </c>
      <c r="P11" s="589">
        <f t="shared" si="0"/>
        <v>690523</v>
      </c>
      <c r="Q11" s="589">
        <f t="shared" si="0"/>
        <v>335798</v>
      </c>
      <c r="R11" s="589">
        <f t="shared" si="0"/>
        <v>1115780</v>
      </c>
      <c r="S11" s="588">
        <f t="shared" si="0"/>
        <v>1026321</v>
      </c>
    </row>
    <row r="12" spans="1:19" ht="13.5" thickTop="1" x14ac:dyDescent="0.2"/>
  </sheetData>
  <mergeCells count="2"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workbookViewId="0">
      <selection sqref="A1:I1"/>
    </sheetView>
  </sheetViews>
  <sheetFormatPr defaultColWidth="9.140625" defaultRowHeight="12.75" x14ac:dyDescent="0.2"/>
  <cols>
    <col min="1" max="6" width="9.140625" style="10"/>
    <col min="7" max="7" width="10.140625" style="10" bestFit="1" customWidth="1"/>
    <col min="8" max="16384" width="9.140625" style="10"/>
  </cols>
  <sheetData>
    <row r="1" spans="1:10" ht="15.75" x14ac:dyDescent="0.25">
      <c r="A1" s="685" t="s">
        <v>1115</v>
      </c>
      <c r="B1" s="685"/>
      <c r="C1" s="685"/>
      <c r="D1" s="685"/>
      <c r="E1" s="685"/>
      <c r="F1" s="685"/>
      <c r="G1" s="685"/>
      <c r="H1" s="685"/>
      <c r="I1" s="685"/>
    </row>
    <row r="2" spans="1:10" ht="15.75" x14ac:dyDescent="0.25">
      <c r="A2" s="88"/>
      <c r="B2" s="88"/>
      <c r="C2" s="88"/>
      <c r="D2" s="88"/>
      <c r="E2" s="88"/>
      <c r="F2" s="88"/>
      <c r="G2" s="89"/>
      <c r="H2" s="88"/>
    </row>
    <row r="3" spans="1:10" ht="15.75" x14ac:dyDescent="0.25">
      <c r="A3" s="686" t="s">
        <v>905</v>
      </c>
      <c r="B3" s="686"/>
      <c r="C3" s="686"/>
      <c r="D3" s="686"/>
      <c r="E3" s="686"/>
      <c r="F3" s="686"/>
      <c r="G3" s="686"/>
      <c r="H3" s="686"/>
      <c r="I3" s="686"/>
    </row>
    <row r="4" spans="1:10" ht="15.75" x14ac:dyDescent="0.25">
      <c r="A4" s="686" t="s">
        <v>252</v>
      </c>
      <c r="B4" s="686"/>
      <c r="C4" s="686"/>
      <c r="D4" s="686"/>
      <c r="E4" s="686"/>
      <c r="F4" s="686"/>
      <c r="G4" s="686"/>
      <c r="H4" s="686"/>
      <c r="I4" s="686"/>
    </row>
    <row r="5" spans="1:10" ht="15.75" x14ac:dyDescent="0.25">
      <c r="A5" s="91"/>
      <c r="B5" s="91"/>
      <c r="C5" s="91"/>
      <c r="D5" s="91"/>
      <c r="E5" s="91"/>
      <c r="F5" s="91"/>
      <c r="G5" s="92"/>
      <c r="H5" s="11"/>
    </row>
    <row r="6" spans="1:10" ht="15.75" x14ac:dyDescent="0.25">
      <c r="A6" s="11"/>
      <c r="B6" s="11"/>
      <c r="C6" s="11"/>
      <c r="D6" s="11"/>
      <c r="E6" s="11"/>
      <c r="F6" s="11"/>
      <c r="G6" s="89" t="s">
        <v>25</v>
      </c>
      <c r="H6" s="11"/>
    </row>
    <row r="7" spans="1:10" ht="15.75" x14ac:dyDescent="0.25">
      <c r="A7" s="11" t="s">
        <v>253</v>
      </c>
      <c r="B7" s="11"/>
      <c r="C7" s="11"/>
      <c r="D7" s="11"/>
      <c r="E7" s="11"/>
      <c r="F7" s="11"/>
      <c r="G7" s="93">
        <v>560</v>
      </c>
      <c r="H7" s="11"/>
    </row>
    <row r="8" spans="1:10" ht="15.75" x14ac:dyDescent="0.25">
      <c r="A8" s="11" t="s">
        <v>254</v>
      </c>
      <c r="B8" s="11"/>
      <c r="C8" s="11"/>
      <c r="D8" s="11"/>
      <c r="E8" s="11"/>
      <c r="F8" s="11"/>
      <c r="G8" s="93">
        <v>200</v>
      </c>
      <c r="H8" s="11"/>
    </row>
    <row r="9" spans="1:10" ht="15.75" x14ac:dyDescent="0.25">
      <c r="A9" s="11" t="s">
        <v>255</v>
      </c>
      <c r="B9" s="11"/>
      <c r="C9" s="11"/>
      <c r="D9" s="11"/>
      <c r="E9" s="11"/>
      <c r="F9" s="11"/>
      <c r="G9" s="93">
        <v>465</v>
      </c>
      <c r="H9" s="11"/>
    </row>
    <row r="10" spans="1:10" ht="15.75" x14ac:dyDescent="0.25">
      <c r="A10" s="11" t="s">
        <v>906</v>
      </c>
      <c r="B10" s="11"/>
      <c r="C10" s="11"/>
      <c r="D10" s="11"/>
      <c r="E10" s="11"/>
      <c r="F10" s="11"/>
      <c r="G10" s="93">
        <v>14900</v>
      </c>
      <c r="H10" s="11"/>
    </row>
    <row r="11" spans="1:10" ht="15.75" x14ac:dyDescent="0.25">
      <c r="A11" s="11"/>
      <c r="B11" s="11"/>
      <c r="C11" s="11"/>
      <c r="D11" s="11"/>
      <c r="E11" s="11"/>
      <c r="F11" s="11"/>
      <c r="G11" s="93"/>
      <c r="H11" s="11"/>
    </row>
    <row r="12" spans="1:10" ht="15.75" x14ac:dyDescent="0.25">
      <c r="A12" s="90" t="s">
        <v>24</v>
      </c>
      <c r="B12" s="11"/>
      <c r="C12" s="11"/>
      <c r="D12" s="11"/>
      <c r="E12" s="11"/>
      <c r="F12" s="11"/>
      <c r="G12" s="94">
        <f>SUM(G7:G10)</f>
        <v>16125</v>
      </c>
      <c r="H12" s="11"/>
    </row>
    <row r="13" spans="1:10" ht="15.75" x14ac:dyDescent="0.25">
      <c r="A13" s="11"/>
      <c r="B13" s="11"/>
      <c r="C13" s="11"/>
      <c r="D13" s="11"/>
      <c r="E13" s="11"/>
      <c r="F13" s="11"/>
      <c r="G13" s="93"/>
      <c r="H13" s="11"/>
    </row>
    <row r="14" spans="1:10" ht="15.75" x14ac:dyDescent="0.25">
      <c r="A14" s="11"/>
      <c r="B14" s="11"/>
      <c r="C14" s="11"/>
      <c r="D14" s="11"/>
      <c r="E14" s="11"/>
      <c r="F14" s="11"/>
      <c r="G14" s="93"/>
      <c r="H14" s="11"/>
    </row>
    <row r="15" spans="1:10" ht="15.75" x14ac:dyDescent="0.25">
      <c r="A15" s="206" t="s">
        <v>256</v>
      </c>
      <c r="B15" s="206"/>
      <c r="C15" s="206"/>
      <c r="D15" s="206"/>
      <c r="E15" s="206"/>
      <c r="F15" s="206"/>
      <c r="G15" s="207">
        <v>3864</v>
      </c>
      <c r="H15" s="206"/>
      <c r="J15" s="11"/>
    </row>
    <row r="16" spans="1:10" ht="15.75" x14ac:dyDescent="0.25">
      <c r="A16" s="206"/>
      <c r="B16" s="206"/>
      <c r="C16" s="206"/>
      <c r="D16" s="206"/>
      <c r="E16" s="206"/>
      <c r="F16" s="206"/>
      <c r="G16" s="207"/>
      <c r="H16" s="206"/>
    </row>
    <row r="17" spans="1:8" ht="15.75" x14ac:dyDescent="0.25">
      <c r="A17" s="206" t="s">
        <v>257</v>
      </c>
      <c r="B17" s="206"/>
      <c r="C17" s="206"/>
      <c r="D17" s="206"/>
      <c r="E17" s="206"/>
      <c r="F17" s="206"/>
      <c r="G17" s="207">
        <v>200</v>
      </c>
      <c r="H17" s="206"/>
    </row>
    <row r="18" spans="1:8" ht="15.75" x14ac:dyDescent="0.25">
      <c r="A18" s="206"/>
      <c r="B18" s="206"/>
      <c r="C18" s="206"/>
      <c r="D18" s="206"/>
      <c r="E18" s="206"/>
      <c r="F18" s="206"/>
      <c r="G18" s="207"/>
      <c r="H18" s="206"/>
    </row>
    <row r="19" spans="1:8" ht="15.75" x14ac:dyDescent="0.25">
      <c r="A19" s="206"/>
      <c r="B19" s="206"/>
      <c r="C19" s="206"/>
      <c r="D19" s="206"/>
      <c r="E19" s="206"/>
      <c r="F19" s="206"/>
      <c r="G19" s="207"/>
      <c r="H19" s="206"/>
    </row>
    <row r="20" spans="1:8" ht="15.75" x14ac:dyDescent="0.25">
      <c r="A20" s="208"/>
      <c r="B20" s="9"/>
      <c r="C20" s="9"/>
      <c r="D20" s="9"/>
      <c r="E20" s="9"/>
      <c r="F20" s="9"/>
      <c r="G20" s="209"/>
      <c r="H20" s="9"/>
    </row>
    <row r="21" spans="1:8" ht="15.75" x14ac:dyDescent="0.25">
      <c r="A21" s="208"/>
      <c r="B21" s="9"/>
      <c r="C21" s="9"/>
      <c r="D21" s="9"/>
      <c r="E21" s="9"/>
      <c r="F21" s="9"/>
      <c r="G21" s="209"/>
      <c r="H21" s="9"/>
    </row>
    <row r="22" spans="1:8" x14ac:dyDescent="0.2">
      <c r="A22" s="9"/>
      <c r="B22" s="9"/>
      <c r="C22" s="9"/>
      <c r="D22" s="9"/>
      <c r="E22" s="9"/>
      <c r="F22" s="9"/>
      <c r="G22" s="209"/>
      <c r="H22" s="9"/>
    </row>
    <row r="23" spans="1:8" x14ac:dyDescent="0.2">
      <c r="A23" s="9"/>
      <c r="B23" s="9"/>
      <c r="C23" s="9"/>
      <c r="D23" s="9"/>
      <c r="E23" s="9"/>
      <c r="F23" s="9"/>
      <c r="G23" s="209"/>
      <c r="H23" s="9"/>
    </row>
    <row r="24" spans="1:8" x14ac:dyDescent="0.2">
      <c r="A24" s="9"/>
      <c r="B24" s="9"/>
      <c r="C24" s="9"/>
      <c r="D24" s="9"/>
      <c r="E24" s="9"/>
      <c r="F24" s="9"/>
      <c r="G24" s="209"/>
      <c r="H24" s="9"/>
    </row>
    <row r="25" spans="1:8" x14ac:dyDescent="0.2">
      <c r="A25" s="9"/>
      <c r="B25" s="9"/>
      <c r="C25" s="9"/>
      <c r="D25" s="9"/>
      <c r="E25" s="9"/>
      <c r="F25" s="9"/>
      <c r="G25" s="209"/>
      <c r="H25" s="9"/>
    </row>
    <row r="26" spans="1:8" x14ac:dyDescent="0.2">
      <c r="A26" s="9"/>
      <c r="B26" s="9"/>
      <c r="C26" s="9"/>
      <c r="D26" s="9"/>
      <c r="E26" s="9"/>
      <c r="F26" s="9"/>
      <c r="G26" s="209"/>
      <c r="H26" s="9"/>
    </row>
    <row r="27" spans="1:8" x14ac:dyDescent="0.2">
      <c r="A27" s="9"/>
      <c r="B27" s="9"/>
      <c r="C27" s="9"/>
      <c r="D27" s="9"/>
      <c r="E27" s="9"/>
      <c r="F27" s="9"/>
      <c r="G27" s="209"/>
      <c r="H27" s="9"/>
    </row>
    <row r="28" spans="1:8" x14ac:dyDescent="0.2">
      <c r="A28" s="9"/>
      <c r="B28" s="9"/>
      <c r="C28" s="9"/>
      <c r="D28" s="9"/>
      <c r="E28" s="9"/>
      <c r="F28" s="9"/>
      <c r="G28" s="20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</sheetData>
  <mergeCells count="3">
    <mergeCell ref="A1:I1"/>
    <mergeCell ref="A3:I3"/>
    <mergeCell ref="A4:I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95"/>
  <sheetViews>
    <sheetView view="pageBreakPreview" topLeftCell="A10" zoomScaleNormal="100" zoomScaleSheetLayoutView="100" workbookViewId="0">
      <selection activeCell="G1" sqref="G1"/>
    </sheetView>
  </sheetViews>
  <sheetFormatPr defaultColWidth="9.140625" defaultRowHeight="12.75" x14ac:dyDescent="0.2"/>
  <cols>
    <col min="1" max="1" width="6.7109375" style="9" customWidth="1"/>
    <col min="2" max="2" width="33.7109375" style="9" customWidth="1"/>
    <col min="3" max="3" width="45.7109375" style="9" customWidth="1"/>
    <col min="4" max="4" width="14.85546875" style="9" customWidth="1"/>
    <col min="5" max="5" width="14.5703125" style="9" customWidth="1"/>
    <col min="6" max="6" width="16.140625" style="9" customWidth="1"/>
    <col min="7" max="13" width="9.140625" style="9"/>
    <col min="14" max="16384" width="9.140625" style="10"/>
  </cols>
  <sheetData>
    <row r="1" spans="1:6" ht="15" x14ac:dyDescent="0.25">
      <c r="B1" s="15"/>
      <c r="C1" s="15"/>
      <c r="D1" s="15"/>
      <c r="E1" s="15"/>
      <c r="F1" s="220" t="s">
        <v>1116</v>
      </c>
    </row>
    <row r="2" spans="1:6" ht="15" x14ac:dyDescent="0.25">
      <c r="A2" s="16"/>
      <c r="B2" s="17"/>
      <c r="C2" s="17"/>
      <c r="D2" s="17"/>
      <c r="E2" s="17"/>
      <c r="F2" s="52"/>
    </row>
    <row r="3" spans="1:6" ht="13.5" x14ac:dyDescent="0.25">
      <c r="A3" s="688" t="s">
        <v>188</v>
      </c>
      <c r="B3" s="688"/>
      <c r="C3" s="688"/>
      <c r="D3" s="688"/>
      <c r="E3" s="688"/>
      <c r="F3" s="688"/>
    </row>
    <row r="4" spans="1:6" ht="13.5" x14ac:dyDescent="0.25">
      <c r="A4" s="16"/>
      <c r="B4" s="18"/>
      <c r="C4" s="16"/>
      <c r="D4" s="19"/>
      <c r="E4" s="19"/>
      <c r="F4" s="19"/>
    </row>
    <row r="5" spans="1:6" ht="15.75" x14ac:dyDescent="0.25">
      <c r="A5" s="689" t="s">
        <v>189</v>
      </c>
      <c r="B5" s="689"/>
      <c r="C5" s="689"/>
      <c r="D5" s="689"/>
      <c r="E5" s="689"/>
      <c r="F5" s="689"/>
    </row>
    <row r="6" spans="1:6" ht="13.5" x14ac:dyDescent="0.2">
      <c r="A6" s="21"/>
      <c r="B6" s="25"/>
      <c r="C6" s="26"/>
      <c r="D6" s="25"/>
      <c r="E6" s="25"/>
      <c r="F6" s="27" t="s">
        <v>190</v>
      </c>
    </row>
    <row r="7" spans="1:6" ht="13.5" x14ac:dyDescent="0.2">
      <c r="A7" s="28" t="s">
        <v>191</v>
      </c>
      <c r="B7" s="22" t="s">
        <v>192</v>
      </c>
      <c r="C7" s="22" t="s">
        <v>193</v>
      </c>
      <c r="D7" s="22" t="s">
        <v>743</v>
      </c>
      <c r="E7" s="22" t="s">
        <v>224</v>
      </c>
      <c r="F7" s="29" t="s">
        <v>194</v>
      </c>
    </row>
    <row r="8" spans="1:6" ht="13.5" x14ac:dyDescent="0.2">
      <c r="A8" s="28"/>
      <c r="B8" s="22"/>
      <c r="C8" s="22"/>
      <c r="D8" s="22"/>
      <c r="E8" s="22"/>
      <c r="F8" s="29"/>
    </row>
    <row r="9" spans="1:6" ht="25.5" x14ac:dyDescent="0.2">
      <c r="A9" s="30">
        <v>1</v>
      </c>
      <c r="B9" s="31" t="s">
        <v>196</v>
      </c>
      <c r="C9" s="32" t="s">
        <v>197</v>
      </c>
      <c r="D9" s="22"/>
      <c r="E9" s="22"/>
      <c r="F9" s="29"/>
    </row>
    <row r="10" spans="1:6" ht="13.5" x14ac:dyDescent="0.2">
      <c r="A10" s="28"/>
      <c r="B10" s="33" t="s">
        <v>31</v>
      </c>
      <c r="C10" s="22"/>
      <c r="D10" s="22"/>
      <c r="E10" s="22"/>
      <c r="F10" s="29"/>
    </row>
    <row r="11" spans="1:6" ht="13.5" x14ac:dyDescent="0.2">
      <c r="A11" s="28"/>
      <c r="B11" s="34" t="s">
        <v>195</v>
      </c>
      <c r="C11" s="35"/>
      <c r="D11" s="36">
        <v>141990461</v>
      </c>
      <c r="E11" s="36">
        <v>1600398</v>
      </c>
      <c r="F11" s="19">
        <f>SUM(D11:E11)</f>
        <v>143590859</v>
      </c>
    </row>
    <row r="12" spans="1:6" ht="13.5" x14ac:dyDescent="0.2">
      <c r="A12" s="28"/>
      <c r="B12" s="34" t="s">
        <v>225</v>
      </c>
      <c r="C12" s="35"/>
      <c r="D12" s="36">
        <v>14056728</v>
      </c>
      <c r="E12" s="36">
        <v>0</v>
      </c>
      <c r="F12" s="19">
        <f>SUM(D12:E12)</f>
        <v>14056728</v>
      </c>
    </row>
    <row r="13" spans="1:6" ht="13.5" x14ac:dyDescent="0.25">
      <c r="A13" s="223"/>
      <c r="B13" s="224" t="s">
        <v>26</v>
      </c>
      <c r="C13" s="225"/>
      <c r="D13" s="226">
        <f>SUM(D11:D12)</f>
        <v>156047189</v>
      </c>
      <c r="E13" s="226">
        <f t="shared" ref="E13" si="0">SUM(E11:E12)</f>
        <v>1600398</v>
      </c>
      <c r="F13" s="226">
        <f>SUM(F11:F12)</f>
        <v>157647587</v>
      </c>
    </row>
    <row r="14" spans="1:6" ht="13.5" x14ac:dyDescent="0.2">
      <c r="A14" s="28"/>
      <c r="B14" s="22"/>
      <c r="C14" s="22"/>
      <c r="D14" s="22"/>
      <c r="E14" s="22"/>
      <c r="F14" s="29"/>
    </row>
    <row r="15" spans="1:6" ht="38.25" x14ac:dyDescent="0.2">
      <c r="A15" s="30">
        <v>2</v>
      </c>
      <c r="B15" s="31" t="s">
        <v>198</v>
      </c>
      <c r="C15" s="32" t="s">
        <v>199</v>
      </c>
      <c r="D15" s="22"/>
      <c r="E15" s="22"/>
      <c r="F15" s="29"/>
    </row>
    <row r="16" spans="1:6" ht="13.5" x14ac:dyDescent="0.2">
      <c r="A16" s="28"/>
      <c r="B16" s="33" t="s">
        <v>31</v>
      </c>
      <c r="C16" s="22"/>
      <c r="D16" s="22"/>
      <c r="E16" s="22"/>
      <c r="F16" s="29"/>
    </row>
    <row r="17" spans="1:13" ht="13.5" x14ac:dyDescent="0.2">
      <c r="A17" s="28"/>
      <c r="B17" s="34" t="s">
        <v>195</v>
      </c>
      <c r="C17" s="35"/>
      <c r="D17" s="36">
        <v>8474064</v>
      </c>
      <c r="E17" s="36">
        <v>3455347</v>
      </c>
      <c r="F17" s="19">
        <f>SUM(D17:E17)</f>
        <v>11929411</v>
      </c>
    </row>
    <row r="18" spans="1:13" s="41" customFormat="1" ht="13.5" x14ac:dyDescent="0.25">
      <c r="A18" s="37"/>
      <c r="B18" s="38" t="s">
        <v>26</v>
      </c>
      <c r="C18" s="39"/>
      <c r="D18" s="40">
        <f>SUM(D17:D17)</f>
        <v>8474064</v>
      </c>
      <c r="E18" s="40">
        <f>SUM(E17:E17)</f>
        <v>3455347</v>
      </c>
      <c r="F18" s="40">
        <f>SUM(F17:F17)</f>
        <v>11929411</v>
      </c>
      <c r="G18" s="211"/>
      <c r="H18" s="211"/>
      <c r="I18" s="211"/>
      <c r="J18" s="211"/>
      <c r="K18" s="211"/>
      <c r="L18" s="211"/>
      <c r="M18" s="211"/>
    </row>
    <row r="19" spans="1:13" s="41" customFormat="1" ht="13.5" x14ac:dyDescent="0.25">
      <c r="A19" s="21"/>
      <c r="B19" s="222"/>
      <c r="C19" s="22"/>
      <c r="D19" s="23"/>
      <c r="E19" s="23"/>
      <c r="F19" s="23"/>
      <c r="G19" s="211"/>
      <c r="H19" s="211"/>
      <c r="I19" s="211"/>
      <c r="J19" s="211"/>
      <c r="K19" s="211"/>
      <c r="L19" s="211"/>
      <c r="M19" s="211"/>
    </row>
    <row r="20" spans="1:13" ht="38.25" x14ac:dyDescent="0.2">
      <c r="A20" s="30">
        <v>3</v>
      </c>
      <c r="B20" s="31" t="s">
        <v>202</v>
      </c>
      <c r="C20" s="32" t="s">
        <v>203</v>
      </c>
      <c r="D20" s="22"/>
      <c r="E20" s="22"/>
      <c r="F20" s="29"/>
    </row>
    <row r="21" spans="1:13" ht="13.5" x14ac:dyDescent="0.2">
      <c r="A21" s="28"/>
      <c r="B21" s="33" t="s">
        <v>31</v>
      </c>
      <c r="C21" s="22"/>
      <c r="D21" s="22"/>
      <c r="E21" s="22"/>
      <c r="F21" s="29"/>
    </row>
    <row r="22" spans="1:13" ht="13.5" x14ac:dyDescent="0.2">
      <c r="A22" s="28"/>
      <c r="B22" s="34" t="s">
        <v>195</v>
      </c>
      <c r="C22" s="35"/>
      <c r="D22" s="36">
        <v>6255276</v>
      </c>
      <c r="E22" s="36">
        <v>5012374</v>
      </c>
      <c r="F22" s="19">
        <f>SUM(D22:E22)</f>
        <v>11267650</v>
      </c>
    </row>
    <row r="23" spans="1:13" ht="13.5" x14ac:dyDescent="0.25">
      <c r="A23" s="37"/>
      <c r="B23" s="38" t="s">
        <v>26</v>
      </c>
      <c r="C23" s="39"/>
      <c r="D23" s="40">
        <f>SUM(D22:D22)</f>
        <v>6255276</v>
      </c>
      <c r="E23" s="40">
        <f>SUM(E22:E22)</f>
        <v>5012374</v>
      </c>
      <c r="F23" s="40">
        <f>SUM(F22:F22)</f>
        <v>11267650</v>
      </c>
    </row>
    <row r="24" spans="1:13" s="41" customFormat="1" ht="13.5" x14ac:dyDescent="0.25">
      <c r="A24" s="21"/>
      <c r="B24" s="222"/>
      <c r="C24" s="22"/>
      <c r="D24" s="23"/>
      <c r="E24" s="23"/>
      <c r="F24" s="23"/>
      <c r="G24" s="211"/>
      <c r="H24" s="211"/>
      <c r="I24" s="211"/>
      <c r="J24" s="211"/>
      <c r="K24" s="211"/>
      <c r="L24" s="211"/>
      <c r="M24" s="211"/>
    </row>
    <row r="25" spans="1:13" ht="38.25" x14ac:dyDescent="0.2">
      <c r="A25" s="30">
        <v>4</v>
      </c>
      <c r="B25" s="31" t="s">
        <v>200</v>
      </c>
      <c r="C25" s="32" t="s">
        <v>201</v>
      </c>
      <c r="D25" s="22"/>
      <c r="E25" s="22"/>
      <c r="F25" s="29"/>
    </row>
    <row r="26" spans="1:13" ht="13.5" x14ac:dyDescent="0.2">
      <c r="A26" s="28"/>
      <c r="B26" s="33" t="s">
        <v>31</v>
      </c>
      <c r="C26" s="22"/>
      <c r="D26" s="22"/>
      <c r="E26" s="22"/>
      <c r="F26" s="29"/>
    </row>
    <row r="27" spans="1:13" ht="13.5" x14ac:dyDescent="0.2">
      <c r="A27" s="28"/>
      <c r="B27" s="34" t="s">
        <v>195</v>
      </c>
      <c r="C27" s="35"/>
      <c r="D27" s="36">
        <v>12798978</v>
      </c>
      <c r="E27" s="36">
        <v>10089112</v>
      </c>
      <c r="F27" s="36">
        <f>SUM(D27:E27)</f>
        <v>22888090</v>
      </c>
    </row>
    <row r="28" spans="1:13" ht="13.5" x14ac:dyDescent="0.25">
      <c r="A28" s="37"/>
      <c r="B28" s="38" t="s">
        <v>26</v>
      </c>
      <c r="C28" s="39"/>
      <c r="D28" s="40">
        <f>SUM(D27:D27)</f>
        <v>12798978</v>
      </c>
      <c r="E28" s="40">
        <f>SUM(E27:E27)</f>
        <v>10089112</v>
      </c>
      <c r="F28" s="40">
        <f>SUM(F27:F27)</f>
        <v>22888090</v>
      </c>
    </row>
    <row r="29" spans="1:13" ht="13.5" x14ac:dyDescent="0.2">
      <c r="A29" s="28"/>
      <c r="B29" s="22"/>
      <c r="C29" s="22"/>
      <c r="D29" s="22"/>
      <c r="E29" s="22"/>
      <c r="F29" s="29"/>
    </row>
    <row r="30" spans="1:13" ht="25.5" x14ac:dyDescent="0.2">
      <c r="A30" s="30">
        <v>5</v>
      </c>
      <c r="B30" s="31" t="s">
        <v>204</v>
      </c>
      <c r="C30" s="32" t="s">
        <v>205</v>
      </c>
      <c r="D30" s="22"/>
      <c r="E30" s="22"/>
      <c r="F30" s="29"/>
    </row>
    <row r="31" spans="1:13" ht="13.5" x14ac:dyDescent="0.2">
      <c r="A31" s="28"/>
      <c r="B31" s="33" t="s">
        <v>31</v>
      </c>
      <c r="C31" s="22"/>
      <c r="D31" s="22"/>
      <c r="E31" s="22"/>
      <c r="F31" s="29"/>
    </row>
    <row r="32" spans="1:13" ht="13.5" x14ac:dyDescent="0.2">
      <c r="A32" s="28"/>
      <c r="B32" s="34" t="s">
        <v>195</v>
      </c>
      <c r="C32" s="35"/>
      <c r="D32" s="36">
        <v>21453020</v>
      </c>
      <c r="E32" s="36">
        <v>0</v>
      </c>
      <c r="F32" s="36">
        <f>SUM(D32:E32)</f>
        <v>21453020</v>
      </c>
    </row>
    <row r="33" spans="1:6" ht="13.5" x14ac:dyDescent="0.25">
      <c r="A33" s="37"/>
      <c r="B33" s="38" t="s">
        <v>26</v>
      </c>
      <c r="C33" s="39"/>
      <c r="D33" s="40">
        <f>SUM(D32:D32)</f>
        <v>21453020</v>
      </c>
      <c r="E33" s="40">
        <f>SUM(E32:E32)</f>
        <v>0</v>
      </c>
      <c r="F33" s="40">
        <f>SUM(F32:F32)</f>
        <v>21453020</v>
      </c>
    </row>
    <row r="34" spans="1:6" ht="13.5" x14ac:dyDescent="0.25">
      <c r="A34" s="21"/>
      <c r="B34" s="222"/>
      <c r="C34" s="22"/>
      <c r="D34" s="23"/>
      <c r="E34" s="23"/>
      <c r="F34" s="23"/>
    </row>
    <row r="35" spans="1:6" ht="13.5" x14ac:dyDescent="0.2">
      <c r="A35" s="30">
        <v>6</v>
      </c>
      <c r="B35" s="31" t="s">
        <v>206</v>
      </c>
      <c r="C35" s="32" t="s">
        <v>207</v>
      </c>
      <c r="D35" s="22"/>
      <c r="E35" s="22"/>
      <c r="F35" s="29"/>
    </row>
    <row r="36" spans="1:6" ht="13.5" x14ac:dyDescent="0.2">
      <c r="A36" s="28"/>
      <c r="B36" s="33" t="s">
        <v>31</v>
      </c>
      <c r="C36" s="22"/>
      <c r="D36" s="22"/>
      <c r="E36" s="22"/>
      <c r="F36" s="29"/>
    </row>
    <row r="37" spans="1:6" ht="13.5" x14ac:dyDescent="0.2">
      <c r="A37" s="28"/>
      <c r="B37" s="34" t="s">
        <v>195</v>
      </c>
      <c r="C37" s="35"/>
      <c r="D37" s="36">
        <v>155205937</v>
      </c>
      <c r="E37" s="36">
        <v>3844903</v>
      </c>
      <c r="F37" s="36">
        <f>SUM(D37:E37)</f>
        <v>159050840</v>
      </c>
    </row>
    <row r="38" spans="1:6" ht="13.5" x14ac:dyDescent="0.25">
      <c r="A38" s="37"/>
      <c r="B38" s="38" t="s">
        <v>26</v>
      </c>
      <c r="C38" s="39"/>
      <c r="D38" s="40">
        <f>SUM(D37:D37)</f>
        <v>155205937</v>
      </c>
      <c r="E38" s="40">
        <f>SUM(E37:E37)</f>
        <v>3844903</v>
      </c>
      <c r="F38" s="40">
        <f>SUM(F37:F37)</f>
        <v>159050840</v>
      </c>
    </row>
    <row r="39" spans="1:6" ht="13.5" x14ac:dyDescent="0.25">
      <c r="A39" s="21"/>
      <c r="B39" s="222"/>
      <c r="C39" s="22"/>
      <c r="D39" s="23"/>
      <c r="E39" s="23"/>
      <c r="F39" s="23"/>
    </row>
    <row r="40" spans="1:6" ht="13.5" x14ac:dyDescent="0.2">
      <c r="A40" s="30">
        <v>7</v>
      </c>
      <c r="B40" s="31" t="s">
        <v>208</v>
      </c>
      <c r="C40" s="32" t="s">
        <v>209</v>
      </c>
      <c r="D40" s="22"/>
      <c r="E40" s="22"/>
      <c r="F40" s="29"/>
    </row>
    <row r="41" spans="1:6" ht="13.5" x14ac:dyDescent="0.2">
      <c r="A41" s="28"/>
      <c r="B41" s="33" t="s">
        <v>31</v>
      </c>
      <c r="C41" s="22"/>
      <c r="D41" s="22"/>
      <c r="E41" s="22"/>
      <c r="F41" s="29"/>
    </row>
    <row r="42" spans="1:6" ht="13.5" x14ac:dyDescent="0.2">
      <c r="A42" s="28"/>
      <c r="B42" s="34" t="s">
        <v>195</v>
      </c>
      <c r="C42" s="35"/>
      <c r="D42" s="36">
        <v>131434828</v>
      </c>
      <c r="E42" s="36">
        <v>2276019</v>
      </c>
      <c r="F42" s="36">
        <f>SUM(D42:E42)</f>
        <v>133710847</v>
      </c>
    </row>
    <row r="43" spans="1:6" ht="13.5" x14ac:dyDescent="0.25">
      <c r="A43" s="37"/>
      <c r="B43" s="38" t="s">
        <v>26</v>
      </c>
      <c r="C43" s="39"/>
      <c r="D43" s="40">
        <f>SUM(D42:D42)</f>
        <v>131434828</v>
      </c>
      <c r="E43" s="40">
        <f>SUM(E42:E42)</f>
        <v>2276019</v>
      </c>
      <c r="F43" s="40">
        <f>SUM(F42:F42)</f>
        <v>133710847</v>
      </c>
    </row>
    <row r="44" spans="1:6" ht="13.5" x14ac:dyDescent="0.25">
      <c r="A44" s="21"/>
      <c r="B44" s="222"/>
      <c r="C44" s="22"/>
      <c r="D44" s="23"/>
      <c r="E44" s="23"/>
      <c r="F44" s="23"/>
    </row>
    <row r="45" spans="1:6" x14ac:dyDescent="0.2">
      <c r="A45" s="30">
        <v>8</v>
      </c>
      <c r="B45" s="31" t="s">
        <v>258</v>
      </c>
      <c r="C45" s="227" t="s">
        <v>259</v>
      </c>
    </row>
    <row r="46" spans="1:6" ht="13.5" x14ac:dyDescent="0.25">
      <c r="A46" s="21"/>
      <c r="B46" s="222"/>
      <c r="C46" s="22"/>
    </row>
    <row r="47" spans="1:6" ht="13.5" x14ac:dyDescent="0.25">
      <c r="A47" s="21"/>
      <c r="B47" s="33" t="s">
        <v>31</v>
      </c>
      <c r="C47" s="22"/>
      <c r="D47" s="23"/>
      <c r="E47" s="23"/>
      <c r="F47" s="23"/>
    </row>
    <row r="48" spans="1:6" ht="13.5" x14ac:dyDescent="0.2">
      <c r="A48" s="21"/>
      <c r="B48" s="228" t="s">
        <v>260</v>
      </c>
      <c r="C48" s="22"/>
      <c r="D48" s="36">
        <v>88239210</v>
      </c>
      <c r="E48" s="36">
        <v>0</v>
      </c>
      <c r="F48" s="36">
        <v>88239210</v>
      </c>
    </row>
    <row r="49" spans="1:6" ht="13.5" x14ac:dyDescent="0.2">
      <c r="A49" s="21"/>
      <c r="B49" s="34" t="s">
        <v>225</v>
      </c>
      <c r="C49" s="22"/>
      <c r="D49" s="36">
        <v>500000</v>
      </c>
      <c r="E49" s="36">
        <v>11195314</v>
      </c>
      <c r="F49" s="36">
        <f>SUM(D49:E49)</f>
        <v>11695314</v>
      </c>
    </row>
    <row r="50" spans="1:6" ht="13.5" x14ac:dyDescent="0.25">
      <c r="A50" s="229"/>
      <c r="B50" s="210" t="s">
        <v>26</v>
      </c>
      <c r="C50" s="39"/>
      <c r="D50" s="40">
        <f>SUM(D48:D49)</f>
        <v>88739210</v>
      </c>
      <c r="E50" s="40">
        <f t="shared" ref="E50:F50" si="1">SUM(E48:E49)</f>
        <v>11195314</v>
      </c>
      <c r="F50" s="40">
        <f t="shared" si="1"/>
        <v>99934524</v>
      </c>
    </row>
    <row r="51" spans="1:6" ht="13.5" x14ac:dyDescent="0.25">
      <c r="A51" s="211"/>
      <c r="B51" s="212"/>
      <c r="C51" s="22"/>
      <c r="D51" s="23"/>
      <c r="E51" s="23"/>
      <c r="F51" s="23"/>
    </row>
    <row r="52" spans="1:6" ht="25.5" x14ac:dyDescent="0.2">
      <c r="A52" s="30">
        <v>9</v>
      </c>
      <c r="B52" s="31" t="s">
        <v>210</v>
      </c>
      <c r="C52" s="32" t="s">
        <v>211</v>
      </c>
      <c r="D52" s="22"/>
      <c r="E52" s="22"/>
      <c r="F52" s="29"/>
    </row>
    <row r="53" spans="1:6" ht="13.5" x14ac:dyDescent="0.2">
      <c r="A53" s="28"/>
      <c r="B53" s="33" t="s">
        <v>31</v>
      </c>
      <c r="C53" s="22"/>
      <c r="D53" s="22"/>
      <c r="E53" s="22"/>
      <c r="F53" s="29"/>
    </row>
    <row r="54" spans="1:6" ht="13.5" x14ac:dyDescent="0.2">
      <c r="A54" s="28"/>
      <c r="B54" s="34" t="s">
        <v>195</v>
      </c>
      <c r="C54" s="35"/>
      <c r="D54" s="36">
        <v>187124545</v>
      </c>
      <c r="E54" s="36">
        <v>0</v>
      </c>
      <c r="F54" s="36">
        <f>SUM(D54:E54)</f>
        <v>187124545</v>
      </c>
    </row>
    <row r="55" spans="1:6" ht="13.5" x14ac:dyDescent="0.2">
      <c r="A55" s="28"/>
      <c r="B55" s="34" t="s">
        <v>225</v>
      </c>
      <c r="C55" s="35"/>
      <c r="D55" s="36">
        <v>5241216</v>
      </c>
      <c r="E55" s="36">
        <v>0</v>
      </c>
      <c r="F55" s="36">
        <f>SUM(D55:E55)</f>
        <v>5241216</v>
      </c>
    </row>
    <row r="56" spans="1:6" ht="13.5" x14ac:dyDescent="0.25">
      <c r="A56" s="37"/>
      <c r="B56" s="38" t="s">
        <v>26</v>
      </c>
      <c r="C56" s="39"/>
      <c r="D56" s="40">
        <f>SUM(D54:D55)</f>
        <v>192365761</v>
      </c>
      <c r="E56" s="40">
        <f t="shared" ref="E56" si="2">SUM(E54:E55)</f>
        <v>0</v>
      </c>
      <c r="F56" s="40">
        <f>SUM(F54:F55)</f>
        <v>192365761</v>
      </c>
    </row>
    <row r="57" spans="1:6" ht="13.5" x14ac:dyDescent="0.25">
      <c r="A57" s="211"/>
      <c r="B57" s="212"/>
      <c r="C57" s="22"/>
      <c r="D57" s="23"/>
      <c r="E57" s="23"/>
      <c r="F57" s="23"/>
    </row>
    <row r="58" spans="1:6" ht="38.25" x14ac:dyDescent="0.2">
      <c r="A58" s="30">
        <v>10</v>
      </c>
      <c r="B58" s="230" t="s">
        <v>261</v>
      </c>
      <c r="C58" s="32" t="s">
        <v>262</v>
      </c>
      <c r="E58" s="22"/>
      <c r="F58" s="95"/>
    </row>
    <row r="59" spans="1:6" ht="13.5" x14ac:dyDescent="0.2">
      <c r="A59" s="231"/>
      <c r="B59" s="230"/>
      <c r="C59" s="32"/>
      <c r="E59" s="22"/>
      <c r="F59" s="95"/>
    </row>
    <row r="60" spans="1:6" ht="13.5" x14ac:dyDescent="0.2">
      <c r="A60" s="231"/>
      <c r="B60" s="213" t="s">
        <v>31</v>
      </c>
      <c r="C60" s="32"/>
      <c r="E60" s="22"/>
      <c r="F60" s="95"/>
    </row>
    <row r="61" spans="1:6" ht="13.5" x14ac:dyDescent="0.2">
      <c r="A61" s="211"/>
      <c r="B61" s="232" t="s">
        <v>260</v>
      </c>
      <c r="C61" s="22"/>
      <c r="D61" s="233">
        <v>232664000</v>
      </c>
      <c r="E61" s="234">
        <v>0</v>
      </c>
      <c r="F61" s="233">
        <v>232664000</v>
      </c>
    </row>
    <row r="62" spans="1:6" ht="13.5" x14ac:dyDescent="0.2">
      <c r="A62" s="211"/>
      <c r="B62" s="34" t="s">
        <v>225</v>
      </c>
      <c r="C62" s="22"/>
      <c r="D62" s="233">
        <v>3000000</v>
      </c>
      <c r="E62" s="233">
        <v>8868611</v>
      </c>
      <c r="F62" s="233">
        <f>SUM(D62:E62)</f>
        <v>11868611</v>
      </c>
    </row>
    <row r="63" spans="1:6" ht="13.5" x14ac:dyDescent="0.25">
      <c r="A63" s="229"/>
      <c r="B63" s="210" t="s">
        <v>26</v>
      </c>
      <c r="C63" s="39"/>
      <c r="D63" s="235">
        <f>SUM(D61:D62)</f>
        <v>235664000</v>
      </c>
      <c r="E63" s="235">
        <f t="shared" ref="E63:F63" si="3">SUM(E61:E62)</f>
        <v>8868611</v>
      </c>
      <c r="F63" s="235">
        <f t="shared" si="3"/>
        <v>244532611</v>
      </c>
    </row>
    <row r="64" spans="1:6" ht="13.5" x14ac:dyDescent="0.25">
      <c r="A64" s="211"/>
      <c r="B64" s="212"/>
      <c r="C64" s="22"/>
      <c r="D64" s="215"/>
      <c r="E64" s="215"/>
      <c r="F64" s="215"/>
    </row>
    <row r="65" spans="1:6" ht="25.5" x14ac:dyDescent="0.2">
      <c r="A65" s="30">
        <v>11</v>
      </c>
      <c r="B65" s="31" t="s">
        <v>747</v>
      </c>
      <c r="C65" s="32" t="s">
        <v>748</v>
      </c>
      <c r="D65" s="22"/>
      <c r="E65" s="22"/>
      <c r="F65" s="29"/>
    </row>
    <row r="66" spans="1:6" ht="13.5" x14ac:dyDescent="0.2">
      <c r="A66" s="28"/>
      <c r="B66" s="33" t="s">
        <v>31</v>
      </c>
      <c r="C66" s="22"/>
      <c r="D66" s="22"/>
      <c r="E66" s="22"/>
      <c r="F66" s="29"/>
    </row>
    <row r="67" spans="1:6" ht="13.5" x14ac:dyDescent="0.2">
      <c r="A67" s="28"/>
      <c r="B67" s="34" t="s">
        <v>195</v>
      </c>
      <c r="C67" s="35"/>
      <c r="D67" s="36">
        <v>0</v>
      </c>
      <c r="E67" s="36">
        <v>94527334</v>
      </c>
      <c r="F67" s="36">
        <f>SUM(D67:E67)</f>
        <v>94527334</v>
      </c>
    </row>
    <row r="68" spans="1:6" ht="13.5" x14ac:dyDescent="0.25">
      <c r="A68" s="37"/>
      <c r="B68" s="38" t="s">
        <v>26</v>
      </c>
      <c r="C68" s="39"/>
      <c r="D68" s="40">
        <f>SUM(D67:D67)</f>
        <v>0</v>
      </c>
      <c r="E68" s="40">
        <f>SUM(E67:E67)</f>
        <v>94527334</v>
      </c>
      <c r="F68" s="40">
        <f>SUM(F67:F67)</f>
        <v>94527334</v>
      </c>
    </row>
    <row r="69" spans="1:6" ht="13.5" x14ac:dyDescent="0.25">
      <c r="A69" s="211"/>
      <c r="B69" s="212"/>
      <c r="C69" s="22"/>
      <c r="D69" s="215"/>
      <c r="E69" s="215"/>
      <c r="F69" s="215"/>
    </row>
    <row r="70" spans="1:6" ht="13.5" x14ac:dyDescent="0.2">
      <c r="A70" s="30">
        <v>12</v>
      </c>
      <c r="B70" s="31" t="s">
        <v>745</v>
      </c>
      <c r="C70" s="32" t="s">
        <v>746</v>
      </c>
      <c r="D70" s="22"/>
      <c r="E70" s="22"/>
      <c r="F70" s="29"/>
    </row>
    <row r="71" spans="1:6" ht="13.5" x14ac:dyDescent="0.2">
      <c r="A71" s="28"/>
      <c r="B71" s="33" t="s">
        <v>31</v>
      </c>
      <c r="C71" s="22"/>
      <c r="D71" s="22"/>
      <c r="E71" s="22"/>
      <c r="F71" s="29"/>
    </row>
    <row r="72" spans="1:6" ht="13.5" x14ac:dyDescent="0.2">
      <c r="A72" s="28"/>
      <c r="B72" s="34" t="s">
        <v>195</v>
      </c>
      <c r="C72" s="35"/>
      <c r="D72" s="36">
        <v>0</v>
      </c>
      <c r="E72" s="36">
        <v>135999981</v>
      </c>
      <c r="F72" s="36">
        <f>SUM(D72:E72)</f>
        <v>135999981</v>
      </c>
    </row>
    <row r="73" spans="1:6" ht="13.5" x14ac:dyDescent="0.2">
      <c r="A73" s="28"/>
      <c r="B73" s="34" t="s">
        <v>225</v>
      </c>
      <c r="C73" s="35"/>
      <c r="D73" s="36">
        <v>1076498</v>
      </c>
      <c r="E73" s="36"/>
      <c r="F73" s="36">
        <f>SUM(D73:E73)</f>
        <v>1076498</v>
      </c>
    </row>
    <row r="74" spans="1:6" ht="13.5" x14ac:dyDescent="0.25">
      <c r="A74" s="37"/>
      <c r="B74" s="38" t="s">
        <v>26</v>
      </c>
      <c r="C74" s="39"/>
      <c r="D74" s="40">
        <f>SUM(D72:D73)</f>
        <v>1076498</v>
      </c>
      <c r="E74" s="40">
        <f t="shared" ref="E74:F74" si="4">SUM(E72:E73)</f>
        <v>135999981</v>
      </c>
      <c r="F74" s="40">
        <f t="shared" si="4"/>
        <v>137076479</v>
      </c>
    </row>
    <row r="75" spans="1:6" s="9" customFormat="1" ht="13.5" x14ac:dyDescent="0.25">
      <c r="A75" s="21"/>
      <c r="B75" s="222"/>
      <c r="C75" s="22"/>
      <c r="D75" s="23"/>
      <c r="E75" s="23"/>
      <c r="F75" s="23"/>
    </row>
    <row r="76" spans="1:6" s="9" customFormat="1" ht="51" x14ac:dyDescent="0.2">
      <c r="A76" s="30">
        <v>13</v>
      </c>
      <c r="B76" s="31" t="s">
        <v>749</v>
      </c>
      <c r="C76" s="32" t="s">
        <v>750</v>
      </c>
      <c r="D76" s="22"/>
      <c r="E76" s="22"/>
      <c r="F76" s="29"/>
    </row>
    <row r="77" spans="1:6" s="9" customFormat="1" ht="13.5" x14ac:dyDescent="0.2">
      <c r="A77" s="28"/>
      <c r="B77" s="33" t="s">
        <v>31</v>
      </c>
      <c r="C77" s="22"/>
      <c r="D77" s="22"/>
      <c r="E77" s="22"/>
      <c r="F77" s="29"/>
    </row>
    <row r="78" spans="1:6" s="9" customFormat="1" ht="13.5" x14ac:dyDescent="0.2">
      <c r="A78" s="28"/>
      <c r="B78" s="34" t="s">
        <v>195</v>
      </c>
      <c r="C78" s="35"/>
      <c r="D78" s="36">
        <v>0</v>
      </c>
      <c r="E78" s="36">
        <v>4848860</v>
      </c>
      <c r="F78" s="36">
        <f>SUM(D78:E78)</f>
        <v>4848860</v>
      </c>
    </row>
    <row r="79" spans="1:6" s="9" customFormat="1" ht="13.5" x14ac:dyDescent="0.25">
      <c r="A79" s="37"/>
      <c r="B79" s="38" t="s">
        <v>26</v>
      </c>
      <c r="C79" s="39"/>
      <c r="D79" s="40">
        <f>SUM(D78:D78)</f>
        <v>0</v>
      </c>
      <c r="E79" s="40">
        <f>SUM(E78:E78)</f>
        <v>4848860</v>
      </c>
      <c r="F79" s="40">
        <f>SUM(F78:F78)</f>
        <v>4848860</v>
      </c>
    </row>
    <row r="80" spans="1:6" ht="13.5" x14ac:dyDescent="0.25">
      <c r="A80" s="211"/>
      <c r="B80" s="212"/>
      <c r="C80" s="22"/>
      <c r="D80" s="215"/>
      <c r="E80" s="215"/>
      <c r="F80" s="215"/>
    </row>
    <row r="81" spans="1:6" ht="13.5" x14ac:dyDescent="0.25">
      <c r="A81" s="211"/>
      <c r="B81" s="212"/>
      <c r="C81" s="22"/>
      <c r="D81" s="215"/>
      <c r="E81" s="215"/>
      <c r="F81" s="215"/>
    </row>
    <row r="82" spans="1:6" ht="13.5" x14ac:dyDescent="0.2">
      <c r="A82" s="28"/>
      <c r="B82" s="22"/>
      <c r="C82" s="22"/>
      <c r="D82" s="22"/>
      <c r="E82" s="22"/>
      <c r="F82" s="29"/>
    </row>
    <row r="83" spans="1:6" ht="15.75" x14ac:dyDescent="0.25">
      <c r="A83" s="42"/>
      <c r="B83" s="687" t="s">
        <v>212</v>
      </c>
      <c r="C83" s="687"/>
      <c r="D83" s="43">
        <f>D13+D18+D23+D28+D33+D38+D43+D50+D56+D63+D68+D74+D79</f>
        <v>1009514761</v>
      </c>
      <c r="E83" s="43">
        <f t="shared" ref="E83:F83" si="5">E13+E18+E23+E28+E33+E38+E43+E50+E56+E63+E68+E74+E79</f>
        <v>281718253</v>
      </c>
      <c r="F83" s="43">
        <f t="shared" si="5"/>
        <v>1291233014</v>
      </c>
    </row>
    <row r="84" spans="1:6" x14ac:dyDescent="0.2">
      <c r="A84" s="21"/>
      <c r="B84" s="44"/>
      <c r="C84" s="21"/>
      <c r="D84" s="45"/>
      <c r="E84" s="45"/>
      <c r="F84" s="19"/>
    </row>
    <row r="85" spans="1:6" ht="15.75" x14ac:dyDescent="0.25">
      <c r="A85" s="689" t="s">
        <v>213</v>
      </c>
      <c r="B85" s="689"/>
      <c r="C85" s="689"/>
      <c r="D85" s="689"/>
      <c r="E85" s="689"/>
      <c r="F85" s="689"/>
    </row>
    <row r="86" spans="1:6" ht="13.5" x14ac:dyDescent="0.25">
      <c r="A86" s="690" t="s">
        <v>190</v>
      </c>
      <c r="B86" s="690"/>
      <c r="C86" s="690"/>
      <c r="D86" s="690"/>
      <c r="E86" s="690"/>
      <c r="F86" s="690"/>
    </row>
    <row r="87" spans="1:6" ht="13.5" x14ac:dyDescent="0.25">
      <c r="A87" s="28" t="s">
        <v>191</v>
      </c>
      <c r="B87" s="221" t="s">
        <v>192</v>
      </c>
      <c r="C87" s="22" t="s">
        <v>193</v>
      </c>
      <c r="D87" s="22" t="s">
        <v>743</v>
      </c>
      <c r="E87" s="22" t="s">
        <v>224</v>
      </c>
      <c r="F87" s="29" t="s">
        <v>194</v>
      </c>
    </row>
    <row r="88" spans="1:6" x14ac:dyDescent="0.2">
      <c r="A88" s="21"/>
      <c r="B88" s="46"/>
      <c r="C88" s="21"/>
      <c r="D88" s="47"/>
      <c r="E88" s="47"/>
      <c r="F88" s="19"/>
    </row>
    <row r="89" spans="1:6" ht="25.5" x14ac:dyDescent="0.25">
      <c r="A89" s="30">
        <v>1</v>
      </c>
      <c r="B89" s="31" t="s">
        <v>196</v>
      </c>
      <c r="C89" s="32" t="s">
        <v>197</v>
      </c>
      <c r="D89" s="23"/>
      <c r="E89" s="23"/>
      <c r="F89" s="24"/>
    </row>
    <row r="90" spans="1:6" x14ac:dyDescent="0.2">
      <c r="A90" s="21"/>
      <c r="B90" s="33" t="s">
        <v>31</v>
      </c>
      <c r="C90" s="21"/>
      <c r="D90" s="36"/>
      <c r="E90" s="36"/>
      <c r="F90" s="19"/>
    </row>
    <row r="91" spans="1:6" x14ac:dyDescent="0.2">
      <c r="A91" s="21"/>
      <c r="B91" s="34" t="s">
        <v>214</v>
      </c>
      <c r="C91" s="35" t="s">
        <v>219</v>
      </c>
      <c r="D91" s="36">
        <v>155259087</v>
      </c>
      <c r="E91" s="36">
        <v>0</v>
      </c>
      <c r="F91" s="19">
        <f>SUM(D91:E91)</f>
        <v>155259087</v>
      </c>
    </row>
    <row r="92" spans="1:6" x14ac:dyDescent="0.2">
      <c r="A92" s="21"/>
      <c r="B92" s="34"/>
      <c r="C92" s="35" t="s">
        <v>217</v>
      </c>
      <c r="D92" s="36">
        <v>2388500</v>
      </c>
      <c r="E92" s="36">
        <v>0</v>
      </c>
      <c r="F92" s="19">
        <f>SUM(D92:E92)</f>
        <v>2388500</v>
      </c>
    </row>
    <row r="93" spans="1:6" ht="13.5" x14ac:dyDescent="0.25">
      <c r="A93" s="223"/>
      <c r="B93" s="224" t="s">
        <v>26</v>
      </c>
      <c r="C93" s="225"/>
      <c r="D93" s="226">
        <f>SUM(D91:D92)</f>
        <v>157647587</v>
      </c>
      <c r="E93" s="226">
        <f>SUM(E91:E92)</f>
        <v>0</v>
      </c>
      <c r="F93" s="226">
        <f>SUM(F91:F92)</f>
        <v>157647587</v>
      </c>
    </row>
    <row r="94" spans="1:6" ht="13.5" x14ac:dyDescent="0.25">
      <c r="A94" s="21"/>
      <c r="B94" s="222"/>
      <c r="C94" s="22"/>
      <c r="D94" s="23"/>
      <c r="E94" s="23"/>
      <c r="F94" s="23"/>
    </row>
    <row r="95" spans="1:6" ht="38.25" x14ac:dyDescent="0.25">
      <c r="A95" s="30">
        <v>2</v>
      </c>
      <c r="B95" s="31" t="s">
        <v>198</v>
      </c>
      <c r="C95" s="32" t="s">
        <v>199</v>
      </c>
      <c r="D95" s="23"/>
      <c r="E95" s="23"/>
      <c r="F95" s="24"/>
    </row>
    <row r="96" spans="1:6" x14ac:dyDescent="0.2">
      <c r="A96" s="21"/>
      <c r="B96" s="33" t="s">
        <v>31</v>
      </c>
      <c r="C96" s="21"/>
      <c r="D96" s="36"/>
      <c r="E96" s="36"/>
      <c r="F96" s="19"/>
    </row>
    <row r="97" spans="1:13" x14ac:dyDescent="0.2">
      <c r="A97" s="21"/>
      <c r="B97" s="34" t="s">
        <v>214</v>
      </c>
      <c r="C97" s="35" t="s">
        <v>215</v>
      </c>
      <c r="D97" s="36">
        <v>2706366</v>
      </c>
      <c r="E97" s="36">
        <v>3308544</v>
      </c>
      <c r="F97" s="19">
        <f>SUM(D97:E97)</f>
        <v>6014910</v>
      </c>
    </row>
    <row r="98" spans="1:13" x14ac:dyDescent="0.2">
      <c r="A98" s="21"/>
      <c r="B98" s="34"/>
      <c r="C98" s="35" t="s">
        <v>216</v>
      </c>
      <c r="D98" s="36">
        <v>527741</v>
      </c>
      <c r="E98" s="36">
        <v>666310</v>
      </c>
      <c r="F98" s="19">
        <f>SUM(D98:E98)</f>
        <v>1194051</v>
      </c>
    </row>
    <row r="99" spans="1:13" x14ac:dyDescent="0.2">
      <c r="A99" s="21"/>
      <c r="B99" s="34"/>
      <c r="C99" s="35" t="s">
        <v>217</v>
      </c>
      <c r="D99" s="36">
        <v>1786518</v>
      </c>
      <c r="E99" s="36">
        <v>2298932</v>
      </c>
      <c r="F99" s="19">
        <f>SUM(D99:E99)</f>
        <v>4085450</v>
      </c>
    </row>
    <row r="100" spans="1:13" s="49" customFormat="1" x14ac:dyDescent="0.2">
      <c r="A100" s="21"/>
      <c r="B100" s="48"/>
      <c r="C100" s="35" t="s">
        <v>220</v>
      </c>
      <c r="D100" s="36">
        <v>0</v>
      </c>
      <c r="E100" s="36">
        <v>635000</v>
      </c>
      <c r="F100" s="19">
        <f>SUM(D100:E100)</f>
        <v>635000</v>
      </c>
      <c r="G100" s="48"/>
      <c r="H100" s="48"/>
      <c r="I100" s="48"/>
      <c r="J100" s="48"/>
      <c r="K100" s="48"/>
      <c r="L100" s="48"/>
      <c r="M100" s="48"/>
    </row>
    <row r="101" spans="1:13" s="51" customFormat="1" ht="13.5" x14ac:dyDescent="0.25">
      <c r="A101" s="39"/>
      <c r="B101" s="38" t="s">
        <v>26</v>
      </c>
      <c r="C101" s="50"/>
      <c r="D101" s="40">
        <f>SUM(D97:D100)</f>
        <v>5020625</v>
      </c>
      <c r="E101" s="40">
        <f>SUM(E97:E100)</f>
        <v>6908786</v>
      </c>
      <c r="F101" s="40">
        <f>SUM(F97:F100)</f>
        <v>11929411</v>
      </c>
      <c r="G101" s="216"/>
      <c r="H101" s="216"/>
      <c r="I101" s="216"/>
      <c r="J101" s="216"/>
      <c r="K101" s="216"/>
      <c r="L101" s="216"/>
      <c r="M101" s="216"/>
    </row>
    <row r="102" spans="1:13" s="51" customFormat="1" ht="13.5" x14ac:dyDescent="0.25">
      <c r="A102" s="22"/>
      <c r="B102" s="222"/>
      <c r="C102" s="96"/>
      <c r="D102" s="23"/>
      <c r="E102" s="23"/>
      <c r="F102" s="23"/>
      <c r="G102" s="216"/>
      <c r="H102" s="216"/>
      <c r="I102" s="216"/>
      <c r="J102" s="216"/>
      <c r="K102" s="216"/>
      <c r="L102" s="216"/>
      <c r="M102" s="216"/>
    </row>
    <row r="103" spans="1:13" ht="38.25" x14ac:dyDescent="0.25">
      <c r="A103" s="30">
        <v>3</v>
      </c>
      <c r="B103" s="31" t="s">
        <v>202</v>
      </c>
      <c r="C103" s="32" t="s">
        <v>203</v>
      </c>
      <c r="D103" s="23"/>
      <c r="E103" s="23"/>
      <c r="F103" s="24"/>
    </row>
    <row r="104" spans="1:13" x14ac:dyDescent="0.2">
      <c r="A104" s="21"/>
      <c r="B104" s="33" t="s">
        <v>31</v>
      </c>
      <c r="C104" s="21"/>
      <c r="D104" s="36"/>
      <c r="E104" s="36"/>
      <c r="F104" s="19"/>
    </row>
    <row r="105" spans="1:13" x14ac:dyDescent="0.2">
      <c r="A105" s="21"/>
      <c r="B105" s="34" t="s">
        <v>214</v>
      </c>
      <c r="C105" s="35" t="s">
        <v>215</v>
      </c>
      <c r="D105" s="36">
        <v>3211645</v>
      </c>
      <c r="E105" s="36">
        <v>2751608</v>
      </c>
      <c r="F105" s="19">
        <f>SUM(D105:E105)</f>
        <v>5963253</v>
      </c>
    </row>
    <row r="106" spans="1:13" x14ac:dyDescent="0.2">
      <c r="A106" s="21"/>
      <c r="B106" s="34"/>
      <c r="C106" s="35" t="s">
        <v>216</v>
      </c>
      <c r="D106" s="36">
        <v>626271</v>
      </c>
      <c r="E106" s="36">
        <v>739476</v>
      </c>
      <c r="F106" s="19">
        <f>SUM(D106:E106)</f>
        <v>1365747</v>
      </c>
    </row>
    <row r="107" spans="1:13" x14ac:dyDescent="0.2">
      <c r="A107" s="21"/>
      <c r="B107" s="34"/>
      <c r="C107" s="35" t="s">
        <v>217</v>
      </c>
      <c r="D107" s="36">
        <v>909876</v>
      </c>
      <c r="E107" s="36">
        <v>1504774</v>
      </c>
      <c r="F107" s="19">
        <f>SUM(D107:E107)</f>
        <v>2414650</v>
      </c>
    </row>
    <row r="108" spans="1:13" x14ac:dyDescent="0.2">
      <c r="A108" s="21"/>
      <c r="B108" s="34"/>
      <c r="C108" s="35" t="s">
        <v>220</v>
      </c>
      <c r="D108" s="36">
        <v>0</v>
      </c>
      <c r="E108" s="36">
        <v>1524000</v>
      </c>
      <c r="F108" s="19">
        <f>SUM(D108:E108)</f>
        <v>1524000</v>
      </c>
    </row>
    <row r="109" spans="1:13" ht="13.5" x14ac:dyDescent="0.25">
      <c r="A109" s="37"/>
      <c r="B109" s="38" t="s">
        <v>26</v>
      </c>
      <c r="C109" s="39"/>
      <c r="D109" s="40">
        <f>SUM(D105:D108)</f>
        <v>4747792</v>
      </c>
      <c r="E109" s="40">
        <f>SUM(E105:E108)</f>
        <v>6519858</v>
      </c>
      <c r="F109" s="40">
        <f>SUM(F105:F108)</f>
        <v>11267650</v>
      </c>
    </row>
    <row r="110" spans="1:13" s="51" customFormat="1" ht="13.5" x14ac:dyDescent="0.25">
      <c r="A110" s="22"/>
      <c r="B110" s="222"/>
      <c r="C110" s="96"/>
      <c r="D110" s="23"/>
      <c r="E110" s="23"/>
      <c r="F110" s="23"/>
      <c r="G110" s="216"/>
      <c r="H110" s="216"/>
      <c r="I110" s="216"/>
      <c r="J110" s="216"/>
      <c r="K110" s="216"/>
      <c r="L110" s="216"/>
      <c r="M110" s="216"/>
    </row>
    <row r="111" spans="1:13" ht="38.25" x14ac:dyDescent="0.25">
      <c r="A111" s="30">
        <v>4</v>
      </c>
      <c r="B111" s="31" t="s">
        <v>200</v>
      </c>
      <c r="C111" s="32" t="s">
        <v>201</v>
      </c>
      <c r="D111" s="23"/>
      <c r="E111" s="23"/>
      <c r="F111" s="24"/>
    </row>
    <row r="112" spans="1:13" x14ac:dyDescent="0.2">
      <c r="A112" s="21"/>
      <c r="B112" s="33" t="s">
        <v>31</v>
      </c>
      <c r="C112" s="21"/>
      <c r="D112" s="36"/>
      <c r="E112" s="36"/>
      <c r="F112" s="19"/>
    </row>
    <row r="113" spans="1:6" x14ac:dyDescent="0.2">
      <c r="A113" s="21"/>
      <c r="B113" s="34" t="s">
        <v>214</v>
      </c>
      <c r="C113" s="35" t="s">
        <v>215</v>
      </c>
      <c r="D113" s="36">
        <v>4799084</v>
      </c>
      <c r="E113" s="36">
        <v>5315361</v>
      </c>
      <c r="F113" s="19">
        <f>SUM(D113:E113)</f>
        <v>10114445</v>
      </c>
    </row>
    <row r="114" spans="1:6" x14ac:dyDescent="0.2">
      <c r="A114" s="21"/>
      <c r="B114" s="34"/>
      <c r="C114" s="35" t="s">
        <v>216</v>
      </c>
      <c r="D114" s="36">
        <v>935821</v>
      </c>
      <c r="E114" s="36">
        <v>1179598</v>
      </c>
      <c r="F114" s="19">
        <f>SUM(D114:E114)</f>
        <v>2115419</v>
      </c>
    </row>
    <row r="115" spans="1:6" x14ac:dyDescent="0.2">
      <c r="A115" s="21"/>
      <c r="B115" s="34"/>
      <c r="C115" s="35" t="s">
        <v>217</v>
      </c>
      <c r="D115" s="36">
        <v>5378150</v>
      </c>
      <c r="E115" s="36">
        <v>1470076</v>
      </c>
      <c r="F115" s="19">
        <f>SUM(D115:E115)</f>
        <v>6848226</v>
      </c>
    </row>
    <row r="116" spans="1:6" x14ac:dyDescent="0.2">
      <c r="A116" s="21"/>
      <c r="B116" s="34"/>
      <c r="C116" s="35" t="s">
        <v>220</v>
      </c>
      <c r="D116" s="36">
        <v>0</v>
      </c>
      <c r="E116" s="36">
        <v>3810000</v>
      </c>
      <c r="F116" s="19">
        <f>SUM(D116:E116)</f>
        <v>3810000</v>
      </c>
    </row>
    <row r="117" spans="1:6" ht="13.5" x14ac:dyDescent="0.25">
      <c r="A117" s="37"/>
      <c r="B117" s="38" t="s">
        <v>26</v>
      </c>
      <c r="C117" s="39"/>
      <c r="D117" s="40">
        <f>SUM(D113:D116)</f>
        <v>11113055</v>
      </c>
      <c r="E117" s="40">
        <f>SUM(E113:E116)</f>
        <v>11775035</v>
      </c>
      <c r="F117" s="40">
        <f>SUM(F113:F116)</f>
        <v>22888090</v>
      </c>
    </row>
    <row r="118" spans="1:6" ht="13.5" x14ac:dyDescent="0.25">
      <c r="A118" s="21"/>
      <c r="B118" s="222"/>
      <c r="C118" s="22"/>
      <c r="D118" s="23"/>
      <c r="E118" s="23"/>
      <c r="F118" s="23"/>
    </row>
    <row r="119" spans="1:6" ht="25.5" x14ac:dyDescent="0.25">
      <c r="A119" s="30">
        <v>5</v>
      </c>
      <c r="B119" s="31" t="s">
        <v>204</v>
      </c>
      <c r="C119" s="32" t="s">
        <v>205</v>
      </c>
      <c r="D119" s="23"/>
      <c r="E119" s="23"/>
      <c r="F119" s="24"/>
    </row>
    <row r="120" spans="1:6" x14ac:dyDescent="0.2">
      <c r="A120" s="21"/>
      <c r="B120" s="33" t="s">
        <v>31</v>
      </c>
      <c r="C120" s="21"/>
      <c r="D120" s="36"/>
      <c r="E120" s="36"/>
      <c r="F120" s="19"/>
    </row>
    <row r="121" spans="1:6" x14ac:dyDescent="0.2">
      <c r="A121" s="21"/>
      <c r="B121" s="34" t="s">
        <v>214</v>
      </c>
      <c r="C121" s="35" t="s">
        <v>217</v>
      </c>
      <c r="D121" s="36">
        <v>19589083</v>
      </c>
      <c r="E121" s="36">
        <v>1863937</v>
      </c>
      <c r="F121" s="19">
        <f>SUM(D121:E121)</f>
        <v>21453020</v>
      </c>
    </row>
    <row r="122" spans="1:6" ht="13.5" x14ac:dyDescent="0.25">
      <c r="A122" s="223"/>
      <c r="B122" s="224" t="s">
        <v>26</v>
      </c>
      <c r="C122" s="225"/>
      <c r="D122" s="226">
        <f>SUM(D121:D121)</f>
        <v>19589083</v>
      </c>
      <c r="E122" s="226">
        <f>SUM(E121:E121)</f>
        <v>1863937</v>
      </c>
      <c r="F122" s="226">
        <f>SUM(F121:F121)</f>
        <v>21453020</v>
      </c>
    </row>
    <row r="123" spans="1:6" ht="13.5" x14ac:dyDescent="0.25">
      <c r="A123" s="21"/>
      <c r="B123" s="222"/>
      <c r="C123" s="22"/>
      <c r="D123" s="23"/>
      <c r="E123" s="23"/>
      <c r="F123" s="23"/>
    </row>
    <row r="124" spans="1:6" ht="13.5" x14ac:dyDescent="0.25">
      <c r="A124" s="30">
        <v>6</v>
      </c>
      <c r="B124" s="31" t="s">
        <v>206</v>
      </c>
      <c r="C124" s="32" t="s">
        <v>207</v>
      </c>
      <c r="D124" s="23"/>
      <c r="E124" s="23"/>
      <c r="F124" s="24"/>
    </row>
    <row r="125" spans="1:6" x14ac:dyDescent="0.2">
      <c r="A125" s="21"/>
      <c r="B125" s="33" t="s">
        <v>31</v>
      </c>
      <c r="C125" s="21"/>
      <c r="D125" s="36"/>
      <c r="E125" s="36"/>
      <c r="F125" s="19"/>
    </row>
    <row r="126" spans="1:6" x14ac:dyDescent="0.2">
      <c r="A126" s="21"/>
      <c r="B126" s="34" t="s">
        <v>214</v>
      </c>
      <c r="C126" s="35" t="s">
        <v>215</v>
      </c>
      <c r="D126" s="36">
        <v>28051454</v>
      </c>
      <c r="E126" s="36">
        <v>2481582</v>
      </c>
      <c r="F126" s="19">
        <f>SUM(D126:E126)</f>
        <v>30533036</v>
      </c>
    </row>
    <row r="127" spans="1:6" x14ac:dyDescent="0.2">
      <c r="A127" s="21"/>
      <c r="B127" s="34"/>
      <c r="C127" s="35" t="s">
        <v>216</v>
      </c>
      <c r="D127" s="36">
        <v>5470033</v>
      </c>
      <c r="E127" s="36">
        <v>434277</v>
      </c>
      <c r="F127" s="19">
        <f>SUM(D127:E127)</f>
        <v>5904310</v>
      </c>
    </row>
    <row r="128" spans="1:6" x14ac:dyDescent="0.2">
      <c r="A128" s="21"/>
      <c r="B128" s="34"/>
      <c r="C128" s="35" t="s">
        <v>217</v>
      </c>
      <c r="D128" s="36">
        <v>98654782</v>
      </c>
      <c r="E128" s="36">
        <v>21700712</v>
      </c>
      <c r="F128" s="19">
        <f>SUM(D128:E128)</f>
        <v>120355494</v>
      </c>
    </row>
    <row r="129" spans="1:13" x14ac:dyDescent="0.2">
      <c r="A129" s="21"/>
      <c r="B129" s="34"/>
      <c r="C129" s="35" t="s">
        <v>218</v>
      </c>
      <c r="D129" s="36">
        <v>1923322</v>
      </c>
      <c r="E129" s="36">
        <v>334678</v>
      </c>
      <c r="F129" s="19">
        <f>SUM(D129:E129)</f>
        <v>2258000</v>
      </c>
    </row>
    <row r="130" spans="1:13" s="51" customFormat="1" ht="13.5" x14ac:dyDescent="0.25">
      <c r="A130" s="39"/>
      <c r="B130" s="38" t="s">
        <v>26</v>
      </c>
      <c r="C130" s="50"/>
      <c r="D130" s="40">
        <f>SUM(D126:D129)</f>
        <v>134099591</v>
      </c>
      <c r="E130" s="40">
        <f>SUM(E126:E129)</f>
        <v>24951249</v>
      </c>
      <c r="F130" s="40">
        <f>SUM(F126:F129)</f>
        <v>159050840</v>
      </c>
      <c r="G130" s="216"/>
      <c r="H130" s="216"/>
      <c r="I130" s="216"/>
      <c r="J130" s="216"/>
      <c r="K130" s="216"/>
      <c r="L130" s="216"/>
      <c r="M130" s="216"/>
    </row>
    <row r="131" spans="1:13" ht="13.5" x14ac:dyDescent="0.25">
      <c r="A131" s="21"/>
      <c r="B131" s="222"/>
      <c r="C131" s="22"/>
      <c r="D131" s="23"/>
      <c r="E131" s="23"/>
      <c r="F131" s="23"/>
    </row>
    <row r="132" spans="1:13" ht="13.5" x14ac:dyDescent="0.25">
      <c r="A132" s="30">
        <v>7</v>
      </c>
      <c r="B132" s="31" t="s">
        <v>208</v>
      </c>
      <c r="C132" s="32" t="s">
        <v>209</v>
      </c>
      <c r="D132" s="23"/>
      <c r="E132" s="23"/>
      <c r="F132" s="24"/>
    </row>
    <row r="133" spans="1:13" x14ac:dyDescent="0.2">
      <c r="A133" s="21"/>
      <c r="B133" s="33" t="s">
        <v>31</v>
      </c>
      <c r="C133" s="21"/>
      <c r="D133" s="36"/>
      <c r="E133" s="36"/>
      <c r="F133" s="19"/>
    </row>
    <row r="134" spans="1:13" x14ac:dyDescent="0.2">
      <c r="A134" s="21"/>
      <c r="B134" s="34" t="s">
        <v>214</v>
      </c>
      <c r="C134" s="35" t="s">
        <v>215</v>
      </c>
      <c r="D134" s="36">
        <v>23998317</v>
      </c>
      <c r="E134" s="36">
        <v>4906968</v>
      </c>
      <c r="F134" s="19">
        <f>SUM(D134:E134)</f>
        <v>28905285</v>
      </c>
    </row>
    <row r="135" spans="1:13" x14ac:dyDescent="0.2">
      <c r="A135" s="21"/>
      <c r="B135" s="34"/>
      <c r="C135" s="35" t="s">
        <v>216</v>
      </c>
      <c r="D135" s="36">
        <v>4689169</v>
      </c>
      <c r="E135" s="36">
        <v>858719</v>
      </c>
      <c r="F135" s="19">
        <f>SUM(D135:E135)</f>
        <v>5547888</v>
      </c>
    </row>
    <row r="136" spans="1:13" x14ac:dyDescent="0.2">
      <c r="A136" s="21"/>
      <c r="B136" s="34"/>
      <c r="C136" s="35" t="s">
        <v>217</v>
      </c>
      <c r="D136" s="36">
        <v>62302009</v>
      </c>
      <c r="E136" s="36">
        <v>16453526</v>
      </c>
      <c r="F136" s="19">
        <f>SUM(D136:E136)</f>
        <v>78755535</v>
      </c>
    </row>
    <row r="137" spans="1:13" x14ac:dyDescent="0.2">
      <c r="A137" s="21"/>
      <c r="B137" s="34"/>
      <c r="C137" s="35" t="s">
        <v>744</v>
      </c>
      <c r="D137" s="36">
        <v>19709761</v>
      </c>
      <c r="E137" s="36"/>
      <c r="F137" s="19">
        <f>SUM(D137:E137)</f>
        <v>19709761</v>
      </c>
    </row>
    <row r="138" spans="1:13" x14ac:dyDescent="0.2">
      <c r="A138" s="21"/>
      <c r="B138" s="34"/>
      <c r="C138" s="35" t="s">
        <v>218</v>
      </c>
      <c r="D138" s="36">
        <v>792378</v>
      </c>
      <c r="E138" s="36">
        <v>0</v>
      </c>
      <c r="F138" s="19">
        <f>SUM(D138:E138)</f>
        <v>792378</v>
      </c>
    </row>
    <row r="139" spans="1:13" s="51" customFormat="1" ht="13.5" x14ac:dyDescent="0.25">
      <c r="A139" s="39"/>
      <c r="B139" s="38" t="s">
        <v>26</v>
      </c>
      <c r="C139" s="50"/>
      <c r="D139" s="40">
        <f>SUM(D134:D138)</f>
        <v>111491634</v>
      </c>
      <c r="E139" s="40">
        <f>SUM(E134:E138)</f>
        <v>22219213</v>
      </c>
      <c r="F139" s="40">
        <f>SUM(F134:F138)</f>
        <v>133710847</v>
      </c>
      <c r="G139" s="216"/>
      <c r="H139" s="216"/>
      <c r="I139" s="216"/>
      <c r="J139" s="216"/>
      <c r="K139" s="216"/>
      <c r="L139" s="216"/>
      <c r="M139" s="216"/>
    </row>
    <row r="140" spans="1:13" ht="13.5" x14ac:dyDescent="0.25">
      <c r="A140" s="21"/>
      <c r="B140" s="222"/>
      <c r="C140" s="22"/>
      <c r="D140" s="23"/>
      <c r="E140" s="23"/>
      <c r="F140" s="23"/>
    </row>
    <row r="141" spans="1:13" ht="13.5" x14ac:dyDescent="0.2">
      <c r="A141" s="30">
        <v>8</v>
      </c>
      <c r="B141" s="31" t="s">
        <v>258</v>
      </c>
      <c r="C141" s="32" t="s">
        <v>259</v>
      </c>
      <c r="D141" s="22"/>
      <c r="E141" s="22"/>
      <c r="F141" s="29"/>
    </row>
    <row r="142" spans="1:13" ht="13.5" x14ac:dyDescent="0.2">
      <c r="A142" s="28"/>
      <c r="B142" s="33" t="s">
        <v>31</v>
      </c>
      <c r="C142" s="22"/>
      <c r="D142" s="22"/>
      <c r="E142" s="22"/>
      <c r="F142" s="29"/>
    </row>
    <row r="143" spans="1:13" x14ac:dyDescent="0.2">
      <c r="A143" s="21"/>
      <c r="B143" s="34" t="s">
        <v>263</v>
      </c>
      <c r="C143" s="35" t="s">
        <v>217</v>
      </c>
      <c r="D143" s="36">
        <v>147000</v>
      </c>
      <c r="E143" s="36">
        <v>2120490</v>
      </c>
      <c r="F143" s="19">
        <f>SUM(D143:E143)</f>
        <v>2267490</v>
      </c>
    </row>
    <row r="144" spans="1:13" x14ac:dyDescent="0.2">
      <c r="A144" s="30"/>
      <c r="B144" s="31"/>
      <c r="C144" s="35" t="s">
        <v>221</v>
      </c>
      <c r="D144" s="36">
        <v>1551209</v>
      </c>
      <c r="E144" s="36">
        <v>0</v>
      </c>
      <c r="F144" s="19">
        <f>SUM(D144:E144)</f>
        <v>1551209</v>
      </c>
    </row>
    <row r="145" spans="1:13" ht="13.5" x14ac:dyDescent="0.25">
      <c r="A145" s="21"/>
      <c r="B145" s="222"/>
      <c r="C145" s="35" t="s">
        <v>222</v>
      </c>
      <c r="D145" s="36">
        <v>0</v>
      </c>
      <c r="E145" s="36">
        <v>88118558</v>
      </c>
      <c r="F145" s="19">
        <f>SUM(D145:E145)</f>
        <v>88118558</v>
      </c>
    </row>
    <row r="146" spans="1:13" x14ac:dyDescent="0.2">
      <c r="A146" s="21"/>
      <c r="B146" s="33"/>
      <c r="C146" s="35" t="s">
        <v>218</v>
      </c>
      <c r="D146" s="36">
        <v>5296997</v>
      </c>
      <c r="E146" s="36">
        <v>1700270</v>
      </c>
      <c r="F146" s="19">
        <f>SUM(D146:E146)</f>
        <v>6997267</v>
      </c>
    </row>
    <row r="147" spans="1:13" x14ac:dyDescent="0.2">
      <c r="A147" s="21"/>
      <c r="B147" s="232"/>
      <c r="C147" s="35" t="s">
        <v>220</v>
      </c>
      <c r="D147" s="36">
        <v>0</v>
      </c>
      <c r="E147" s="36">
        <v>1000000</v>
      </c>
      <c r="F147" s="19">
        <f>SUM(D147:E147)</f>
        <v>1000000</v>
      </c>
    </row>
    <row r="148" spans="1:13" ht="13.5" x14ac:dyDescent="0.25">
      <c r="A148" s="229"/>
      <c r="B148" s="210" t="s">
        <v>26</v>
      </c>
      <c r="C148" s="50"/>
      <c r="D148" s="40">
        <f>SUM(D143:D147)</f>
        <v>6995206</v>
      </c>
      <c r="E148" s="40">
        <f>SUM(E143:E147)</f>
        <v>92939318</v>
      </c>
      <c r="F148" s="40">
        <f>SUM(F143:F147)</f>
        <v>99934524</v>
      </c>
    </row>
    <row r="149" spans="1:13" ht="13.5" x14ac:dyDescent="0.25">
      <c r="A149" s="211"/>
      <c r="B149" s="212"/>
      <c r="C149" s="96"/>
      <c r="D149" s="23"/>
      <c r="E149" s="23"/>
      <c r="F149" s="23"/>
    </row>
    <row r="150" spans="1:13" ht="25.5" x14ac:dyDescent="0.25">
      <c r="A150" s="30">
        <v>9</v>
      </c>
      <c r="B150" s="31" t="s">
        <v>210</v>
      </c>
      <c r="C150" s="32" t="s">
        <v>211</v>
      </c>
      <c r="D150" s="23"/>
      <c r="E150" s="23"/>
      <c r="F150" s="24"/>
    </row>
    <row r="151" spans="1:13" x14ac:dyDescent="0.2">
      <c r="A151" s="21"/>
      <c r="B151" s="33" t="s">
        <v>31</v>
      </c>
      <c r="C151" s="21"/>
      <c r="D151" s="36"/>
      <c r="E151" s="36"/>
      <c r="F151" s="19"/>
    </row>
    <row r="152" spans="1:13" x14ac:dyDescent="0.2">
      <c r="A152" s="21"/>
      <c r="B152" s="34" t="s">
        <v>214</v>
      </c>
      <c r="C152" s="35" t="s">
        <v>217</v>
      </c>
      <c r="D152" s="36">
        <v>254840</v>
      </c>
      <c r="E152" s="36">
        <v>2637767</v>
      </c>
      <c r="F152" s="19">
        <f>SUM(D152:E152)</f>
        <v>2892607</v>
      </c>
    </row>
    <row r="153" spans="1:13" x14ac:dyDescent="0.2">
      <c r="A153" s="21"/>
      <c r="B153" s="34"/>
      <c r="C153" s="35" t="s">
        <v>221</v>
      </c>
      <c r="D153" s="36">
        <v>9200000</v>
      </c>
      <c r="E153" s="36">
        <v>0</v>
      </c>
      <c r="F153" s="19">
        <f>SUM(D153:E153)</f>
        <v>9200000</v>
      </c>
    </row>
    <row r="154" spans="1:13" x14ac:dyDescent="0.2">
      <c r="A154" s="21"/>
      <c r="B154" s="34"/>
      <c r="C154" s="35" t="s">
        <v>222</v>
      </c>
      <c r="D154" s="36">
        <v>0</v>
      </c>
      <c r="E154" s="36">
        <v>159306146</v>
      </c>
      <c r="F154" s="19">
        <f>SUM(D154:E154)</f>
        <v>159306146</v>
      </c>
    </row>
    <row r="155" spans="1:13" x14ac:dyDescent="0.2">
      <c r="A155" s="21"/>
      <c r="B155" s="34"/>
      <c r="C155" s="35" t="s">
        <v>218</v>
      </c>
      <c r="D155" s="36">
        <v>16889857</v>
      </c>
      <c r="E155" s="36">
        <v>2077151</v>
      </c>
      <c r="F155" s="19">
        <f>SUM(D155:E155)</f>
        <v>18967008</v>
      </c>
    </row>
    <row r="156" spans="1:13" s="49" customFormat="1" x14ac:dyDescent="0.2">
      <c r="A156" s="21"/>
      <c r="B156" s="48"/>
      <c r="C156" s="35" t="s">
        <v>220</v>
      </c>
      <c r="D156" s="36">
        <v>0</v>
      </c>
      <c r="E156" s="36">
        <v>2000000</v>
      </c>
      <c r="F156" s="19">
        <f>SUM(D156:E156)</f>
        <v>2000000</v>
      </c>
      <c r="G156" s="48"/>
      <c r="H156" s="48"/>
      <c r="I156" s="48"/>
      <c r="J156" s="48"/>
      <c r="K156" s="48"/>
      <c r="L156" s="48"/>
      <c r="M156" s="48"/>
    </row>
    <row r="157" spans="1:13" s="51" customFormat="1" ht="13.5" x14ac:dyDescent="0.25">
      <c r="A157" s="39"/>
      <c r="B157" s="38" t="s">
        <v>26</v>
      </c>
      <c r="C157" s="50"/>
      <c r="D157" s="40">
        <f>SUM(D152:D156)</f>
        <v>26344697</v>
      </c>
      <c r="E157" s="40">
        <f>SUM(E152:E156)</f>
        <v>166021064</v>
      </c>
      <c r="F157" s="40">
        <f>SUM(F152:F156)</f>
        <v>192365761</v>
      </c>
      <c r="G157" s="216"/>
      <c r="H157" s="216"/>
      <c r="I157" s="216"/>
      <c r="J157" s="216"/>
      <c r="K157" s="216"/>
      <c r="L157" s="216"/>
      <c r="M157" s="216"/>
    </row>
    <row r="158" spans="1:13" ht="13.5" x14ac:dyDescent="0.25">
      <c r="A158" s="211"/>
      <c r="B158" s="212"/>
      <c r="C158" s="22"/>
      <c r="D158" s="22"/>
      <c r="E158" s="22"/>
      <c r="F158" s="95"/>
    </row>
    <row r="159" spans="1:13" ht="38.25" x14ac:dyDescent="0.2">
      <c r="A159" s="30">
        <v>10</v>
      </c>
      <c r="B159" s="230" t="s">
        <v>261</v>
      </c>
      <c r="C159" s="32" t="s">
        <v>262</v>
      </c>
      <c r="E159" s="22"/>
      <c r="F159" s="95"/>
    </row>
    <row r="160" spans="1:13" ht="13.5" x14ac:dyDescent="0.2">
      <c r="A160" s="231"/>
      <c r="B160" s="213" t="s">
        <v>31</v>
      </c>
      <c r="C160" s="32"/>
      <c r="E160" s="22"/>
      <c r="F160" s="95"/>
    </row>
    <row r="161" spans="1:13" x14ac:dyDescent="0.2">
      <c r="A161" s="211"/>
      <c r="B161" s="34" t="s">
        <v>263</v>
      </c>
      <c r="C161" s="35" t="s">
        <v>217</v>
      </c>
      <c r="D161" s="36">
        <v>204470</v>
      </c>
      <c r="E161" s="36">
        <v>3613354</v>
      </c>
      <c r="F161" s="19">
        <f>SUM(D161:E161)</f>
        <v>3817824</v>
      </c>
    </row>
    <row r="162" spans="1:13" x14ac:dyDescent="0.2">
      <c r="B162" s="31"/>
      <c r="C162" s="35" t="s">
        <v>221</v>
      </c>
      <c r="D162" s="36">
        <v>2052500</v>
      </c>
      <c r="E162" s="36">
        <v>0</v>
      </c>
      <c r="F162" s="19">
        <f>SUM(D162:E162)</f>
        <v>2052500</v>
      </c>
    </row>
    <row r="163" spans="1:13" ht="13.5" x14ac:dyDescent="0.25">
      <c r="B163" s="222"/>
      <c r="C163" s="35" t="s">
        <v>222</v>
      </c>
      <c r="D163" s="36">
        <v>7663981</v>
      </c>
      <c r="E163" s="36">
        <v>215450903</v>
      </c>
      <c r="F163" s="19">
        <f>SUM(D163:E163)</f>
        <v>223114884</v>
      </c>
    </row>
    <row r="164" spans="1:13" x14ac:dyDescent="0.2">
      <c r="B164" s="33"/>
      <c r="C164" s="35" t="s">
        <v>218</v>
      </c>
      <c r="D164" s="36">
        <v>10365943</v>
      </c>
      <c r="E164" s="36">
        <v>2181460</v>
      </c>
      <c r="F164" s="19">
        <f>SUM(D164:E164)</f>
        <v>12547403</v>
      </c>
    </row>
    <row r="165" spans="1:13" x14ac:dyDescent="0.2">
      <c r="B165" s="232"/>
      <c r="C165" s="35" t="s">
        <v>220</v>
      </c>
      <c r="D165" s="36">
        <v>0</v>
      </c>
      <c r="E165" s="36">
        <v>3000000</v>
      </c>
      <c r="F165" s="19">
        <f>SUM(D165:E165)</f>
        <v>3000000</v>
      </c>
    </row>
    <row r="166" spans="1:13" ht="13.5" x14ac:dyDescent="0.25">
      <c r="B166" s="210" t="s">
        <v>26</v>
      </c>
      <c r="C166" s="50"/>
      <c r="D166" s="40">
        <f>SUM(D161:D165)</f>
        <v>20286894</v>
      </c>
      <c r="E166" s="40">
        <f>SUM(E161:E165)</f>
        <v>224245717</v>
      </c>
      <c r="F166" s="40">
        <f>SUM(F161:F165)</f>
        <v>244532611</v>
      </c>
    </row>
    <row r="167" spans="1:13" s="51" customFormat="1" ht="13.5" x14ac:dyDescent="0.25">
      <c r="A167" s="22"/>
      <c r="B167" s="222"/>
      <c r="C167" s="96"/>
      <c r="D167" s="23"/>
      <c r="E167" s="23"/>
      <c r="F167" s="23"/>
      <c r="G167" s="216"/>
      <c r="H167" s="216"/>
      <c r="I167" s="216"/>
      <c r="J167" s="216"/>
      <c r="K167" s="216"/>
      <c r="L167" s="216"/>
      <c r="M167" s="216"/>
    </row>
    <row r="168" spans="1:13" s="51" customFormat="1" ht="25.5" x14ac:dyDescent="0.2">
      <c r="A168" s="30">
        <v>11</v>
      </c>
      <c r="B168" s="31" t="s">
        <v>747</v>
      </c>
      <c r="C168" s="32" t="s">
        <v>748</v>
      </c>
      <c r="D168" s="9"/>
      <c r="E168" s="22"/>
      <c r="F168" s="95"/>
      <c r="G168" s="216"/>
      <c r="H168" s="216"/>
      <c r="I168" s="216"/>
      <c r="J168" s="216"/>
      <c r="K168" s="216"/>
      <c r="L168" s="216"/>
      <c r="M168" s="216"/>
    </row>
    <row r="169" spans="1:13" s="51" customFormat="1" ht="13.5" x14ac:dyDescent="0.2">
      <c r="A169" s="231"/>
      <c r="B169" s="213" t="s">
        <v>31</v>
      </c>
      <c r="C169" s="32"/>
      <c r="D169" s="9"/>
      <c r="E169" s="22"/>
      <c r="F169" s="95"/>
      <c r="G169" s="216"/>
      <c r="H169" s="216"/>
      <c r="I169" s="216"/>
      <c r="J169" s="216"/>
      <c r="K169" s="216"/>
      <c r="L169" s="216"/>
      <c r="M169" s="216"/>
    </row>
    <row r="170" spans="1:13" s="51" customFormat="1" x14ac:dyDescent="0.2">
      <c r="A170" s="231"/>
      <c r="B170" s="34" t="s">
        <v>263</v>
      </c>
      <c r="C170" s="35" t="s">
        <v>219</v>
      </c>
      <c r="D170" s="36">
        <v>0</v>
      </c>
      <c r="E170" s="36">
        <v>93886826</v>
      </c>
      <c r="F170" s="19">
        <f>SUM(D170:E170)</f>
        <v>93886826</v>
      </c>
      <c r="G170" s="216"/>
      <c r="H170" s="216"/>
      <c r="I170" s="216"/>
      <c r="J170" s="216"/>
      <c r="K170" s="216"/>
      <c r="L170" s="216"/>
      <c r="M170" s="216"/>
    </row>
    <row r="171" spans="1:13" s="51" customFormat="1" ht="13.5" x14ac:dyDescent="0.25">
      <c r="A171" s="211"/>
      <c r="B171" s="222"/>
      <c r="C171" s="35" t="s">
        <v>217</v>
      </c>
      <c r="D171" s="36">
        <v>0</v>
      </c>
      <c r="E171" s="36">
        <v>640508</v>
      </c>
      <c r="F171" s="19">
        <f>SUM(D171:E171)</f>
        <v>640508</v>
      </c>
      <c r="G171" s="216"/>
      <c r="H171" s="216"/>
      <c r="I171" s="216"/>
      <c r="J171" s="216"/>
      <c r="K171" s="216"/>
      <c r="L171" s="216"/>
      <c r="M171" s="216"/>
    </row>
    <row r="172" spans="1:13" s="51" customFormat="1" ht="13.5" x14ac:dyDescent="0.25">
      <c r="A172" s="9"/>
      <c r="B172" s="210" t="s">
        <v>26</v>
      </c>
      <c r="C172" s="50"/>
      <c r="D172" s="40">
        <f>SUM(D170:D171)</f>
        <v>0</v>
      </c>
      <c r="E172" s="40">
        <f>SUM(E170:E171)</f>
        <v>94527334</v>
      </c>
      <c r="F172" s="40">
        <f>SUM(F170:F171)</f>
        <v>94527334</v>
      </c>
      <c r="G172" s="216"/>
      <c r="H172" s="216"/>
      <c r="I172" s="216"/>
      <c r="J172" s="216"/>
      <c r="K172" s="216"/>
      <c r="L172" s="216"/>
      <c r="M172" s="216"/>
    </row>
    <row r="173" spans="1:13" s="51" customFormat="1" ht="13.5" x14ac:dyDescent="0.25">
      <c r="A173" s="22"/>
      <c r="B173" s="222"/>
      <c r="C173" s="96"/>
      <c r="D173" s="23"/>
      <c r="E173" s="23"/>
      <c r="F173" s="23"/>
      <c r="G173" s="216"/>
      <c r="H173" s="216"/>
      <c r="I173" s="216"/>
      <c r="J173" s="216"/>
      <c r="K173" s="216"/>
      <c r="L173" s="216"/>
      <c r="M173" s="216"/>
    </row>
    <row r="174" spans="1:13" s="51" customFormat="1" ht="13.5" x14ac:dyDescent="0.2">
      <c r="A174" s="21">
        <v>12</v>
      </c>
      <c r="B174" s="31" t="s">
        <v>745</v>
      </c>
      <c r="C174" s="32" t="s">
        <v>746</v>
      </c>
      <c r="D174" s="9"/>
      <c r="E174" s="22"/>
      <c r="F174" s="95"/>
      <c r="G174" s="216"/>
      <c r="H174" s="216"/>
      <c r="I174" s="216"/>
      <c r="J174" s="216"/>
      <c r="K174" s="216"/>
      <c r="L174" s="216"/>
      <c r="M174" s="216"/>
    </row>
    <row r="175" spans="1:13" s="51" customFormat="1" ht="13.5" x14ac:dyDescent="0.2">
      <c r="A175" s="21"/>
      <c r="B175" s="213" t="s">
        <v>31</v>
      </c>
      <c r="C175" s="32"/>
      <c r="D175" s="9"/>
      <c r="E175" s="22"/>
      <c r="F175" s="95"/>
      <c r="G175" s="216"/>
      <c r="H175" s="216"/>
      <c r="I175" s="216"/>
      <c r="J175" s="216"/>
      <c r="K175" s="216"/>
      <c r="L175" s="216"/>
      <c r="M175" s="216"/>
    </row>
    <row r="176" spans="1:13" s="51" customFormat="1" x14ac:dyDescent="0.2">
      <c r="A176" s="21"/>
      <c r="B176" s="34" t="s">
        <v>263</v>
      </c>
      <c r="C176" s="35" t="s">
        <v>215</v>
      </c>
      <c r="D176" s="36">
        <v>0</v>
      </c>
      <c r="E176" s="36">
        <v>2845167</v>
      </c>
      <c r="F176" s="19">
        <f t="shared" ref="F176:F181" si="6">SUM(D176:E176)</f>
        <v>2845167</v>
      </c>
      <c r="G176" s="216"/>
      <c r="H176" s="216"/>
      <c r="I176" s="216"/>
      <c r="J176" s="216"/>
      <c r="K176" s="216"/>
      <c r="L176" s="216"/>
      <c r="M176" s="216"/>
    </row>
    <row r="177" spans="1:13" s="51" customFormat="1" ht="13.5" x14ac:dyDescent="0.25">
      <c r="A177" s="21"/>
      <c r="B177" s="222"/>
      <c r="C177" s="35" t="s">
        <v>216</v>
      </c>
      <c r="D177" s="36">
        <v>0</v>
      </c>
      <c r="E177" s="36">
        <v>554814</v>
      </c>
      <c r="F177" s="19">
        <f t="shared" si="6"/>
        <v>554814</v>
      </c>
      <c r="G177" s="216"/>
      <c r="H177" s="216"/>
      <c r="I177" s="216"/>
      <c r="J177" s="216"/>
      <c r="K177" s="216"/>
      <c r="L177" s="216"/>
      <c r="M177" s="216"/>
    </row>
    <row r="178" spans="1:13" s="51" customFormat="1" ht="13.5" x14ac:dyDescent="0.25">
      <c r="A178" s="21"/>
      <c r="B178" s="222"/>
      <c r="C178" s="35" t="s">
        <v>217</v>
      </c>
      <c r="D178" s="36">
        <v>0</v>
      </c>
      <c r="E178" s="36">
        <v>1177608</v>
      </c>
      <c r="F178" s="19">
        <f t="shared" si="6"/>
        <v>1177608</v>
      </c>
      <c r="G178" s="216"/>
      <c r="H178" s="216"/>
      <c r="I178" s="216"/>
      <c r="J178" s="216"/>
      <c r="K178" s="216"/>
      <c r="L178" s="216"/>
      <c r="M178" s="216"/>
    </row>
    <row r="179" spans="1:13" s="51" customFormat="1" ht="13.5" x14ac:dyDescent="0.25">
      <c r="A179" s="21"/>
      <c r="B179" s="222"/>
      <c r="C179" s="35" t="s">
        <v>222</v>
      </c>
      <c r="D179" s="36">
        <v>4635500</v>
      </c>
      <c r="E179" s="36">
        <v>111963390</v>
      </c>
      <c r="F179" s="19">
        <f t="shared" si="6"/>
        <v>116598890</v>
      </c>
      <c r="G179" s="216"/>
      <c r="H179" s="216"/>
      <c r="I179" s="216"/>
      <c r="J179" s="216"/>
      <c r="K179" s="216"/>
      <c r="L179" s="216"/>
      <c r="M179" s="216"/>
    </row>
    <row r="180" spans="1:13" s="51" customFormat="1" x14ac:dyDescent="0.2">
      <c r="A180" s="21"/>
      <c r="B180" s="33"/>
      <c r="C180" s="35" t="s">
        <v>218</v>
      </c>
      <c r="D180" s="36">
        <v>7500000</v>
      </c>
      <c r="E180" s="36">
        <v>3400000</v>
      </c>
      <c r="F180" s="19">
        <f t="shared" si="6"/>
        <v>10900000</v>
      </c>
      <c r="G180" s="216"/>
      <c r="H180" s="216"/>
      <c r="I180" s="216"/>
      <c r="J180" s="216"/>
      <c r="K180" s="216"/>
      <c r="L180" s="216"/>
      <c r="M180" s="216"/>
    </row>
    <row r="181" spans="1:13" s="51" customFormat="1" x14ac:dyDescent="0.2">
      <c r="A181" s="21"/>
      <c r="B181" s="232"/>
      <c r="C181" s="35" t="s">
        <v>220</v>
      </c>
      <c r="D181" s="36">
        <v>0</v>
      </c>
      <c r="E181" s="36">
        <v>5000000</v>
      </c>
      <c r="F181" s="19">
        <f t="shared" si="6"/>
        <v>5000000</v>
      </c>
      <c r="G181" s="216"/>
      <c r="H181" s="216"/>
      <c r="I181" s="216"/>
      <c r="J181" s="216"/>
      <c r="K181" s="216"/>
      <c r="L181" s="216"/>
      <c r="M181" s="216"/>
    </row>
    <row r="182" spans="1:13" s="51" customFormat="1" ht="13.5" x14ac:dyDescent="0.25">
      <c r="A182" s="21"/>
      <c r="B182" s="210" t="s">
        <v>26</v>
      </c>
      <c r="C182" s="50"/>
      <c r="D182" s="40">
        <f>SUM(D176:D181)</f>
        <v>12135500</v>
      </c>
      <c r="E182" s="40">
        <f>SUM(E176:E181)</f>
        <v>124940979</v>
      </c>
      <c r="F182" s="40">
        <f>SUM(F176:F181)</f>
        <v>137076479</v>
      </c>
      <c r="G182" s="216"/>
      <c r="H182" s="216"/>
      <c r="I182" s="216"/>
      <c r="J182" s="216"/>
      <c r="K182" s="216"/>
      <c r="L182" s="216"/>
      <c r="M182" s="216"/>
    </row>
    <row r="183" spans="1:13" s="51" customFormat="1" ht="13.5" x14ac:dyDescent="0.25">
      <c r="A183" s="21"/>
      <c r="B183" s="222"/>
      <c r="C183" s="96"/>
      <c r="D183" s="23"/>
      <c r="E183" s="23"/>
      <c r="F183" s="23"/>
      <c r="G183" s="216"/>
      <c r="H183" s="216"/>
      <c r="I183" s="216"/>
      <c r="J183" s="216"/>
      <c r="K183" s="216"/>
      <c r="L183" s="216"/>
      <c r="M183" s="216"/>
    </row>
    <row r="184" spans="1:13" s="216" customFormat="1" ht="51" x14ac:dyDescent="0.2">
      <c r="A184" s="21">
        <v>13</v>
      </c>
      <c r="B184" s="31" t="s">
        <v>749</v>
      </c>
      <c r="C184" s="32" t="s">
        <v>750</v>
      </c>
      <c r="D184" s="9"/>
      <c r="E184" s="22"/>
      <c r="F184" s="95"/>
    </row>
    <row r="185" spans="1:13" s="216" customFormat="1" ht="13.5" x14ac:dyDescent="0.2">
      <c r="A185" s="22"/>
      <c r="B185" s="213" t="s">
        <v>31</v>
      </c>
      <c r="C185" s="32"/>
      <c r="D185" s="9"/>
      <c r="E185" s="22"/>
      <c r="F185" s="95"/>
    </row>
    <row r="186" spans="1:13" s="216" customFormat="1" ht="13.5" x14ac:dyDescent="0.2">
      <c r="A186" s="22"/>
      <c r="B186" s="34" t="s">
        <v>263</v>
      </c>
      <c r="C186" s="35" t="s">
        <v>215</v>
      </c>
      <c r="D186" s="36">
        <v>0</v>
      </c>
      <c r="E186" s="36">
        <v>1930458</v>
      </c>
      <c r="F186" s="19">
        <f>SUM(D186:E186)</f>
        <v>1930458</v>
      </c>
    </row>
    <row r="187" spans="1:13" s="216" customFormat="1" ht="13.5" x14ac:dyDescent="0.25">
      <c r="A187" s="22"/>
      <c r="B187" s="222"/>
      <c r="C187" s="35" t="s">
        <v>216</v>
      </c>
      <c r="D187" s="36">
        <v>0</v>
      </c>
      <c r="E187" s="36">
        <v>18054</v>
      </c>
      <c r="F187" s="19">
        <f t="shared" ref="F187:F188" si="7">SUM(D187:E187)</f>
        <v>18054</v>
      </c>
    </row>
    <row r="188" spans="1:13" s="216" customFormat="1" ht="13.5" x14ac:dyDescent="0.25">
      <c r="A188" s="22"/>
      <c r="B188" s="222"/>
      <c r="C188" s="35" t="s">
        <v>217</v>
      </c>
      <c r="D188" s="36">
        <v>0</v>
      </c>
      <c r="E188" s="36">
        <v>2900348</v>
      </c>
      <c r="F188" s="19">
        <f t="shared" si="7"/>
        <v>2900348</v>
      </c>
    </row>
    <row r="189" spans="1:13" s="216" customFormat="1" ht="13.5" x14ac:dyDescent="0.25">
      <c r="A189" s="22"/>
      <c r="B189" s="210" t="s">
        <v>26</v>
      </c>
      <c r="C189" s="50"/>
      <c r="D189" s="40">
        <f>SUM(D186:D188)</f>
        <v>0</v>
      </c>
      <c r="E189" s="40">
        <f>SUM(E186:E188)</f>
        <v>4848860</v>
      </c>
      <c r="F189" s="40">
        <f>SUM(F186:F188)</f>
        <v>4848860</v>
      </c>
    </row>
    <row r="190" spans="1:13" s="51" customFormat="1" ht="13.5" x14ac:dyDescent="0.25">
      <c r="A190" s="22"/>
      <c r="B190" s="222"/>
      <c r="C190" s="96"/>
      <c r="D190" s="23"/>
      <c r="E190" s="23"/>
      <c r="F190" s="23"/>
      <c r="G190" s="216"/>
      <c r="H190" s="216"/>
      <c r="I190" s="216"/>
      <c r="J190" s="216"/>
      <c r="K190" s="216"/>
      <c r="L190" s="216"/>
      <c r="M190" s="216"/>
    </row>
    <row r="191" spans="1:13" ht="13.5" x14ac:dyDescent="0.25">
      <c r="A191" s="21"/>
      <c r="B191" s="222"/>
      <c r="C191" s="22"/>
      <c r="D191" s="23"/>
      <c r="E191" s="23"/>
      <c r="F191" s="23"/>
    </row>
    <row r="192" spans="1:13" ht="15.75" x14ac:dyDescent="0.25">
      <c r="A192" s="687" t="s">
        <v>223</v>
      </c>
      <c r="B192" s="687"/>
      <c r="C192" s="687"/>
      <c r="D192" s="43">
        <f>D93+D101+D109+D117+D122+D130+D139+D148+D157+D166+D172+D182+D189</f>
        <v>509471664</v>
      </c>
      <c r="E192" s="43">
        <f>E93+E101+E109+E117+E122+E130+E139+E148+E157+E166+E172+E182+E189</f>
        <v>781761350</v>
      </c>
      <c r="F192" s="43">
        <f>F93+F101+F109+F117+F122+F130+F139+F148+F157+F166+F172+F182+F189</f>
        <v>1291233014</v>
      </c>
    </row>
    <row r="193" spans="1:6" x14ac:dyDescent="0.2">
      <c r="A193" s="16"/>
      <c r="B193" s="20"/>
      <c r="C193" s="16"/>
      <c r="D193" s="19"/>
      <c r="E193" s="19"/>
      <c r="F193" s="19"/>
    </row>
    <row r="194" spans="1:6" x14ac:dyDescent="0.2">
      <c r="A194" s="16"/>
      <c r="B194" s="20"/>
      <c r="C194" s="16"/>
      <c r="D194" s="19"/>
      <c r="E194" s="19"/>
      <c r="F194" s="19"/>
    </row>
    <row r="195" spans="1:6" x14ac:dyDescent="0.2">
      <c r="A195" s="16"/>
      <c r="B195" s="20"/>
      <c r="C195" s="16"/>
      <c r="D195" s="19"/>
      <c r="E195" s="19"/>
      <c r="F195" s="19"/>
    </row>
  </sheetData>
  <mergeCells count="6">
    <mergeCell ref="A192:C192"/>
    <mergeCell ref="A3:F3"/>
    <mergeCell ref="A5:F5"/>
    <mergeCell ref="B83:C83"/>
    <mergeCell ref="A85:F85"/>
    <mergeCell ref="A86:F86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  <rowBreaks count="5" manualBreakCount="5">
    <brk id="33" max="5" man="1"/>
    <brk id="69" max="5" man="1"/>
    <brk id="84" max="16383" man="1"/>
    <brk id="118" max="16383" man="1"/>
    <brk id="1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C762-E235-42CF-B1D3-546B1EAF6B5E}">
  <sheetPr>
    <pageSetUpPr fitToPage="1"/>
  </sheetPr>
  <dimension ref="A1:Q377"/>
  <sheetViews>
    <sheetView view="pageBreakPreview" zoomScale="85" zoomScaleNormal="80" zoomScaleSheetLayoutView="85" workbookViewId="0">
      <pane ySplit="5" topLeftCell="A6" activePane="bottomLeft" state="frozen"/>
      <selection pane="bottomLeft" sqref="A1:XFD1"/>
    </sheetView>
  </sheetViews>
  <sheetFormatPr defaultColWidth="9.140625" defaultRowHeight="16.5" x14ac:dyDescent="0.25"/>
  <cols>
    <col min="1" max="1" width="5.85546875" style="426" customWidth="1"/>
    <col min="2" max="2" width="7.7109375" style="350" customWidth="1"/>
    <col min="3" max="3" width="65.42578125" style="350" customWidth="1"/>
    <col min="4" max="4" width="10" style="5" customWidth="1"/>
    <col min="5" max="5" width="11.42578125" style="5" customWidth="1"/>
    <col min="6" max="6" width="9.140625" style="5"/>
    <col min="7" max="7" width="10.7109375" style="5" bestFit="1" customWidth="1"/>
    <col min="8" max="16384" width="9.140625" style="5"/>
  </cols>
  <sheetData>
    <row r="1" spans="1:17" s="354" customFormat="1" x14ac:dyDescent="0.25">
      <c r="A1" s="480"/>
      <c r="B1" s="535"/>
      <c r="C1" s="535"/>
      <c r="D1" s="535"/>
      <c r="E1" s="534"/>
      <c r="F1" s="534"/>
      <c r="G1" s="534"/>
      <c r="H1" s="533"/>
      <c r="I1" s="533"/>
      <c r="J1" s="533"/>
      <c r="K1" s="533" t="s">
        <v>1105</v>
      </c>
      <c r="L1" s="533"/>
      <c r="M1" s="533"/>
      <c r="N1" s="533"/>
      <c r="O1" s="533"/>
      <c r="P1" s="533"/>
      <c r="Q1" s="532"/>
    </row>
    <row r="2" spans="1:17" x14ac:dyDescent="0.25">
      <c r="A2" s="479"/>
      <c r="B2" s="479"/>
      <c r="C2" s="479" t="s">
        <v>31</v>
      </c>
      <c r="D2" s="476"/>
      <c r="E2" s="476"/>
      <c r="F2" s="476"/>
      <c r="G2" s="476"/>
      <c r="H2" s="476"/>
      <c r="I2" s="476"/>
      <c r="J2" s="476"/>
      <c r="K2" s="476"/>
    </row>
    <row r="3" spans="1:17" ht="17.25" thickBot="1" x14ac:dyDescent="0.3">
      <c r="A3" s="531"/>
      <c r="B3" s="531"/>
      <c r="C3" s="531" t="s">
        <v>1097</v>
      </c>
      <c r="D3" s="477"/>
      <c r="E3" s="477"/>
      <c r="F3" s="477"/>
      <c r="G3" s="477"/>
      <c r="H3" s="476"/>
      <c r="I3" s="476"/>
      <c r="J3" s="476"/>
      <c r="K3" s="476"/>
    </row>
    <row r="4" spans="1:17" ht="17.25" thickBot="1" x14ac:dyDescent="0.3">
      <c r="A4" s="530"/>
      <c r="B4" s="529"/>
      <c r="C4" s="528"/>
      <c r="D4" s="614" t="s">
        <v>699</v>
      </c>
      <c r="E4" s="622"/>
      <c r="F4" s="622"/>
      <c r="G4" s="623"/>
      <c r="H4" s="614" t="s">
        <v>1133</v>
      </c>
      <c r="I4" s="622"/>
      <c r="J4" s="622"/>
      <c r="K4" s="623"/>
    </row>
    <row r="5" spans="1:17" s="524" customFormat="1" ht="45.75" thickBot="1" x14ac:dyDescent="0.3">
      <c r="A5" s="527"/>
      <c r="B5" s="526"/>
      <c r="C5" s="525"/>
      <c r="D5" s="471" t="s">
        <v>25</v>
      </c>
      <c r="E5" s="470" t="s">
        <v>42</v>
      </c>
      <c r="F5" s="469" t="s">
        <v>43</v>
      </c>
      <c r="G5" s="468" t="s">
        <v>44</v>
      </c>
      <c r="H5" s="471" t="s">
        <v>25</v>
      </c>
      <c r="I5" s="470" t="s">
        <v>42</v>
      </c>
      <c r="J5" s="469" t="s">
        <v>43</v>
      </c>
      <c r="K5" s="468" t="s">
        <v>44</v>
      </c>
    </row>
    <row r="6" spans="1:17" x14ac:dyDescent="0.25">
      <c r="A6" s="523" t="s">
        <v>5</v>
      </c>
      <c r="B6" s="522" t="s">
        <v>6</v>
      </c>
      <c r="C6" s="521" t="s">
        <v>7</v>
      </c>
      <c r="D6" s="520"/>
      <c r="E6" s="519"/>
      <c r="F6" s="519"/>
      <c r="G6" s="518"/>
      <c r="H6" s="366"/>
      <c r="I6" s="366"/>
      <c r="J6" s="366"/>
      <c r="K6" s="485"/>
      <c r="L6" s="352"/>
    </row>
    <row r="7" spans="1:17" x14ac:dyDescent="0.25">
      <c r="A7" s="460"/>
      <c r="B7" s="517"/>
      <c r="C7" s="498"/>
      <c r="D7" s="390"/>
      <c r="E7" s="389"/>
      <c r="F7" s="389"/>
      <c r="G7" s="388"/>
      <c r="H7" s="366"/>
      <c r="I7" s="366"/>
      <c r="J7" s="366"/>
      <c r="K7" s="485"/>
      <c r="L7" s="352"/>
    </row>
    <row r="8" spans="1:17" x14ac:dyDescent="0.25">
      <c r="A8" s="460">
        <v>101</v>
      </c>
      <c r="B8" s="517"/>
      <c r="C8" s="407" t="s">
        <v>754</v>
      </c>
      <c r="D8" s="458"/>
      <c r="E8" s="389"/>
      <c r="F8" s="389"/>
      <c r="G8" s="388"/>
      <c r="H8" s="366"/>
      <c r="I8" s="366"/>
      <c r="J8" s="366"/>
      <c r="K8" s="485"/>
      <c r="L8" s="352"/>
    </row>
    <row r="9" spans="1:17" x14ac:dyDescent="0.25">
      <c r="A9" s="509"/>
      <c r="B9" s="459" t="s">
        <v>8</v>
      </c>
      <c r="C9" s="486" t="s">
        <v>22</v>
      </c>
      <c r="D9" s="372">
        <v>132830</v>
      </c>
      <c r="E9" s="366">
        <v>132830</v>
      </c>
      <c r="F9" s="366"/>
      <c r="G9" s="365"/>
      <c r="H9" s="366">
        <v>131320</v>
      </c>
      <c r="I9" s="366">
        <v>131320</v>
      </c>
      <c r="J9" s="366">
        <v>0</v>
      </c>
      <c r="K9" s="485">
        <v>0</v>
      </c>
      <c r="L9" s="352"/>
    </row>
    <row r="10" spans="1:17" x14ac:dyDescent="0.25">
      <c r="A10" s="509"/>
      <c r="B10" s="459" t="s">
        <v>13</v>
      </c>
      <c r="C10" s="486" t="s">
        <v>56</v>
      </c>
      <c r="D10" s="372">
        <v>23189</v>
      </c>
      <c r="E10" s="366">
        <v>23189</v>
      </c>
      <c r="F10" s="366"/>
      <c r="G10" s="365"/>
      <c r="H10" s="366">
        <v>21820</v>
      </c>
      <c r="I10" s="366">
        <v>21820</v>
      </c>
      <c r="J10" s="366">
        <v>0</v>
      </c>
      <c r="K10" s="485">
        <v>0</v>
      </c>
      <c r="L10" s="352"/>
    </row>
    <row r="11" spans="1:17" x14ac:dyDescent="0.25">
      <c r="A11" s="509"/>
      <c r="B11" s="459" t="s">
        <v>14</v>
      </c>
      <c r="C11" s="486" t="s">
        <v>27</v>
      </c>
      <c r="D11" s="372">
        <v>15000</v>
      </c>
      <c r="E11" s="366">
        <v>15000</v>
      </c>
      <c r="F11" s="366"/>
      <c r="G11" s="365"/>
      <c r="H11" s="366">
        <v>10600</v>
      </c>
      <c r="I11" s="366">
        <v>10600</v>
      </c>
      <c r="J11" s="366">
        <v>0</v>
      </c>
      <c r="K11" s="485">
        <v>0</v>
      </c>
      <c r="L11" s="352"/>
    </row>
    <row r="12" spans="1:17" x14ac:dyDescent="0.25">
      <c r="A12" s="509"/>
      <c r="B12" s="459" t="s">
        <v>19</v>
      </c>
      <c r="C12" s="486" t="s">
        <v>51</v>
      </c>
      <c r="D12" s="372"/>
      <c r="E12" s="366"/>
      <c r="F12" s="366"/>
      <c r="G12" s="365"/>
      <c r="H12" s="366">
        <v>0</v>
      </c>
      <c r="I12" s="366">
        <v>0</v>
      </c>
      <c r="J12" s="366">
        <v>0</v>
      </c>
      <c r="K12" s="485">
        <v>0</v>
      </c>
      <c r="L12" s="352"/>
    </row>
    <row r="13" spans="1:17" x14ac:dyDescent="0.25">
      <c r="A13" s="509"/>
      <c r="B13" s="459"/>
      <c r="C13" s="486" t="s">
        <v>165</v>
      </c>
      <c r="D13" s="372">
        <v>875</v>
      </c>
      <c r="E13" s="366">
        <v>875</v>
      </c>
      <c r="F13" s="366"/>
      <c r="G13" s="365"/>
      <c r="H13" s="366">
        <v>875</v>
      </c>
      <c r="I13" s="366">
        <v>875</v>
      </c>
      <c r="J13" s="366">
        <v>0</v>
      </c>
      <c r="K13" s="485">
        <v>0</v>
      </c>
      <c r="L13" s="352"/>
    </row>
    <row r="14" spans="1:17" s="374" customFormat="1" x14ac:dyDescent="0.25">
      <c r="A14" s="511"/>
      <c r="B14" s="516"/>
      <c r="C14" s="504" t="s">
        <v>53</v>
      </c>
      <c r="D14" s="382">
        <f>SUM(D13)</f>
        <v>875</v>
      </c>
      <c r="E14" s="377">
        <f>SUM(E13)</f>
        <v>875</v>
      </c>
      <c r="F14" s="377">
        <f>SUM(F13)</f>
        <v>0</v>
      </c>
      <c r="G14" s="447">
        <f>SUM(G13)</f>
        <v>0</v>
      </c>
      <c r="H14" s="366">
        <v>875</v>
      </c>
      <c r="I14" s="377">
        <v>875</v>
      </c>
      <c r="J14" s="377">
        <v>0</v>
      </c>
      <c r="K14" s="510">
        <v>0</v>
      </c>
      <c r="L14" s="375"/>
    </row>
    <row r="15" spans="1:17" s="374" customFormat="1" x14ac:dyDescent="0.25">
      <c r="A15" s="511"/>
      <c r="B15" s="459" t="s">
        <v>21</v>
      </c>
      <c r="C15" s="486" t="s">
        <v>20</v>
      </c>
      <c r="D15" s="382"/>
      <c r="E15" s="377"/>
      <c r="F15" s="377"/>
      <c r="G15" s="447"/>
      <c r="H15" s="366">
        <v>0</v>
      </c>
      <c r="I15" s="377">
        <v>0</v>
      </c>
      <c r="J15" s="377">
        <v>0</v>
      </c>
      <c r="K15" s="510">
        <v>0</v>
      </c>
      <c r="L15" s="375"/>
    </row>
    <row r="16" spans="1:17" s="374" customFormat="1" x14ac:dyDescent="0.25">
      <c r="A16" s="511"/>
      <c r="B16" s="459"/>
      <c r="C16" s="486" t="s">
        <v>928</v>
      </c>
      <c r="D16" s="372">
        <v>2000</v>
      </c>
      <c r="E16" s="366">
        <v>2000</v>
      </c>
      <c r="F16" s="377"/>
      <c r="G16" s="447"/>
      <c r="H16" s="366">
        <v>2000</v>
      </c>
      <c r="I16" s="377">
        <v>2000</v>
      </c>
      <c r="J16" s="377">
        <v>0</v>
      </c>
      <c r="K16" s="510">
        <v>0</v>
      </c>
      <c r="L16" s="375"/>
    </row>
    <row r="17" spans="1:12" s="374" customFormat="1" x14ac:dyDescent="0.25">
      <c r="A17" s="511"/>
      <c r="B17" s="459"/>
      <c r="C17" s="486" t="s">
        <v>929</v>
      </c>
      <c r="D17" s="372">
        <v>1000</v>
      </c>
      <c r="E17" s="366">
        <v>1000</v>
      </c>
      <c r="F17" s="377"/>
      <c r="G17" s="447"/>
      <c r="H17" s="366">
        <v>1000</v>
      </c>
      <c r="I17" s="377">
        <v>1000</v>
      </c>
      <c r="J17" s="377">
        <v>0</v>
      </c>
      <c r="K17" s="510">
        <v>0</v>
      </c>
      <c r="L17" s="375"/>
    </row>
    <row r="18" spans="1:12" s="374" customFormat="1" x14ac:dyDescent="0.25">
      <c r="A18" s="511"/>
      <c r="B18" s="459"/>
      <c r="C18" s="504" t="s">
        <v>150</v>
      </c>
      <c r="D18" s="382">
        <f>SUM(D16:D17)</f>
        <v>3000</v>
      </c>
      <c r="E18" s="377">
        <f>SUM(E16:E17)</f>
        <v>3000</v>
      </c>
      <c r="F18" s="377">
        <f>SUM(F16:F17)</f>
        <v>0</v>
      </c>
      <c r="G18" s="447">
        <f>SUM(G16:G17)</f>
        <v>0</v>
      </c>
      <c r="H18" s="366">
        <v>3000</v>
      </c>
      <c r="I18" s="377">
        <v>3000</v>
      </c>
      <c r="J18" s="377">
        <v>0</v>
      </c>
      <c r="K18" s="510">
        <v>0</v>
      </c>
      <c r="L18" s="375"/>
    </row>
    <row r="19" spans="1:12" x14ac:dyDescent="0.25">
      <c r="A19" s="509"/>
      <c r="B19" s="459"/>
      <c r="C19" s="498" t="s">
        <v>10</v>
      </c>
      <c r="D19" s="492">
        <f>D9+D10+D11+D14+D18</f>
        <v>174894</v>
      </c>
      <c r="E19" s="488">
        <f>E9+E10+E11+E14+E18</f>
        <v>174894</v>
      </c>
      <c r="F19" s="488">
        <f>F9+F10+F11+F14+F18</f>
        <v>0</v>
      </c>
      <c r="G19" s="491">
        <f>G9+G10+G11+G14+G18</f>
        <v>0</v>
      </c>
      <c r="H19" s="492">
        <v>167615</v>
      </c>
      <c r="I19" s="488">
        <v>167615</v>
      </c>
      <c r="J19" s="488">
        <v>0</v>
      </c>
      <c r="K19" s="491">
        <v>0</v>
      </c>
      <c r="L19" s="352"/>
    </row>
    <row r="20" spans="1:12" x14ac:dyDescent="0.25">
      <c r="A20" s="509"/>
      <c r="B20" s="459"/>
      <c r="C20" s="498"/>
      <c r="D20" s="489"/>
      <c r="E20" s="488"/>
      <c r="F20" s="488"/>
      <c r="G20" s="487"/>
      <c r="H20" s="366"/>
      <c r="I20" s="366"/>
      <c r="J20" s="366"/>
      <c r="K20" s="485"/>
      <c r="L20" s="352"/>
    </row>
    <row r="21" spans="1:12" x14ac:dyDescent="0.25">
      <c r="A21" s="460">
        <v>102</v>
      </c>
      <c r="B21" s="517"/>
      <c r="C21" s="461" t="s">
        <v>700</v>
      </c>
      <c r="D21" s="458"/>
      <c r="E21" s="389"/>
      <c r="F21" s="389"/>
      <c r="G21" s="388"/>
      <c r="H21" s="366"/>
      <c r="I21" s="366"/>
      <c r="J21" s="366"/>
      <c r="K21" s="485"/>
      <c r="L21" s="352"/>
    </row>
    <row r="22" spans="1:12" x14ac:dyDescent="0.25">
      <c r="A22" s="509"/>
      <c r="B22" s="459" t="s">
        <v>8</v>
      </c>
      <c r="C22" s="486" t="s">
        <v>22</v>
      </c>
      <c r="D22" s="372">
        <v>124875</v>
      </c>
      <c r="E22" s="366">
        <v>124875</v>
      </c>
      <c r="F22" s="366"/>
      <c r="G22" s="365"/>
      <c r="H22" s="366">
        <v>125153</v>
      </c>
      <c r="I22" s="366">
        <v>125153</v>
      </c>
      <c r="J22" s="366">
        <v>0</v>
      </c>
      <c r="K22" s="485">
        <v>0</v>
      </c>
      <c r="L22" s="352"/>
    </row>
    <row r="23" spans="1:12" x14ac:dyDescent="0.25">
      <c r="A23" s="509"/>
      <c r="B23" s="459" t="s">
        <v>13</v>
      </c>
      <c r="C23" s="486" t="s">
        <v>56</v>
      </c>
      <c r="D23" s="372">
        <v>21688</v>
      </c>
      <c r="E23" s="366">
        <v>21688</v>
      </c>
      <c r="F23" s="366"/>
      <c r="G23" s="365"/>
      <c r="H23" s="366">
        <v>20687</v>
      </c>
      <c r="I23" s="366">
        <v>20687</v>
      </c>
      <c r="J23" s="366">
        <v>0</v>
      </c>
      <c r="K23" s="485">
        <v>0</v>
      </c>
      <c r="L23" s="352"/>
    </row>
    <row r="24" spans="1:12" x14ac:dyDescent="0.25">
      <c r="A24" s="509"/>
      <c r="B24" s="459" t="s">
        <v>14</v>
      </c>
      <c r="C24" s="486" t="s">
        <v>27</v>
      </c>
      <c r="D24" s="372">
        <v>10000</v>
      </c>
      <c r="E24" s="366">
        <v>10000</v>
      </c>
      <c r="F24" s="366"/>
      <c r="G24" s="365"/>
      <c r="H24" s="366">
        <v>9959</v>
      </c>
      <c r="I24" s="366">
        <v>9959</v>
      </c>
      <c r="J24" s="366">
        <v>0</v>
      </c>
      <c r="K24" s="485">
        <v>0</v>
      </c>
      <c r="L24" s="352"/>
    </row>
    <row r="25" spans="1:12" x14ac:dyDescent="0.25">
      <c r="A25" s="509"/>
      <c r="B25" s="459" t="s">
        <v>21</v>
      </c>
      <c r="C25" s="486" t="s">
        <v>20</v>
      </c>
      <c r="D25" s="382"/>
      <c r="E25" s="377"/>
      <c r="F25" s="377"/>
      <c r="G25" s="447"/>
      <c r="H25" s="366">
        <v>0</v>
      </c>
      <c r="I25" s="366">
        <v>0</v>
      </c>
      <c r="J25" s="366">
        <v>0</v>
      </c>
      <c r="K25" s="485">
        <v>0</v>
      </c>
      <c r="L25" s="352"/>
    </row>
    <row r="26" spans="1:12" ht="30" x14ac:dyDescent="0.25">
      <c r="A26" s="509"/>
      <c r="B26" s="459"/>
      <c r="C26" s="436" t="s">
        <v>930</v>
      </c>
      <c r="D26" s="372">
        <v>4771</v>
      </c>
      <c r="E26" s="366">
        <v>4771</v>
      </c>
      <c r="F26" s="377"/>
      <c r="G26" s="447"/>
      <c r="H26" s="366">
        <v>4771</v>
      </c>
      <c r="I26" s="366">
        <v>4771</v>
      </c>
      <c r="J26" s="366">
        <v>0</v>
      </c>
      <c r="K26" s="485">
        <v>0</v>
      </c>
      <c r="L26" s="352"/>
    </row>
    <row r="27" spans="1:12" ht="30" x14ac:dyDescent="0.25">
      <c r="A27" s="509"/>
      <c r="B27" s="459"/>
      <c r="C27" s="436" t="s">
        <v>756</v>
      </c>
      <c r="D27" s="372">
        <v>3000</v>
      </c>
      <c r="E27" s="366">
        <v>3000</v>
      </c>
      <c r="F27" s="377"/>
      <c r="G27" s="447"/>
      <c r="H27" s="366">
        <v>3000</v>
      </c>
      <c r="I27" s="366">
        <v>3000</v>
      </c>
      <c r="J27" s="366">
        <v>0</v>
      </c>
      <c r="K27" s="485">
        <v>0</v>
      </c>
      <c r="L27" s="352"/>
    </row>
    <row r="28" spans="1:12" x14ac:dyDescent="0.25">
      <c r="A28" s="509"/>
      <c r="B28" s="459"/>
      <c r="C28" s="504" t="s">
        <v>150</v>
      </c>
      <c r="D28" s="382">
        <f>SUM(D26:D27)</f>
        <v>7771</v>
      </c>
      <c r="E28" s="377">
        <f>SUM(E26:E27)</f>
        <v>7771</v>
      </c>
      <c r="F28" s="377">
        <f>SUM(F26:F27)</f>
        <v>0</v>
      </c>
      <c r="G28" s="447">
        <f>SUM(G26:G27)</f>
        <v>0</v>
      </c>
      <c r="H28" s="366">
        <v>7771</v>
      </c>
      <c r="I28" s="366">
        <v>7771</v>
      </c>
      <c r="J28" s="366">
        <v>0</v>
      </c>
      <c r="K28" s="485">
        <v>0</v>
      </c>
      <c r="L28" s="352"/>
    </row>
    <row r="29" spans="1:12" x14ac:dyDescent="0.25">
      <c r="A29" s="509"/>
      <c r="B29" s="459"/>
      <c r="C29" s="486"/>
      <c r="D29" s="372"/>
      <c r="E29" s="366"/>
      <c r="F29" s="366"/>
      <c r="G29" s="446"/>
      <c r="H29" s="366">
        <v>0</v>
      </c>
      <c r="I29" s="366">
        <v>0</v>
      </c>
      <c r="J29" s="366">
        <v>0</v>
      </c>
      <c r="K29" s="485">
        <v>0</v>
      </c>
      <c r="L29" s="352"/>
    </row>
    <row r="30" spans="1:12" x14ac:dyDescent="0.25">
      <c r="A30" s="509"/>
      <c r="B30" s="459"/>
      <c r="C30" s="498" t="s">
        <v>30</v>
      </c>
      <c r="D30" s="492">
        <f>D22+D23+D24+D28</f>
        <v>164334</v>
      </c>
      <c r="E30" s="488">
        <f>E22+E23+E24+E28</f>
        <v>164334</v>
      </c>
      <c r="F30" s="488">
        <f>F22+F23+F24+F28</f>
        <v>0</v>
      </c>
      <c r="G30" s="491">
        <f>G22+G23+G24+G28</f>
        <v>0</v>
      </c>
      <c r="H30" s="492">
        <v>163570</v>
      </c>
      <c r="I30" s="488">
        <v>163570</v>
      </c>
      <c r="J30" s="488">
        <v>0</v>
      </c>
      <c r="K30" s="491">
        <v>0</v>
      </c>
      <c r="L30" s="352"/>
    </row>
    <row r="31" spans="1:12" x14ac:dyDescent="0.25">
      <c r="A31" s="509"/>
      <c r="B31" s="459"/>
      <c r="C31" s="486"/>
      <c r="D31" s="486"/>
      <c r="E31" s="350"/>
      <c r="F31" s="350"/>
      <c r="G31" s="368"/>
      <c r="H31" s="366"/>
      <c r="I31" s="366"/>
      <c r="J31" s="366"/>
      <c r="K31" s="485"/>
      <c r="L31" s="352"/>
    </row>
    <row r="32" spans="1:12" x14ac:dyDescent="0.25">
      <c r="A32" s="460">
        <v>103</v>
      </c>
      <c r="B32" s="517"/>
      <c r="C32" s="498" t="s">
        <v>46</v>
      </c>
      <c r="D32" s="386"/>
      <c r="E32" s="385"/>
      <c r="F32" s="385"/>
      <c r="G32" s="384"/>
      <c r="H32" s="366"/>
      <c r="I32" s="366"/>
      <c r="J32" s="366"/>
      <c r="K32" s="485"/>
      <c r="L32" s="352"/>
    </row>
    <row r="33" spans="1:12" x14ac:dyDescent="0.25">
      <c r="A33" s="509"/>
      <c r="B33" s="459" t="s">
        <v>8</v>
      </c>
      <c r="C33" s="486" t="s">
        <v>22</v>
      </c>
      <c r="D33" s="372">
        <v>173214</v>
      </c>
      <c r="E33" s="366">
        <v>173214</v>
      </c>
      <c r="F33" s="366"/>
      <c r="G33" s="365"/>
      <c r="H33" s="366">
        <v>158801</v>
      </c>
      <c r="I33" s="366">
        <v>158801</v>
      </c>
      <c r="J33" s="366">
        <v>0</v>
      </c>
      <c r="K33" s="485">
        <v>0</v>
      </c>
      <c r="L33" s="352"/>
    </row>
    <row r="34" spans="1:12" x14ac:dyDescent="0.25">
      <c r="A34" s="509"/>
      <c r="B34" s="459" t="s">
        <v>13</v>
      </c>
      <c r="C34" s="486" t="s">
        <v>56</v>
      </c>
      <c r="D34" s="372">
        <v>30151</v>
      </c>
      <c r="E34" s="366">
        <v>30151</v>
      </c>
      <c r="F34" s="366"/>
      <c r="G34" s="365"/>
      <c r="H34" s="366">
        <v>26286</v>
      </c>
      <c r="I34" s="366">
        <v>26286</v>
      </c>
      <c r="J34" s="366">
        <v>0</v>
      </c>
      <c r="K34" s="485">
        <v>0</v>
      </c>
      <c r="L34" s="352"/>
    </row>
    <row r="35" spans="1:12" x14ac:dyDescent="0.25">
      <c r="A35" s="509"/>
      <c r="B35" s="459" t="s">
        <v>14</v>
      </c>
      <c r="C35" s="486" t="s">
        <v>27</v>
      </c>
      <c r="D35" s="372">
        <v>155000</v>
      </c>
      <c r="E35" s="366">
        <v>155000</v>
      </c>
      <c r="F35" s="366"/>
      <c r="G35" s="365"/>
      <c r="H35" s="366">
        <v>131916</v>
      </c>
      <c r="I35" s="366">
        <v>131916</v>
      </c>
      <c r="J35" s="366">
        <v>0</v>
      </c>
      <c r="K35" s="485">
        <v>0</v>
      </c>
      <c r="L35" s="352"/>
    </row>
    <row r="36" spans="1:12" x14ac:dyDescent="0.25">
      <c r="A36" s="509"/>
      <c r="B36" s="459" t="s">
        <v>19</v>
      </c>
      <c r="C36" s="486" t="s">
        <v>51</v>
      </c>
      <c r="D36" s="372"/>
      <c r="E36" s="366"/>
      <c r="F36" s="366"/>
      <c r="G36" s="446"/>
      <c r="H36" s="366">
        <v>0</v>
      </c>
      <c r="I36" s="366">
        <v>0</v>
      </c>
      <c r="J36" s="366">
        <v>0</v>
      </c>
      <c r="K36" s="485">
        <v>0</v>
      </c>
      <c r="L36" s="352"/>
    </row>
    <row r="37" spans="1:12" x14ac:dyDescent="0.25">
      <c r="A37" s="509"/>
      <c r="B37" s="459"/>
      <c r="C37" s="486" t="s">
        <v>165</v>
      </c>
      <c r="D37" s="372">
        <v>1000</v>
      </c>
      <c r="E37" s="366">
        <v>1000</v>
      </c>
      <c r="F37" s="366"/>
      <c r="G37" s="446"/>
      <c r="H37" s="366">
        <v>1000</v>
      </c>
      <c r="I37" s="366">
        <v>1000</v>
      </c>
      <c r="J37" s="366">
        <v>0</v>
      </c>
      <c r="K37" s="485">
        <v>0</v>
      </c>
      <c r="L37" s="352"/>
    </row>
    <row r="38" spans="1:12" x14ac:dyDescent="0.25">
      <c r="A38" s="509"/>
      <c r="B38" s="459"/>
      <c r="C38" s="504" t="s">
        <v>53</v>
      </c>
      <c r="D38" s="382">
        <f>SUM(D37)</f>
        <v>1000</v>
      </c>
      <c r="E38" s="377">
        <f>SUM(E37)</f>
        <v>1000</v>
      </c>
      <c r="F38" s="377">
        <f>SUM(F37)</f>
        <v>0</v>
      </c>
      <c r="G38" s="447">
        <f>SUM(G37)</f>
        <v>0</v>
      </c>
      <c r="H38" s="366">
        <v>1000</v>
      </c>
      <c r="I38" s="366">
        <v>1000</v>
      </c>
      <c r="J38" s="366">
        <v>0</v>
      </c>
      <c r="K38" s="485">
        <v>0</v>
      </c>
      <c r="L38" s="352"/>
    </row>
    <row r="39" spans="1:12" x14ac:dyDescent="0.25">
      <c r="A39" s="509"/>
      <c r="B39" s="459"/>
      <c r="C39" s="498" t="s">
        <v>18</v>
      </c>
      <c r="D39" s="492">
        <f>SUM(D33:D35)+D38</f>
        <v>359365</v>
      </c>
      <c r="E39" s="488">
        <f>SUM(E33:E35)+E38</f>
        <v>359365</v>
      </c>
      <c r="F39" s="488">
        <f>SUM(F33:F35)+F38</f>
        <v>0</v>
      </c>
      <c r="G39" s="491">
        <f>SUM(G33:G35)+G38</f>
        <v>0</v>
      </c>
      <c r="H39" s="492">
        <v>318003</v>
      </c>
      <c r="I39" s="488">
        <v>318003</v>
      </c>
      <c r="J39" s="488">
        <v>0</v>
      </c>
      <c r="K39" s="491">
        <v>0</v>
      </c>
      <c r="L39" s="352"/>
    </row>
    <row r="40" spans="1:12" x14ac:dyDescent="0.25">
      <c r="A40" s="509"/>
      <c r="B40" s="459"/>
      <c r="C40" s="486"/>
      <c r="D40" s="369"/>
      <c r="E40" s="350"/>
      <c r="F40" s="350"/>
      <c r="G40" s="368"/>
      <c r="H40" s="366"/>
      <c r="I40" s="366"/>
      <c r="J40" s="366"/>
      <c r="K40" s="485"/>
      <c r="L40" s="352"/>
    </row>
    <row r="41" spans="1:12" x14ac:dyDescent="0.25">
      <c r="A41" s="460">
        <v>104</v>
      </c>
      <c r="B41" s="459"/>
      <c r="C41" s="461" t="s">
        <v>755</v>
      </c>
      <c r="D41" s="386"/>
      <c r="E41" s="385"/>
      <c r="F41" s="385"/>
      <c r="G41" s="384"/>
      <c r="H41" s="366"/>
      <c r="I41" s="366"/>
      <c r="J41" s="366"/>
      <c r="K41" s="485"/>
      <c r="L41" s="352"/>
    </row>
    <row r="42" spans="1:12" x14ac:dyDescent="0.25">
      <c r="A42" s="509"/>
      <c r="B42" s="459" t="s">
        <v>8</v>
      </c>
      <c r="C42" s="486" t="s">
        <v>22</v>
      </c>
      <c r="D42" s="372">
        <v>18952</v>
      </c>
      <c r="E42" s="366">
        <v>18952</v>
      </c>
      <c r="F42" s="366"/>
      <c r="G42" s="365"/>
      <c r="H42" s="366">
        <v>16621</v>
      </c>
      <c r="I42" s="366">
        <v>16621</v>
      </c>
      <c r="J42" s="366">
        <v>0</v>
      </c>
      <c r="K42" s="485">
        <v>0</v>
      </c>
      <c r="L42" s="352"/>
    </row>
    <row r="43" spans="1:12" x14ac:dyDescent="0.25">
      <c r="A43" s="509"/>
      <c r="B43" s="459" t="s">
        <v>13</v>
      </c>
      <c r="C43" s="486" t="s">
        <v>56</v>
      </c>
      <c r="D43" s="372">
        <v>3317</v>
      </c>
      <c r="E43" s="366">
        <v>3317</v>
      </c>
      <c r="F43" s="366"/>
      <c r="G43" s="365"/>
      <c r="H43" s="366">
        <v>2826</v>
      </c>
      <c r="I43" s="366">
        <v>2826</v>
      </c>
      <c r="J43" s="366">
        <v>0</v>
      </c>
      <c r="K43" s="485">
        <v>0</v>
      </c>
      <c r="L43" s="352"/>
    </row>
    <row r="44" spans="1:12" x14ac:dyDescent="0.25">
      <c r="A44" s="509"/>
      <c r="B44" s="459" t="s">
        <v>14</v>
      </c>
      <c r="C44" s="486" t="s">
        <v>27</v>
      </c>
      <c r="D44" s="372">
        <v>13000</v>
      </c>
      <c r="E44" s="366">
        <v>13000</v>
      </c>
      <c r="F44" s="366"/>
      <c r="G44" s="365"/>
      <c r="H44" s="366">
        <v>10778</v>
      </c>
      <c r="I44" s="366">
        <v>10778</v>
      </c>
      <c r="J44" s="366">
        <v>0</v>
      </c>
      <c r="K44" s="485">
        <v>0</v>
      </c>
      <c r="L44" s="352"/>
    </row>
    <row r="45" spans="1:12" x14ac:dyDescent="0.25">
      <c r="A45" s="509"/>
      <c r="B45" s="459" t="s">
        <v>19</v>
      </c>
      <c r="C45" s="486" t="s">
        <v>51</v>
      </c>
      <c r="D45" s="372"/>
      <c r="E45" s="366"/>
      <c r="F45" s="366"/>
      <c r="G45" s="365"/>
      <c r="H45" s="366">
        <v>0</v>
      </c>
      <c r="I45" s="366">
        <v>0</v>
      </c>
      <c r="J45" s="366">
        <v>0</v>
      </c>
      <c r="K45" s="485">
        <v>0</v>
      </c>
      <c r="L45" s="352"/>
    </row>
    <row r="46" spans="1:12" x14ac:dyDescent="0.25">
      <c r="A46" s="509"/>
      <c r="B46" s="459"/>
      <c r="C46" s="486" t="s">
        <v>165</v>
      </c>
      <c r="D46" s="372">
        <v>3500</v>
      </c>
      <c r="E46" s="366">
        <v>3500</v>
      </c>
      <c r="F46" s="366"/>
      <c r="G46" s="365"/>
      <c r="H46" s="366">
        <v>3500</v>
      </c>
      <c r="I46" s="366">
        <v>3500</v>
      </c>
      <c r="J46" s="366">
        <v>0</v>
      </c>
      <c r="K46" s="485">
        <v>0</v>
      </c>
      <c r="L46" s="352"/>
    </row>
    <row r="47" spans="1:12" x14ac:dyDescent="0.25">
      <c r="A47" s="509"/>
      <c r="B47" s="459"/>
      <c r="C47" s="486" t="s">
        <v>1146</v>
      </c>
      <c r="D47" s="372"/>
      <c r="E47" s="366"/>
      <c r="F47" s="366"/>
      <c r="G47" s="446"/>
      <c r="H47" s="366">
        <v>689</v>
      </c>
      <c r="I47" s="366">
        <v>689</v>
      </c>
      <c r="J47" s="366">
        <v>0</v>
      </c>
      <c r="K47" s="485">
        <v>0</v>
      </c>
      <c r="L47" s="352"/>
    </row>
    <row r="48" spans="1:12" s="374" customFormat="1" x14ac:dyDescent="0.25">
      <c r="A48" s="511"/>
      <c r="B48" s="516"/>
      <c r="C48" s="504" t="s">
        <v>53</v>
      </c>
      <c r="D48" s="382">
        <f>SUM(D46)</f>
        <v>3500</v>
      </c>
      <c r="E48" s="377">
        <f>SUM(E46)</f>
        <v>3500</v>
      </c>
      <c r="F48" s="377">
        <f>SUM(F46)</f>
        <v>0</v>
      </c>
      <c r="G48" s="447">
        <f>SUM(G46)</f>
        <v>0</v>
      </c>
      <c r="H48" s="378">
        <v>4189</v>
      </c>
      <c r="I48" s="377">
        <v>4189</v>
      </c>
      <c r="J48" s="377">
        <v>0</v>
      </c>
      <c r="K48" s="377">
        <v>0</v>
      </c>
      <c r="L48" s="375"/>
    </row>
    <row r="49" spans="1:12" s="374" customFormat="1" x14ac:dyDescent="0.25">
      <c r="A49" s="511"/>
      <c r="B49" s="459" t="s">
        <v>21</v>
      </c>
      <c r="C49" s="486" t="s">
        <v>20</v>
      </c>
      <c r="D49" s="382"/>
      <c r="E49" s="377"/>
      <c r="F49" s="377"/>
      <c r="G49" s="447"/>
      <c r="H49" s="366">
        <v>0</v>
      </c>
      <c r="I49" s="377">
        <v>0</v>
      </c>
      <c r="J49" s="377">
        <v>0</v>
      </c>
      <c r="K49" s="510">
        <v>0</v>
      </c>
      <c r="L49" s="375"/>
    </row>
    <row r="50" spans="1:12" s="374" customFormat="1" x14ac:dyDescent="0.25">
      <c r="A50" s="511"/>
      <c r="B50" s="459"/>
      <c r="C50" s="486" t="s">
        <v>931</v>
      </c>
      <c r="D50" s="372">
        <v>3284</v>
      </c>
      <c r="E50" s="366">
        <v>3284</v>
      </c>
      <c r="F50" s="366"/>
      <c r="G50" s="446"/>
      <c r="H50" s="366">
        <v>3284</v>
      </c>
      <c r="I50" s="377">
        <v>3284</v>
      </c>
      <c r="J50" s="377">
        <v>0</v>
      </c>
      <c r="K50" s="510">
        <v>0</v>
      </c>
      <c r="L50" s="375"/>
    </row>
    <row r="51" spans="1:12" s="374" customFormat="1" ht="30" x14ac:dyDescent="0.25">
      <c r="A51" s="511"/>
      <c r="B51" s="459"/>
      <c r="C51" s="436" t="s">
        <v>703</v>
      </c>
      <c r="D51" s="372">
        <v>2000</v>
      </c>
      <c r="E51" s="366">
        <v>2000</v>
      </c>
      <c r="F51" s="366"/>
      <c r="G51" s="446"/>
      <c r="H51" s="366">
        <v>2000</v>
      </c>
      <c r="I51" s="377">
        <v>2000</v>
      </c>
      <c r="J51" s="377">
        <v>0</v>
      </c>
      <c r="K51" s="510">
        <v>0</v>
      </c>
      <c r="L51" s="375"/>
    </row>
    <row r="52" spans="1:12" s="374" customFormat="1" x14ac:dyDescent="0.25">
      <c r="A52" s="511"/>
      <c r="B52" s="459"/>
      <c r="C52" s="504" t="s">
        <v>150</v>
      </c>
      <c r="D52" s="382">
        <f>SUM(D50:D51)</f>
        <v>5284</v>
      </c>
      <c r="E52" s="377">
        <f>SUM(E50:E51)</f>
        <v>5284</v>
      </c>
      <c r="F52" s="377">
        <f>SUM(F50:F51)</f>
        <v>0</v>
      </c>
      <c r="G52" s="447">
        <f>SUM(G50:G51)</f>
        <v>0</v>
      </c>
      <c r="H52" s="366">
        <v>5284</v>
      </c>
      <c r="I52" s="377">
        <v>5284</v>
      </c>
      <c r="J52" s="377">
        <v>0</v>
      </c>
      <c r="K52" s="510">
        <v>0</v>
      </c>
      <c r="L52" s="375"/>
    </row>
    <row r="53" spans="1:12" x14ac:dyDescent="0.25">
      <c r="A53" s="509"/>
      <c r="B53" s="459"/>
      <c r="C53" s="498" t="s">
        <v>48</v>
      </c>
      <c r="D53" s="489">
        <f>SUM(D42:D44)+D48+D52</f>
        <v>44053</v>
      </c>
      <c r="E53" s="488">
        <f>SUM(E42:E44)+E48+E52</f>
        <v>44053</v>
      </c>
      <c r="F53" s="488">
        <f>SUM(F42:F44)+F48+F52</f>
        <v>0</v>
      </c>
      <c r="G53" s="487">
        <f>SUM(G42:G44)+G48+G52</f>
        <v>0</v>
      </c>
      <c r="H53" s="492">
        <v>39698</v>
      </c>
      <c r="I53" s="488">
        <v>39698</v>
      </c>
      <c r="J53" s="488">
        <v>0</v>
      </c>
      <c r="K53" s="491">
        <v>0</v>
      </c>
      <c r="L53" s="352"/>
    </row>
    <row r="54" spans="1:12" x14ac:dyDescent="0.25">
      <c r="A54" s="509"/>
      <c r="B54" s="459"/>
      <c r="C54" s="498"/>
      <c r="D54" s="386"/>
      <c r="E54" s="385"/>
      <c r="F54" s="385"/>
      <c r="G54" s="384"/>
      <c r="H54" s="366"/>
      <c r="I54" s="366"/>
      <c r="J54" s="366"/>
      <c r="K54" s="485"/>
      <c r="L54" s="352"/>
    </row>
    <row r="55" spans="1:12" x14ac:dyDescent="0.25">
      <c r="A55" s="509"/>
      <c r="B55" s="459"/>
      <c r="C55" s="498" t="s">
        <v>907</v>
      </c>
      <c r="D55" s="489">
        <f>SUM(D19,D39,D53,D30)</f>
        <v>742646</v>
      </c>
      <c r="E55" s="488">
        <f>SUM(E19,E39,E53,E30)</f>
        <v>742646</v>
      </c>
      <c r="F55" s="488">
        <f>SUM(F19,F39,F53,F30)</f>
        <v>0</v>
      </c>
      <c r="G55" s="487">
        <f>SUM(G19,G39,G53,G30)</f>
        <v>0</v>
      </c>
      <c r="H55" s="492">
        <v>688886</v>
      </c>
      <c r="I55" s="488">
        <v>688886</v>
      </c>
      <c r="J55" s="488">
        <v>0</v>
      </c>
      <c r="K55" s="491">
        <v>0</v>
      </c>
      <c r="L55" s="352"/>
    </row>
    <row r="56" spans="1:12" x14ac:dyDescent="0.25">
      <c r="A56" s="509"/>
      <c r="B56" s="459"/>
      <c r="C56" s="498"/>
      <c r="D56" s="386"/>
      <c r="E56" s="385"/>
      <c r="F56" s="385"/>
      <c r="G56" s="384"/>
      <c r="H56" s="366"/>
      <c r="I56" s="366"/>
      <c r="J56" s="366"/>
      <c r="K56" s="485"/>
      <c r="L56" s="352"/>
    </row>
    <row r="57" spans="1:12" x14ac:dyDescent="0.25">
      <c r="A57" s="460">
        <v>105</v>
      </c>
      <c r="B57" s="459"/>
      <c r="C57" s="498" t="s">
        <v>47</v>
      </c>
      <c r="D57" s="498"/>
      <c r="E57" s="385"/>
      <c r="F57" s="385"/>
      <c r="G57" s="384"/>
      <c r="H57" s="366"/>
      <c r="I57" s="366"/>
      <c r="J57" s="366"/>
      <c r="K57" s="485"/>
      <c r="L57" s="352"/>
    </row>
    <row r="58" spans="1:12" x14ac:dyDescent="0.25">
      <c r="A58" s="509"/>
      <c r="B58" s="459" t="s">
        <v>8</v>
      </c>
      <c r="C58" s="486" t="s">
        <v>22</v>
      </c>
      <c r="D58" s="372">
        <v>298640</v>
      </c>
      <c r="E58" s="366">
        <v>298640</v>
      </c>
      <c r="F58" s="366"/>
      <c r="G58" s="365"/>
      <c r="H58" s="366">
        <v>295630</v>
      </c>
      <c r="I58" s="366">
        <v>295630</v>
      </c>
      <c r="J58" s="366">
        <v>0</v>
      </c>
      <c r="K58" s="485">
        <v>0</v>
      </c>
      <c r="L58" s="352"/>
    </row>
    <row r="59" spans="1:12" x14ac:dyDescent="0.25">
      <c r="A59" s="509"/>
      <c r="B59" s="459" t="s">
        <v>13</v>
      </c>
      <c r="C59" s="486" t="s">
        <v>56</v>
      </c>
      <c r="D59" s="372">
        <v>54748</v>
      </c>
      <c r="E59" s="366">
        <v>54748</v>
      </c>
      <c r="F59" s="366"/>
      <c r="G59" s="365"/>
      <c r="H59" s="366">
        <v>52034</v>
      </c>
      <c r="I59" s="366">
        <v>52034</v>
      </c>
      <c r="J59" s="366">
        <v>0</v>
      </c>
      <c r="K59" s="485">
        <v>0</v>
      </c>
      <c r="L59" s="352"/>
    </row>
    <row r="60" spans="1:12" x14ac:dyDescent="0.25">
      <c r="A60" s="509"/>
      <c r="B60" s="459" t="s">
        <v>14</v>
      </c>
      <c r="C60" s="486" t="s">
        <v>27</v>
      </c>
      <c r="D60" s="372">
        <v>70000</v>
      </c>
      <c r="E60" s="366">
        <v>70000</v>
      </c>
      <c r="F60" s="366"/>
      <c r="G60" s="365"/>
      <c r="H60" s="366">
        <v>70369</v>
      </c>
      <c r="I60" s="366">
        <v>70369</v>
      </c>
      <c r="J60" s="366">
        <v>0</v>
      </c>
      <c r="K60" s="485">
        <v>0</v>
      </c>
      <c r="L60" s="352"/>
    </row>
    <row r="61" spans="1:12" x14ac:dyDescent="0.25">
      <c r="A61" s="509"/>
      <c r="B61" s="459" t="s">
        <v>19</v>
      </c>
      <c r="C61" s="486" t="s">
        <v>51</v>
      </c>
      <c r="D61" s="372"/>
      <c r="E61" s="366"/>
      <c r="F61" s="366"/>
      <c r="G61" s="365"/>
      <c r="H61" s="366">
        <v>0</v>
      </c>
      <c r="I61" s="366">
        <v>0</v>
      </c>
      <c r="J61" s="366">
        <v>0</v>
      </c>
      <c r="K61" s="485">
        <v>0</v>
      </c>
      <c r="L61" s="352"/>
    </row>
    <row r="62" spans="1:12" x14ac:dyDescent="0.25">
      <c r="A62" s="509"/>
      <c r="B62" s="459"/>
      <c r="C62" s="486" t="s">
        <v>0</v>
      </c>
      <c r="D62" s="372">
        <v>2000</v>
      </c>
      <c r="E62" s="366">
        <v>2000</v>
      </c>
      <c r="F62" s="366"/>
      <c r="G62" s="365"/>
      <c r="H62" s="366">
        <v>2000</v>
      </c>
      <c r="I62" s="366">
        <v>2000</v>
      </c>
      <c r="J62" s="366">
        <v>0</v>
      </c>
      <c r="K62" s="485">
        <v>0</v>
      </c>
      <c r="L62" s="352"/>
    </row>
    <row r="63" spans="1:12" x14ac:dyDescent="0.25">
      <c r="A63" s="509"/>
      <c r="B63" s="459"/>
      <c r="C63" s="486" t="s">
        <v>78</v>
      </c>
      <c r="D63" s="372">
        <v>550</v>
      </c>
      <c r="E63" s="366">
        <v>550</v>
      </c>
      <c r="F63" s="366"/>
      <c r="G63" s="365"/>
      <c r="H63" s="366">
        <v>550</v>
      </c>
      <c r="I63" s="366">
        <v>550</v>
      </c>
      <c r="J63" s="366">
        <v>0</v>
      </c>
      <c r="K63" s="485">
        <v>0</v>
      </c>
      <c r="L63" s="352"/>
    </row>
    <row r="64" spans="1:12" x14ac:dyDescent="0.25">
      <c r="A64" s="509"/>
      <c r="B64" s="459"/>
      <c r="C64" s="486" t="s">
        <v>166</v>
      </c>
      <c r="D64" s="372">
        <v>4000</v>
      </c>
      <c r="E64" s="366">
        <v>4000</v>
      </c>
      <c r="F64" s="366"/>
      <c r="G64" s="365"/>
      <c r="H64" s="366">
        <v>4000</v>
      </c>
      <c r="I64" s="366">
        <v>4000</v>
      </c>
      <c r="J64" s="366">
        <v>0</v>
      </c>
      <c r="K64" s="485">
        <v>0</v>
      </c>
      <c r="L64" s="352"/>
    </row>
    <row r="65" spans="1:12" x14ac:dyDescent="0.25">
      <c r="A65" s="509"/>
      <c r="B65" s="459"/>
      <c r="C65" s="486" t="s">
        <v>1145</v>
      </c>
      <c r="D65" s="372"/>
      <c r="E65" s="366"/>
      <c r="F65" s="366"/>
      <c r="G65" s="446"/>
      <c r="H65" s="366">
        <v>3000</v>
      </c>
      <c r="I65" s="366">
        <v>3000</v>
      </c>
      <c r="J65" s="366">
        <v>0</v>
      </c>
      <c r="K65" s="485">
        <v>0</v>
      </c>
      <c r="L65" s="352"/>
    </row>
    <row r="66" spans="1:12" x14ac:dyDescent="0.25">
      <c r="A66" s="511"/>
      <c r="B66" s="516"/>
      <c r="C66" s="504" t="s">
        <v>53</v>
      </c>
      <c r="D66" s="382">
        <f>SUM(D62:D64)</f>
        <v>6550</v>
      </c>
      <c r="E66" s="377">
        <f>SUM(E62:E64)</f>
        <v>6550</v>
      </c>
      <c r="F66" s="377">
        <f>SUM(F62:F64)</f>
        <v>0</v>
      </c>
      <c r="G66" s="447">
        <f>SUM(G62:G64)</f>
        <v>0</v>
      </c>
      <c r="H66" s="378">
        <v>9550</v>
      </c>
      <c r="I66" s="377">
        <v>9550</v>
      </c>
      <c r="J66" s="377">
        <v>0</v>
      </c>
      <c r="K66" s="376">
        <v>0</v>
      </c>
      <c r="L66" s="352"/>
    </row>
    <row r="67" spans="1:12" x14ac:dyDescent="0.25">
      <c r="A67" s="509"/>
      <c r="B67" s="459"/>
      <c r="C67" s="498" t="s">
        <v>12</v>
      </c>
      <c r="D67" s="458">
        <f>D58+D59+D60+D66</f>
        <v>429938</v>
      </c>
      <c r="E67" s="389">
        <f>E58+E59+E60+E66</f>
        <v>429938</v>
      </c>
      <c r="F67" s="389">
        <f>F58+F59+F60+F66</f>
        <v>0</v>
      </c>
      <c r="G67" s="457">
        <f>G58+G59+G60+G66</f>
        <v>0</v>
      </c>
      <c r="H67" s="390">
        <v>427583</v>
      </c>
      <c r="I67" s="389">
        <v>427583</v>
      </c>
      <c r="J67" s="389">
        <v>0</v>
      </c>
      <c r="K67" s="388">
        <v>0</v>
      </c>
      <c r="L67" s="352"/>
    </row>
    <row r="68" spans="1:12" x14ac:dyDescent="0.25">
      <c r="A68" s="509"/>
      <c r="B68" s="459"/>
      <c r="C68" s="490"/>
      <c r="D68" s="437"/>
      <c r="E68" s="500"/>
      <c r="F68" s="500"/>
      <c r="G68" s="499"/>
      <c r="H68" s="366"/>
      <c r="I68" s="366"/>
      <c r="J68" s="366"/>
      <c r="K68" s="485"/>
      <c r="L68" s="352"/>
    </row>
    <row r="69" spans="1:12" x14ac:dyDescent="0.25">
      <c r="A69" s="460">
        <v>106</v>
      </c>
      <c r="B69" s="459"/>
      <c r="C69" s="498" t="s">
        <v>31</v>
      </c>
      <c r="D69" s="386"/>
      <c r="E69" s="385"/>
      <c r="F69" s="385"/>
      <c r="G69" s="384"/>
      <c r="H69" s="366"/>
      <c r="I69" s="366"/>
      <c r="J69" s="366"/>
      <c r="K69" s="485"/>
      <c r="L69" s="352"/>
    </row>
    <row r="70" spans="1:12" x14ac:dyDescent="0.25">
      <c r="A70" s="509"/>
      <c r="B70" s="459" t="s">
        <v>8</v>
      </c>
      <c r="C70" s="486" t="s">
        <v>22</v>
      </c>
      <c r="D70" s="445"/>
      <c r="E70" s="444"/>
      <c r="F70" s="444"/>
      <c r="G70" s="443"/>
      <c r="H70" s="366"/>
      <c r="I70" s="366"/>
      <c r="J70" s="366"/>
      <c r="K70" s="485"/>
      <c r="L70" s="352"/>
    </row>
    <row r="71" spans="1:12" x14ac:dyDescent="0.25">
      <c r="A71" s="509"/>
      <c r="B71" s="459"/>
      <c r="C71" s="486" t="s">
        <v>932</v>
      </c>
      <c r="D71" s="367">
        <v>26600</v>
      </c>
      <c r="E71" s="366">
        <v>26600</v>
      </c>
      <c r="F71" s="366"/>
      <c r="G71" s="365"/>
      <c r="H71" s="366">
        <v>26600</v>
      </c>
      <c r="I71" s="366">
        <v>26600</v>
      </c>
      <c r="J71" s="366">
        <v>0</v>
      </c>
      <c r="K71" s="485">
        <v>0</v>
      </c>
      <c r="L71" s="352"/>
    </row>
    <row r="72" spans="1:12" x14ac:dyDescent="0.25">
      <c r="A72" s="509"/>
      <c r="B72" s="459"/>
      <c r="C72" s="436" t="s">
        <v>933</v>
      </c>
      <c r="D72" s="372">
        <v>15153</v>
      </c>
      <c r="E72" s="366">
        <v>15153</v>
      </c>
      <c r="F72" s="366"/>
      <c r="G72" s="446"/>
      <c r="H72" s="366">
        <v>15153</v>
      </c>
      <c r="I72" s="366">
        <v>15153</v>
      </c>
      <c r="J72" s="366">
        <v>0</v>
      </c>
      <c r="K72" s="485">
        <v>0</v>
      </c>
      <c r="L72" s="352"/>
    </row>
    <row r="73" spans="1:12" x14ac:dyDescent="0.25">
      <c r="A73" s="509"/>
      <c r="B73" s="459"/>
      <c r="C73" s="436" t="s">
        <v>934</v>
      </c>
      <c r="D73" s="372">
        <v>9675</v>
      </c>
      <c r="E73" s="366"/>
      <c r="F73" s="366">
        <v>9675</v>
      </c>
      <c r="G73" s="446"/>
      <c r="H73" s="366">
        <v>9675</v>
      </c>
      <c r="I73" s="366">
        <v>0</v>
      </c>
      <c r="J73" s="366">
        <v>9675</v>
      </c>
      <c r="K73" s="485">
        <v>0</v>
      </c>
      <c r="L73" s="352"/>
    </row>
    <row r="74" spans="1:12" x14ac:dyDescent="0.25">
      <c r="A74" s="509"/>
      <c r="B74" s="459"/>
      <c r="C74" s="436" t="s">
        <v>935</v>
      </c>
      <c r="D74" s="372">
        <v>31194</v>
      </c>
      <c r="E74" s="366">
        <v>31194</v>
      </c>
      <c r="F74" s="366"/>
      <c r="G74" s="446"/>
      <c r="H74" s="366">
        <v>31194</v>
      </c>
      <c r="I74" s="366">
        <v>31194</v>
      </c>
      <c r="J74" s="366">
        <v>0</v>
      </c>
      <c r="K74" s="485">
        <v>0</v>
      </c>
      <c r="L74" s="352"/>
    </row>
    <row r="75" spans="1:12" ht="28.5" customHeight="1" x14ac:dyDescent="0.25">
      <c r="A75" s="509"/>
      <c r="B75" s="459"/>
      <c r="C75" s="436" t="s">
        <v>936</v>
      </c>
      <c r="D75" s="372">
        <v>3309</v>
      </c>
      <c r="E75" s="366">
        <v>3309</v>
      </c>
      <c r="F75" s="366"/>
      <c r="G75" s="446"/>
      <c r="H75" s="366">
        <v>3309</v>
      </c>
      <c r="I75" s="366">
        <v>3309</v>
      </c>
      <c r="J75" s="366">
        <v>0</v>
      </c>
      <c r="K75" s="485">
        <v>0</v>
      </c>
      <c r="L75" s="352"/>
    </row>
    <row r="76" spans="1:12" ht="30" customHeight="1" x14ac:dyDescent="0.25">
      <c r="A76" s="509"/>
      <c r="B76" s="459"/>
      <c r="C76" s="436" t="s">
        <v>937</v>
      </c>
      <c r="D76" s="372">
        <v>2752</v>
      </c>
      <c r="E76" s="366">
        <v>2752</v>
      </c>
      <c r="F76" s="366"/>
      <c r="G76" s="446"/>
      <c r="H76" s="366">
        <v>2752</v>
      </c>
      <c r="I76" s="366">
        <v>2752</v>
      </c>
      <c r="J76" s="366">
        <v>0</v>
      </c>
      <c r="K76" s="485">
        <v>0</v>
      </c>
      <c r="L76" s="352"/>
    </row>
    <row r="77" spans="1:12" ht="45" x14ac:dyDescent="0.25">
      <c r="A77" s="509"/>
      <c r="B77" s="459"/>
      <c r="C77" s="436" t="s">
        <v>938</v>
      </c>
      <c r="D77" s="372">
        <v>5315</v>
      </c>
      <c r="E77" s="366">
        <v>5315</v>
      </c>
      <c r="F77" s="366"/>
      <c r="G77" s="446"/>
      <c r="H77" s="366">
        <v>5315</v>
      </c>
      <c r="I77" s="366">
        <v>5315</v>
      </c>
      <c r="J77" s="366">
        <v>0</v>
      </c>
      <c r="K77" s="485">
        <v>0</v>
      </c>
      <c r="L77" s="352"/>
    </row>
    <row r="78" spans="1:12" ht="30" x14ac:dyDescent="0.25">
      <c r="A78" s="509"/>
      <c r="B78" s="459"/>
      <c r="C78" s="411" t="s">
        <v>939</v>
      </c>
      <c r="D78" s="372">
        <v>2482</v>
      </c>
      <c r="E78" s="366">
        <v>2482</v>
      </c>
      <c r="F78" s="366"/>
      <c r="G78" s="446"/>
      <c r="H78" s="366">
        <v>2482</v>
      </c>
      <c r="I78" s="366">
        <v>2482</v>
      </c>
      <c r="J78" s="366">
        <v>0</v>
      </c>
      <c r="K78" s="485">
        <v>0</v>
      </c>
      <c r="L78" s="352"/>
    </row>
    <row r="79" spans="1:12" ht="30" x14ac:dyDescent="0.25">
      <c r="A79" s="509"/>
      <c r="B79" s="459"/>
      <c r="C79" s="411" t="s">
        <v>940</v>
      </c>
      <c r="D79" s="372">
        <v>4907</v>
      </c>
      <c r="E79" s="366">
        <v>4907</v>
      </c>
      <c r="F79" s="366"/>
      <c r="G79" s="446"/>
      <c r="H79" s="366">
        <v>4907</v>
      </c>
      <c r="I79" s="366">
        <v>4907</v>
      </c>
      <c r="J79" s="366">
        <v>0</v>
      </c>
      <c r="K79" s="485">
        <v>0</v>
      </c>
      <c r="L79" s="352"/>
    </row>
    <row r="80" spans="1:12" ht="18" customHeight="1" x14ac:dyDescent="0.25">
      <c r="A80" s="509"/>
      <c r="B80" s="459"/>
      <c r="C80" s="436" t="s">
        <v>941</v>
      </c>
      <c r="D80" s="372">
        <v>2845</v>
      </c>
      <c r="E80" s="366">
        <v>2845</v>
      </c>
      <c r="F80" s="366"/>
      <c r="G80" s="446"/>
      <c r="H80" s="366">
        <v>2845</v>
      </c>
      <c r="I80" s="366">
        <v>2845</v>
      </c>
      <c r="J80" s="366">
        <v>0</v>
      </c>
      <c r="K80" s="485">
        <v>0</v>
      </c>
      <c r="L80" s="352"/>
    </row>
    <row r="81" spans="1:12" ht="18" customHeight="1" x14ac:dyDescent="0.25">
      <c r="A81" s="509"/>
      <c r="B81" s="459"/>
      <c r="C81" s="436" t="s">
        <v>942</v>
      </c>
      <c r="D81" s="372">
        <v>1930</v>
      </c>
      <c r="E81" s="366">
        <v>1930</v>
      </c>
      <c r="F81" s="366"/>
      <c r="G81" s="446"/>
      <c r="H81" s="366">
        <v>1930</v>
      </c>
      <c r="I81" s="366">
        <v>1930</v>
      </c>
      <c r="J81" s="366">
        <v>0</v>
      </c>
      <c r="K81" s="485">
        <v>0</v>
      </c>
      <c r="L81" s="352"/>
    </row>
    <row r="82" spans="1:12" x14ac:dyDescent="0.25">
      <c r="A82" s="509"/>
      <c r="B82" s="459"/>
      <c r="C82" s="436"/>
      <c r="D82" s="372"/>
      <c r="E82" s="366"/>
      <c r="F82" s="366"/>
      <c r="G82" s="446"/>
      <c r="H82" s="366">
        <v>0</v>
      </c>
      <c r="I82" s="366">
        <v>0</v>
      </c>
      <c r="J82" s="366">
        <v>0</v>
      </c>
      <c r="K82" s="485">
        <v>0</v>
      </c>
      <c r="L82" s="352"/>
    </row>
    <row r="83" spans="1:12" x14ac:dyDescent="0.25">
      <c r="A83" s="509"/>
      <c r="B83" s="459"/>
      <c r="C83" s="490" t="s">
        <v>34</v>
      </c>
      <c r="D83" s="502">
        <f>SUM(D71:D82)</f>
        <v>106162</v>
      </c>
      <c r="E83" s="444">
        <f>SUM(E71:E82)</f>
        <v>96487</v>
      </c>
      <c r="F83" s="444">
        <f>SUM(F71:F82)</f>
        <v>9675</v>
      </c>
      <c r="G83" s="501">
        <f>SUM(G71:G82)</f>
        <v>0</v>
      </c>
      <c r="H83" s="445">
        <v>106162</v>
      </c>
      <c r="I83" s="444">
        <v>96487</v>
      </c>
      <c r="J83" s="444">
        <v>9675</v>
      </c>
      <c r="K83" s="443">
        <v>0</v>
      </c>
      <c r="L83" s="352"/>
    </row>
    <row r="84" spans="1:12" x14ac:dyDescent="0.25">
      <c r="A84" s="509"/>
      <c r="B84" s="459"/>
      <c r="C84" s="490"/>
      <c r="D84" s="445"/>
      <c r="E84" s="444"/>
      <c r="F84" s="444"/>
      <c r="G84" s="443"/>
      <c r="H84" s="366">
        <v>0</v>
      </c>
      <c r="I84" s="366">
        <v>0</v>
      </c>
      <c r="J84" s="366">
        <v>0</v>
      </c>
      <c r="K84" s="485">
        <v>0</v>
      </c>
      <c r="L84" s="352"/>
    </row>
    <row r="85" spans="1:12" x14ac:dyDescent="0.25">
      <c r="A85" s="509"/>
      <c r="B85" s="459" t="s">
        <v>13</v>
      </c>
      <c r="C85" s="486" t="s">
        <v>56</v>
      </c>
      <c r="D85" s="445"/>
      <c r="E85" s="444"/>
      <c r="F85" s="444"/>
      <c r="G85" s="443"/>
      <c r="H85" s="366">
        <v>0</v>
      </c>
      <c r="I85" s="366">
        <v>0</v>
      </c>
      <c r="J85" s="366">
        <v>0</v>
      </c>
      <c r="K85" s="485">
        <v>0</v>
      </c>
      <c r="L85" s="352"/>
    </row>
    <row r="86" spans="1:12" x14ac:dyDescent="0.25">
      <c r="A86" s="509"/>
      <c r="B86" s="459"/>
      <c r="C86" s="486" t="s">
        <v>932</v>
      </c>
      <c r="D86" s="372">
        <v>2950</v>
      </c>
      <c r="E86" s="366">
        <v>2950</v>
      </c>
      <c r="F86" s="366"/>
      <c r="G86" s="365"/>
      <c r="H86" s="366">
        <v>4543</v>
      </c>
      <c r="I86" s="366">
        <v>4543</v>
      </c>
      <c r="J86" s="366">
        <v>0</v>
      </c>
      <c r="K86" s="485">
        <v>0</v>
      </c>
      <c r="L86" s="352"/>
    </row>
    <row r="87" spans="1:12" x14ac:dyDescent="0.25">
      <c r="A87" s="509"/>
      <c r="B87" s="459"/>
      <c r="C87" s="436" t="s">
        <v>933</v>
      </c>
      <c r="D87" s="372">
        <v>2613</v>
      </c>
      <c r="E87" s="366">
        <v>2613</v>
      </c>
      <c r="F87" s="366"/>
      <c r="G87" s="365"/>
      <c r="H87" s="366">
        <v>2588</v>
      </c>
      <c r="I87" s="366">
        <v>2588</v>
      </c>
      <c r="J87" s="366">
        <v>0</v>
      </c>
      <c r="K87" s="485">
        <v>0</v>
      </c>
      <c r="L87" s="352"/>
    </row>
    <row r="88" spans="1:12" x14ac:dyDescent="0.25">
      <c r="A88" s="509"/>
      <c r="B88" s="459"/>
      <c r="C88" s="436" t="s">
        <v>934</v>
      </c>
      <c r="D88" s="372">
        <v>1650</v>
      </c>
      <c r="E88" s="366"/>
      <c r="F88" s="366">
        <v>1650</v>
      </c>
      <c r="G88" s="446"/>
      <c r="H88" s="366">
        <v>1652</v>
      </c>
      <c r="I88" s="366">
        <v>0</v>
      </c>
      <c r="J88" s="366">
        <v>1652</v>
      </c>
      <c r="K88" s="485">
        <v>0</v>
      </c>
      <c r="L88" s="352"/>
    </row>
    <row r="89" spans="1:12" x14ac:dyDescent="0.25">
      <c r="A89" s="509"/>
      <c r="B89" s="459"/>
      <c r="C89" s="436" t="s">
        <v>943</v>
      </c>
      <c r="D89" s="372">
        <v>6281</v>
      </c>
      <c r="E89" s="366">
        <v>6281</v>
      </c>
      <c r="F89" s="366"/>
      <c r="G89" s="446"/>
      <c r="H89" s="366">
        <v>5328</v>
      </c>
      <c r="I89" s="366">
        <v>5328</v>
      </c>
      <c r="J89" s="366">
        <v>0</v>
      </c>
      <c r="K89" s="485">
        <v>0</v>
      </c>
      <c r="L89" s="352"/>
    </row>
    <row r="90" spans="1:12" ht="31.5" customHeight="1" x14ac:dyDescent="0.25">
      <c r="A90" s="509"/>
      <c r="B90" s="459"/>
      <c r="C90" s="436" t="s">
        <v>936</v>
      </c>
      <c r="D90" s="372">
        <v>666</v>
      </c>
      <c r="E90" s="366">
        <v>666</v>
      </c>
      <c r="F90" s="366"/>
      <c r="G90" s="446"/>
      <c r="H90" s="366">
        <v>565</v>
      </c>
      <c r="I90" s="366">
        <v>565</v>
      </c>
      <c r="J90" s="366">
        <v>0</v>
      </c>
      <c r="K90" s="485">
        <v>0</v>
      </c>
      <c r="L90" s="352"/>
    </row>
    <row r="91" spans="1:12" ht="30.75" customHeight="1" x14ac:dyDescent="0.25">
      <c r="A91" s="509"/>
      <c r="B91" s="459"/>
      <c r="C91" s="436" t="s">
        <v>937</v>
      </c>
      <c r="D91" s="372">
        <v>739</v>
      </c>
      <c r="E91" s="366">
        <v>739</v>
      </c>
      <c r="F91" s="366"/>
      <c r="G91" s="446"/>
      <c r="H91" s="366">
        <v>470</v>
      </c>
      <c r="I91" s="366">
        <v>470</v>
      </c>
      <c r="J91" s="366">
        <v>0</v>
      </c>
      <c r="K91" s="485">
        <v>0</v>
      </c>
      <c r="L91" s="352"/>
    </row>
    <row r="92" spans="1:12" ht="45" x14ac:dyDescent="0.25">
      <c r="A92" s="509"/>
      <c r="B92" s="459"/>
      <c r="C92" s="436" t="s">
        <v>938</v>
      </c>
      <c r="D92" s="372">
        <v>1180</v>
      </c>
      <c r="E92" s="366">
        <v>1180</v>
      </c>
      <c r="F92" s="366"/>
      <c r="G92" s="446"/>
      <c r="H92" s="366">
        <v>908</v>
      </c>
      <c r="I92" s="366">
        <v>908</v>
      </c>
      <c r="J92" s="366">
        <v>0</v>
      </c>
      <c r="K92" s="485">
        <v>0</v>
      </c>
      <c r="L92" s="352"/>
    </row>
    <row r="93" spans="1:12" ht="30" x14ac:dyDescent="0.25">
      <c r="A93" s="509"/>
      <c r="B93" s="459"/>
      <c r="C93" s="411" t="s">
        <v>939</v>
      </c>
      <c r="D93" s="372">
        <v>434</v>
      </c>
      <c r="E93" s="366">
        <v>434</v>
      </c>
      <c r="F93" s="366"/>
      <c r="G93" s="446"/>
      <c r="H93" s="366">
        <v>423</v>
      </c>
      <c r="I93" s="366">
        <v>423</v>
      </c>
      <c r="J93" s="366">
        <v>0</v>
      </c>
      <c r="K93" s="485">
        <v>0</v>
      </c>
      <c r="L93" s="352"/>
    </row>
    <row r="94" spans="1:12" ht="30" x14ac:dyDescent="0.25">
      <c r="A94" s="509"/>
      <c r="B94" s="459"/>
      <c r="C94" s="411" t="s">
        <v>940</v>
      </c>
      <c r="D94" s="372">
        <v>859</v>
      </c>
      <c r="E94" s="366">
        <v>859</v>
      </c>
      <c r="F94" s="366"/>
      <c r="G94" s="446"/>
      <c r="H94" s="366">
        <v>838</v>
      </c>
      <c r="I94" s="366">
        <v>838</v>
      </c>
      <c r="J94" s="366">
        <v>0</v>
      </c>
      <c r="K94" s="485">
        <v>0</v>
      </c>
      <c r="L94" s="352"/>
    </row>
    <row r="95" spans="1:12" ht="15.75" customHeight="1" x14ac:dyDescent="0.25">
      <c r="A95" s="509"/>
      <c r="B95" s="459"/>
      <c r="C95" s="436" t="s">
        <v>941</v>
      </c>
      <c r="D95" s="372">
        <v>555</v>
      </c>
      <c r="E95" s="366">
        <v>555</v>
      </c>
      <c r="F95" s="366"/>
      <c r="G95" s="446"/>
      <c r="H95" s="366">
        <v>486</v>
      </c>
      <c r="I95" s="366">
        <v>486</v>
      </c>
      <c r="J95" s="366">
        <v>0</v>
      </c>
      <c r="K95" s="485">
        <v>0</v>
      </c>
      <c r="L95" s="352"/>
    </row>
    <row r="96" spans="1:12" ht="15.75" customHeight="1" x14ac:dyDescent="0.25">
      <c r="A96" s="509"/>
      <c r="B96" s="459"/>
      <c r="C96" s="436" t="s">
        <v>942</v>
      </c>
      <c r="D96" s="372">
        <v>18</v>
      </c>
      <c r="E96" s="366">
        <v>18</v>
      </c>
      <c r="F96" s="366"/>
      <c r="G96" s="446"/>
      <c r="H96" s="366">
        <v>329</v>
      </c>
      <c r="I96" s="366">
        <v>329</v>
      </c>
      <c r="J96" s="366">
        <v>0</v>
      </c>
      <c r="K96" s="485">
        <v>0</v>
      </c>
      <c r="L96" s="352"/>
    </row>
    <row r="97" spans="1:12" x14ac:dyDescent="0.25">
      <c r="A97" s="509"/>
      <c r="B97" s="459"/>
      <c r="C97" s="436"/>
      <c r="D97" s="372"/>
      <c r="E97" s="366"/>
      <c r="F97" s="366"/>
      <c r="G97" s="446"/>
      <c r="H97" s="366"/>
      <c r="I97" s="366"/>
      <c r="J97" s="366"/>
      <c r="K97" s="485"/>
      <c r="L97" s="352"/>
    </row>
    <row r="98" spans="1:12" x14ac:dyDescent="0.25">
      <c r="A98" s="509"/>
      <c r="B98" s="459"/>
      <c r="C98" s="490" t="s">
        <v>35</v>
      </c>
      <c r="D98" s="502">
        <f>SUM(D86:D97)</f>
        <v>17945</v>
      </c>
      <c r="E98" s="444">
        <f>SUM(E86:E97)</f>
        <v>16295</v>
      </c>
      <c r="F98" s="444">
        <f>SUM(F86:F97)</f>
        <v>1650</v>
      </c>
      <c r="G98" s="501">
        <f>SUM(G86:G97)</f>
        <v>0</v>
      </c>
      <c r="H98" s="445">
        <v>18130</v>
      </c>
      <c r="I98" s="444">
        <v>16478</v>
      </c>
      <c r="J98" s="444">
        <v>1652</v>
      </c>
      <c r="K98" s="443">
        <v>0</v>
      </c>
      <c r="L98" s="352"/>
    </row>
    <row r="99" spans="1:12" x14ac:dyDescent="0.25">
      <c r="A99" s="509"/>
      <c r="B99" s="459"/>
      <c r="C99" s="490"/>
      <c r="D99" s="437"/>
      <c r="E99" s="500"/>
      <c r="F99" s="500"/>
      <c r="G99" s="499"/>
      <c r="H99" s="366"/>
      <c r="I99" s="366"/>
      <c r="J99" s="366"/>
      <c r="K99" s="485"/>
      <c r="L99" s="352"/>
    </row>
    <row r="100" spans="1:12" x14ac:dyDescent="0.25">
      <c r="A100" s="509"/>
      <c r="B100" s="459" t="s">
        <v>14</v>
      </c>
      <c r="C100" s="486" t="s">
        <v>27</v>
      </c>
      <c r="D100" s="445"/>
      <c r="E100" s="444"/>
      <c r="F100" s="444"/>
      <c r="G100" s="443"/>
      <c r="H100" s="366"/>
      <c r="I100" s="366"/>
      <c r="J100" s="366"/>
      <c r="K100" s="485"/>
      <c r="L100" s="352"/>
    </row>
    <row r="101" spans="1:12" x14ac:dyDescent="0.25">
      <c r="A101" s="509"/>
      <c r="C101" s="486" t="s">
        <v>32</v>
      </c>
      <c r="D101" s="367">
        <v>2000</v>
      </c>
      <c r="E101" s="366"/>
      <c r="F101" s="366">
        <v>2000</v>
      </c>
      <c r="G101" s="365"/>
      <c r="H101" s="366">
        <v>2000</v>
      </c>
      <c r="I101" s="366">
        <v>0</v>
      </c>
      <c r="J101" s="366">
        <v>2000</v>
      </c>
      <c r="K101" s="485">
        <v>0</v>
      </c>
      <c r="L101" s="352"/>
    </row>
    <row r="102" spans="1:12" x14ac:dyDescent="0.25">
      <c r="A102" s="509"/>
      <c r="B102" s="459"/>
      <c r="C102" s="486" t="s">
        <v>90</v>
      </c>
      <c r="D102" s="367">
        <v>2540</v>
      </c>
      <c r="E102" s="366">
        <v>2540</v>
      </c>
      <c r="F102" s="366"/>
      <c r="G102" s="365"/>
      <c r="H102" s="366">
        <v>2540</v>
      </c>
      <c r="I102" s="366">
        <v>2540</v>
      </c>
      <c r="J102" s="366">
        <v>0</v>
      </c>
      <c r="K102" s="485">
        <v>0</v>
      </c>
      <c r="L102" s="352"/>
    </row>
    <row r="103" spans="1:12" x14ac:dyDescent="0.25">
      <c r="A103" s="509"/>
      <c r="B103" s="459"/>
      <c r="C103" s="486" t="s">
        <v>153</v>
      </c>
      <c r="D103" s="367">
        <v>1250</v>
      </c>
      <c r="E103" s="366">
        <v>1250</v>
      </c>
      <c r="F103" s="366"/>
      <c r="G103" s="365"/>
      <c r="H103" s="366">
        <v>1250</v>
      </c>
      <c r="I103" s="366">
        <v>1250</v>
      </c>
      <c r="J103" s="366">
        <v>0</v>
      </c>
      <c r="K103" s="485">
        <v>0</v>
      </c>
      <c r="L103" s="352"/>
    </row>
    <row r="104" spans="1:12" x14ac:dyDescent="0.25">
      <c r="A104" s="509"/>
      <c r="B104" s="459"/>
      <c r="C104" s="486" t="s">
        <v>154</v>
      </c>
      <c r="D104" s="367">
        <v>2300</v>
      </c>
      <c r="E104" s="366">
        <v>2300</v>
      </c>
      <c r="F104" s="366"/>
      <c r="G104" s="365"/>
      <c r="H104" s="366">
        <v>2300</v>
      </c>
      <c r="I104" s="366">
        <v>2300</v>
      </c>
      <c r="J104" s="366">
        <v>0</v>
      </c>
      <c r="K104" s="485">
        <v>0</v>
      </c>
      <c r="L104" s="352"/>
    </row>
    <row r="105" spans="1:12" x14ac:dyDescent="0.25">
      <c r="A105" s="509"/>
      <c r="B105" s="459"/>
      <c r="C105" s="486" t="s">
        <v>155</v>
      </c>
      <c r="D105" s="367">
        <v>30000</v>
      </c>
      <c r="E105" s="366">
        <v>30000</v>
      </c>
      <c r="F105" s="366"/>
      <c r="G105" s="365"/>
      <c r="H105" s="366">
        <v>30000</v>
      </c>
      <c r="I105" s="366">
        <v>30000</v>
      </c>
      <c r="J105" s="366">
        <v>0</v>
      </c>
      <c r="K105" s="485">
        <v>0</v>
      </c>
      <c r="L105" s="352"/>
    </row>
    <row r="106" spans="1:12" x14ac:dyDescent="0.25">
      <c r="A106" s="509"/>
      <c r="B106" s="459"/>
      <c r="C106" s="486" t="s">
        <v>666</v>
      </c>
      <c r="D106" s="367">
        <v>22000</v>
      </c>
      <c r="E106" s="366">
        <v>22000</v>
      </c>
      <c r="F106" s="366"/>
      <c r="G106" s="365"/>
      <c r="H106" s="366">
        <v>22000</v>
      </c>
      <c r="I106" s="366">
        <v>22000</v>
      </c>
      <c r="J106" s="366">
        <v>0</v>
      </c>
      <c r="K106" s="485">
        <v>0</v>
      </c>
      <c r="L106" s="352"/>
    </row>
    <row r="107" spans="1:12" x14ac:dyDescent="0.25">
      <c r="A107" s="509"/>
      <c r="B107" s="459"/>
      <c r="C107" s="486" t="s">
        <v>667</v>
      </c>
      <c r="D107" s="367">
        <v>2000</v>
      </c>
      <c r="E107" s="366">
        <v>2000</v>
      </c>
      <c r="F107" s="366"/>
      <c r="G107" s="365"/>
      <c r="H107" s="366">
        <v>2000</v>
      </c>
      <c r="I107" s="366">
        <v>2000</v>
      </c>
      <c r="J107" s="366">
        <v>0</v>
      </c>
      <c r="K107" s="485">
        <v>0</v>
      </c>
      <c r="L107" s="352"/>
    </row>
    <row r="108" spans="1:12" x14ac:dyDescent="0.25">
      <c r="A108" s="509"/>
      <c r="B108" s="459"/>
      <c r="C108" s="486" t="s">
        <v>668</v>
      </c>
      <c r="D108" s="367">
        <v>6000</v>
      </c>
      <c r="E108" s="366">
        <v>6000</v>
      </c>
      <c r="F108" s="366"/>
      <c r="G108" s="365"/>
      <c r="H108" s="366">
        <v>6000</v>
      </c>
      <c r="I108" s="366">
        <v>6000</v>
      </c>
      <c r="J108" s="366">
        <v>0</v>
      </c>
      <c r="K108" s="485">
        <v>0</v>
      </c>
      <c r="L108" s="352"/>
    </row>
    <row r="109" spans="1:12" x14ac:dyDescent="0.25">
      <c r="A109" s="509"/>
      <c r="B109" s="459"/>
      <c r="C109" s="486" t="s">
        <v>669</v>
      </c>
      <c r="D109" s="367">
        <v>40000</v>
      </c>
      <c r="E109" s="366">
        <v>40000</v>
      </c>
      <c r="F109" s="366"/>
      <c r="G109" s="365"/>
      <c r="H109" s="366">
        <v>40000</v>
      </c>
      <c r="I109" s="366">
        <v>40000</v>
      </c>
      <c r="J109" s="366">
        <v>0</v>
      </c>
      <c r="K109" s="485">
        <v>0</v>
      </c>
      <c r="L109" s="352"/>
    </row>
    <row r="110" spans="1:12" x14ac:dyDescent="0.25">
      <c r="A110" s="509"/>
      <c r="B110" s="459"/>
      <c r="C110" s="486" t="s">
        <v>670</v>
      </c>
      <c r="D110" s="367"/>
      <c r="E110" s="366"/>
      <c r="F110" s="366"/>
      <c r="G110" s="365"/>
      <c r="H110" s="366"/>
      <c r="I110" s="366"/>
      <c r="J110" s="366"/>
      <c r="K110" s="485"/>
      <c r="L110" s="352"/>
    </row>
    <row r="111" spans="1:12" ht="30" x14ac:dyDescent="0.25">
      <c r="A111" s="509"/>
      <c r="B111" s="459"/>
      <c r="C111" s="436" t="s">
        <v>671</v>
      </c>
      <c r="D111" s="367">
        <v>60000</v>
      </c>
      <c r="E111" s="366">
        <v>60000</v>
      </c>
      <c r="F111" s="366"/>
      <c r="G111" s="365"/>
      <c r="H111" s="366">
        <v>60000</v>
      </c>
      <c r="I111" s="366">
        <v>60000</v>
      </c>
      <c r="J111" s="366">
        <v>0</v>
      </c>
      <c r="K111" s="485">
        <v>0</v>
      </c>
      <c r="L111" s="352"/>
    </row>
    <row r="112" spans="1:12" ht="30" x14ac:dyDescent="0.25">
      <c r="A112" s="509"/>
      <c r="B112" s="459"/>
      <c r="C112" s="436" t="s">
        <v>672</v>
      </c>
      <c r="D112" s="367">
        <v>12000</v>
      </c>
      <c r="E112" s="366">
        <v>12000</v>
      </c>
      <c r="F112" s="366"/>
      <c r="G112" s="365"/>
      <c r="H112" s="366">
        <v>6000</v>
      </c>
      <c r="I112" s="366">
        <v>6000</v>
      </c>
      <c r="J112" s="366">
        <v>0</v>
      </c>
      <c r="K112" s="485">
        <v>0</v>
      </c>
      <c r="L112" s="352"/>
    </row>
    <row r="113" spans="1:12" x14ac:dyDescent="0.25">
      <c r="A113" s="509"/>
      <c r="B113" s="459"/>
      <c r="C113" s="486" t="s">
        <v>673</v>
      </c>
      <c r="D113" s="367">
        <v>30000</v>
      </c>
      <c r="E113" s="366">
        <v>30000</v>
      </c>
      <c r="F113" s="366"/>
      <c r="G113" s="365"/>
      <c r="H113" s="366">
        <v>30000</v>
      </c>
      <c r="I113" s="366">
        <v>30000</v>
      </c>
      <c r="J113" s="366">
        <v>0</v>
      </c>
      <c r="K113" s="485">
        <v>0</v>
      </c>
      <c r="L113" s="352"/>
    </row>
    <row r="114" spans="1:12" ht="30" x14ac:dyDescent="0.25">
      <c r="A114" s="509"/>
      <c r="B114" s="459"/>
      <c r="C114" s="436" t="s">
        <v>674</v>
      </c>
      <c r="D114" s="367"/>
      <c r="E114" s="366"/>
      <c r="F114" s="366"/>
      <c r="G114" s="365"/>
      <c r="H114" s="366"/>
      <c r="I114" s="366"/>
      <c r="J114" s="366"/>
      <c r="K114" s="485"/>
      <c r="L114" s="352"/>
    </row>
    <row r="115" spans="1:12" x14ac:dyDescent="0.25">
      <c r="A115" s="509"/>
      <c r="B115" s="459"/>
      <c r="C115" s="486" t="s">
        <v>675</v>
      </c>
      <c r="D115" s="367">
        <v>1500</v>
      </c>
      <c r="E115" s="366">
        <v>1500</v>
      </c>
      <c r="F115" s="366"/>
      <c r="G115" s="365"/>
      <c r="H115" s="366">
        <v>1500</v>
      </c>
      <c r="I115" s="366">
        <v>1500</v>
      </c>
      <c r="J115" s="366">
        <v>0</v>
      </c>
      <c r="K115" s="485">
        <v>0</v>
      </c>
      <c r="L115" s="352"/>
    </row>
    <row r="116" spans="1:12" x14ac:dyDescent="0.25">
      <c r="A116" s="509"/>
      <c r="B116" s="459"/>
      <c r="C116" s="486" t="s">
        <v>676</v>
      </c>
      <c r="D116" s="367">
        <v>1400</v>
      </c>
      <c r="E116" s="366">
        <v>1400</v>
      </c>
      <c r="F116" s="366"/>
      <c r="G116" s="365"/>
      <c r="H116" s="366">
        <v>1400</v>
      </c>
      <c r="I116" s="366">
        <v>1400</v>
      </c>
      <c r="J116" s="366">
        <v>0</v>
      </c>
      <c r="K116" s="485">
        <v>0</v>
      </c>
      <c r="L116" s="352"/>
    </row>
    <row r="117" spans="1:12" x14ac:dyDescent="0.25">
      <c r="A117" s="509"/>
      <c r="B117" s="459"/>
      <c r="C117" s="486" t="s">
        <v>677</v>
      </c>
      <c r="D117" s="367">
        <v>5000</v>
      </c>
      <c r="E117" s="366">
        <v>5000</v>
      </c>
      <c r="F117" s="366"/>
      <c r="G117" s="365"/>
      <c r="H117" s="366">
        <v>5000</v>
      </c>
      <c r="I117" s="366">
        <v>5000</v>
      </c>
      <c r="J117" s="366">
        <v>0</v>
      </c>
      <c r="K117" s="485">
        <v>0</v>
      </c>
      <c r="L117" s="352"/>
    </row>
    <row r="118" spans="1:12" x14ac:dyDescent="0.25">
      <c r="A118" s="509"/>
      <c r="B118" s="459"/>
      <c r="C118" s="486" t="s">
        <v>678</v>
      </c>
      <c r="D118" s="367">
        <v>5000</v>
      </c>
      <c r="E118" s="366">
        <v>5000</v>
      </c>
      <c r="F118" s="366"/>
      <c r="G118" s="365"/>
      <c r="H118" s="366">
        <v>5000</v>
      </c>
      <c r="I118" s="366">
        <v>5000</v>
      </c>
      <c r="J118" s="366">
        <v>0</v>
      </c>
      <c r="K118" s="485">
        <v>0</v>
      </c>
      <c r="L118" s="352"/>
    </row>
    <row r="119" spans="1:12" x14ac:dyDescent="0.25">
      <c r="A119" s="509"/>
      <c r="B119" s="459"/>
      <c r="C119" s="486" t="s">
        <v>679</v>
      </c>
      <c r="D119" s="367">
        <v>300</v>
      </c>
      <c r="E119" s="366">
        <v>300</v>
      </c>
      <c r="F119" s="366"/>
      <c r="G119" s="365"/>
      <c r="H119" s="366">
        <v>300</v>
      </c>
      <c r="I119" s="366">
        <v>300</v>
      </c>
      <c r="J119" s="366">
        <v>0</v>
      </c>
      <c r="K119" s="485">
        <v>0</v>
      </c>
      <c r="L119" s="352"/>
    </row>
    <row r="120" spans="1:12" x14ac:dyDescent="0.25">
      <c r="A120" s="509"/>
      <c r="B120" s="459"/>
      <c r="C120" s="486" t="s">
        <v>680</v>
      </c>
      <c r="D120" s="367">
        <v>48000</v>
      </c>
      <c r="E120" s="366">
        <v>48000</v>
      </c>
      <c r="F120" s="366"/>
      <c r="G120" s="365"/>
      <c r="H120" s="366">
        <v>48000</v>
      </c>
      <c r="I120" s="366">
        <v>48000</v>
      </c>
      <c r="J120" s="366">
        <v>0</v>
      </c>
      <c r="K120" s="485">
        <v>0</v>
      </c>
      <c r="L120" s="352"/>
    </row>
    <row r="121" spans="1:12" x14ac:dyDescent="0.25">
      <c r="A121" s="509"/>
      <c r="B121" s="459"/>
      <c r="C121" s="486" t="s">
        <v>681</v>
      </c>
      <c r="D121" s="367">
        <v>500</v>
      </c>
      <c r="E121" s="366">
        <v>500</v>
      </c>
      <c r="F121" s="366"/>
      <c r="G121" s="365"/>
      <c r="H121" s="366">
        <v>500</v>
      </c>
      <c r="I121" s="366">
        <v>500</v>
      </c>
      <c r="J121" s="366">
        <v>0</v>
      </c>
      <c r="K121" s="485">
        <v>0</v>
      </c>
      <c r="L121" s="352"/>
    </row>
    <row r="122" spans="1:12" x14ac:dyDescent="0.25">
      <c r="A122" s="509"/>
      <c r="B122" s="459"/>
      <c r="C122" s="486" t="s">
        <v>682</v>
      </c>
      <c r="D122" s="367">
        <v>500</v>
      </c>
      <c r="E122" s="366">
        <v>500</v>
      </c>
      <c r="F122" s="366"/>
      <c r="G122" s="365"/>
      <c r="H122" s="366">
        <v>500</v>
      </c>
      <c r="I122" s="366">
        <v>500</v>
      </c>
      <c r="J122" s="366">
        <v>0</v>
      </c>
      <c r="K122" s="485">
        <v>0</v>
      </c>
      <c r="L122" s="352"/>
    </row>
    <row r="123" spans="1:12" x14ac:dyDescent="0.25">
      <c r="A123" s="509"/>
      <c r="B123" s="459"/>
      <c r="C123" s="486" t="s">
        <v>1005</v>
      </c>
      <c r="D123" s="367"/>
      <c r="E123" s="366"/>
      <c r="F123" s="366"/>
      <c r="G123" s="365"/>
      <c r="H123" s="366"/>
      <c r="I123" s="366"/>
      <c r="J123" s="366"/>
      <c r="K123" s="485"/>
      <c r="L123" s="352"/>
    </row>
    <row r="124" spans="1:12" x14ac:dyDescent="0.25">
      <c r="A124" s="509"/>
      <c r="B124" s="459"/>
      <c r="C124" s="486" t="s">
        <v>1006</v>
      </c>
      <c r="D124" s="367">
        <v>4400</v>
      </c>
      <c r="E124" s="366">
        <v>4400</v>
      </c>
      <c r="F124" s="366"/>
      <c r="G124" s="365"/>
      <c r="H124" s="366">
        <v>4400</v>
      </c>
      <c r="I124" s="366">
        <v>4400</v>
      </c>
      <c r="J124" s="366">
        <v>0</v>
      </c>
      <c r="K124" s="485">
        <v>0</v>
      </c>
      <c r="L124" s="352"/>
    </row>
    <row r="125" spans="1:12" x14ac:dyDescent="0.25">
      <c r="A125" s="509"/>
      <c r="B125" s="459"/>
      <c r="C125" s="486" t="s">
        <v>1007</v>
      </c>
      <c r="D125" s="367">
        <v>11100</v>
      </c>
      <c r="E125" s="366">
        <v>11100</v>
      </c>
      <c r="F125" s="366"/>
      <c r="G125" s="365"/>
      <c r="H125" s="366">
        <v>11100</v>
      </c>
      <c r="I125" s="366">
        <v>11100</v>
      </c>
      <c r="J125" s="366">
        <v>0</v>
      </c>
      <c r="K125" s="485">
        <v>0</v>
      </c>
      <c r="L125" s="352"/>
    </row>
    <row r="126" spans="1:12" ht="18.75" customHeight="1" x14ac:dyDescent="0.25">
      <c r="A126" s="509"/>
      <c r="B126" s="459"/>
      <c r="C126" s="486" t="s">
        <v>1008</v>
      </c>
      <c r="D126" s="367">
        <v>7289</v>
      </c>
      <c r="E126" s="366">
        <v>7289</v>
      </c>
      <c r="F126" s="366"/>
      <c r="G126" s="365"/>
      <c r="H126" s="366">
        <v>13374</v>
      </c>
      <c r="I126" s="366">
        <v>13374</v>
      </c>
      <c r="J126" s="366">
        <v>0</v>
      </c>
      <c r="K126" s="485">
        <v>0</v>
      </c>
      <c r="L126" s="352"/>
    </row>
    <row r="127" spans="1:12" x14ac:dyDescent="0.25">
      <c r="A127" s="509"/>
      <c r="B127" s="459"/>
      <c r="C127" s="436" t="s">
        <v>1009</v>
      </c>
      <c r="D127" s="410">
        <v>100</v>
      </c>
      <c r="E127" s="409"/>
      <c r="F127" s="409">
        <v>100</v>
      </c>
      <c r="G127" s="408"/>
      <c r="H127" s="366">
        <v>100</v>
      </c>
      <c r="I127" s="366">
        <v>0</v>
      </c>
      <c r="J127" s="366">
        <v>100</v>
      </c>
      <c r="K127" s="485">
        <v>0</v>
      </c>
      <c r="L127" s="352"/>
    </row>
    <row r="128" spans="1:12" ht="16.5" customHeight="1" x14ac:dyDescent="0.25">
      <c r="A128" s="509"/>
      <c r="B128" s="459"/>
      <c r="C128" s="436" t="s">
        <v>1010</v>
      </c>
      <c r="D128" s="410">
        <v>8000</v>
      </c>
      <c r="E128" s="409"/>
      <c r="F128" s="409">
        <v>8000</v>
      </c>
      <c r="G128" s="408"/>
      <c r="H128" s="366">
        <v>8000</v>
      </c>
      <c r="I128" s="366">
        <v>0</v>
      </c>
      <c r="J128" s="366">
        <v>8000</v>
      </c>
      <c r="K128" s="485">
        <v>0</v>
      </c>
      <c r="L128" s="352"/>
    </row>
    <row r="129" spans="1:12" ht="18.75" customHeight="1" x14ac:dyDescent="0.25">
      <c r="A129" s="509"/>
      <c r="B129" s="459"/>
      <c r="C129" s="436" t="s">
        <v>1011</v>
      </c>
      <c r="D129" s="410">
        <v>20000</v>
      </c>
      <c r="E129" s="409"/>
      <c r="F129" s="409">
        <v>20000</v>
      </c>
      <c r="G129" s="408"/>
      <c r="H129" s="366">
        <v>10000</v>
      </c>
      <c r="I129" s="366">
        <v>0</v>
      </c>
      <c r="J129" s="366">
        <v>10000</v>
      </c>
      <c r="K129" s="485">
        <v>0</v>
      </c>
      <c r="L129" s="352"/>
    </row>
    <row r="130" spans="1:12" x14ac:dyDescent="0.25">
      <c r="A130" s="509"/>
      <c r="B130" s="459"/>
      <c r="C130" s="436" t="s">
        <v>1012</v>
      </c>
      <c r="D130" s="410">
        <v>1000</v>
      </c>
      <c r="E130" s="409"/>
      <c r="F130" s="409">
        <v>1000</v>
      </c>
      <c r="G130" s="408"/>
      <c r="H130" s="366">
        <v>1000</v>
      </c>
      <c r="I130" s="366">
        <v>0</v>
      </c>
      <c r="J130" s="366">
        <v>1000</v>
      </c>
      <c r="K130" s="485">
        <v>0</v>
      </c>
      <c r="L130" s="352"/>
    </row>
    <row r="131" spans="1:12" ht="18" customHeight="1" x14ac:dyDescent="0.25">
      <c r="A131" s="509"/>
      <c r="B131" s="459"/>
      <c r="C131" s="436" t="s">
        <v>1013</v>
      </c>
      <c r="D131" s="410">
        <v>20000</v>
      </c>
      <c r="E131" s="409">
        <v>20000</v>
      </c>
      <c r="F131" s="409"/>
      <c r="G131" s="408"/>
      <c r="H131" s="366">
        <v>20000</v>
      </c>
      <c r="I131" s="366">
        <v>20000</v>
      </c>
      <c r="J131" s="366">
        <v>0</v>
      </c>
      <c r="K131" s="485">
        <v>0</v>
      </c>
      <c r="L131" s="352"/>
    </row>
    <row r="132" spans="1:12" ht="18" customHeight="1" x14ac:dyDescent="0.25">
      <c r="A132" s="509"/>
      <c r="B132" s="459"/>
      <c r="C132" s="505" t="s">
        <v>1144</v>
      </c>
      <c r="D132" s="410"/>
      <c r="E132" s="409"/>
      <c r="F132" s="409"/>
      <c r="G132" s="408"/>
      <c r="H132" s="366">
        <v>6673</v>
      </c>
      <c r="I132" s="366">
        <v>6673</v>
      </c>
      <c r="J132" s="366">
        <v>0</v>
      </c>
      <c r="K132" s="485">
        <v>0</v>
      </c>
      <c r="L132" s="352"/>
    </row>
    <row r="133" spans="1:12" x14ac:dyDescent="0.25">
      <c r="A133" s="509"/>
      <c r="B133" s="459"/>
      <c r="C133" s="436" t="s">
        <v>1014</v>
      </c>
      <c r="D133" s="410">
        <v>72000</v>
      </c>
      <c r="E133" s="409"/>
      <c r="F133" s="409">
        <v>72000</v>
      </c>
      <c r="G133" s="408"/>
      <c r="H133" s="366">
        <v>57000</v>
      </c>
      <c r="I133" s="366">
        <v>0</v>
      </c>
      <c r="J133" s="366">
        <v>57000</v>
      </c>
      <c r="K133" s="485">
        <v>0</v>
      </c>
      <c r="L133" s="352"/>
    </row>
    <row r="134" spans="1:12" x14ac:dyDescent="0.25">
      <c r="A134" s="509"/>
      <c r="B134" s="459"/>
      <c r="C134" s="436" t="s">
        <v>1015</v>
      </c>
      <c r="D134" s="410">
        <v>11362</v>
      </c>
      <c r="E134" s="409"/>
      <c r="F134" s="409">
        <v>11362</v>
      </c>
      <c r="G134" s="408"/>
      <c r="H134" s="366">
        <v>11362</v>
      </c>
      <c r="I134" s="366">
        <v>0</v>
      </c>
      <c r="J134" s="366">
        <v>11362</v>
      </c>
      <c r="K134" s="485">
        <v>0</v>
      </c>
      <c r="L134" s="352"/>
    </row>
    <row r="135" spans="1:12" x14ac:dyDescent="0.25">
      <c r="A135" s="509"/>
      <c r="B135" s="459"/>
      <c r="C135" s="436" t="s">
        <v>1016</v>
      </c>
      <c r="D135" s="410">
        <v>4800</v>
      </c>
      <c r="E135" s="409">
        <v>4800</v>
      </c>
      <c r="F135" s="409"/>
      <c r="G135" s="408"/>
      <c r="H135" s="366">
        <v>1600</v>
      </c>
      <c r="I135" s="366">
        <v>1600</v>
      </c>
      <c r="J135" s="366">
        <v>0</v>
      </c>
      <c r="K135" s="485">
        <v>0</v>
      </c>
      <c r="L135" s="352"/>
    </row>
    <row r="136" spans="1:12" x14ac:dyDescent="0.25">
      <c r="A136" s="509"/>
      <c r="B136" s="459"/>
      <c r="C136" s="436" t="s">
        <v>1017</v>
      </c>
      <c r="D136" s="422"/>
      <c r="E136" s="409"/>
      <c r="F136" s="409"/>
      <c r="G136" s="442"/>
      <c r="H136" s="366"/>
      <c r="I136" s="366"/>
      <c r="J136" s="366"/>
      <c r="K136" s="485"/>
      <c r="L136" s="352"/>
    </row>
    <row r="137" spans="1:12" x14ac:dyDescent="0.25">
      <c r="A137" s="509"/>
      <c r="B137" s="459"/>
      <c r="C137" s="436" t="s">
        <v>1018</v>
      </c>
      <c r="D137" s="422">
        <v>13000</v>
      </c>
      <c r="E137" s="409"/>
      <c r="F137" s="409">
        <v>13000</v>
      </c>
      <c r="G137" s="442"/>
      <c r="H137" s="366">
        <v>3000</v>
      </c>
      <c r="I137" s="366">
        <v>0</v>
      </c>
      <c r="J137" s="366">
        <v>3000</v>
      </c>
      <c r="K137" s="485">
        <v>0</v>
      </c>
      <c r="L137" s="352"/>
    </row>
    <row r="138" spans="1:12" x14ac:dyDescent="0.25">
      <c r="A138" s="509"/>
      <c r="B138" s="459"/>
      <c r="C138" s="436" t="s">
        <v>1019</v>
      </c>
      <c r="D138" s="422">
        <v>400</v>
      </c>
      <c r="E138" s="409"/>
      <c r="F138" s="409">
        <v>400</v>
      </c>
      <c r="G138" s="442"/>
      <c r="H138" s="366">
        <v>400</v>
      </c>
      <c r="I138" s="366">
        <v>0</v>
      </c>
      <c r="J138" s="366">
        <v>400</v>
      </c>
      <c r="K138" s="485">
        <v>0</v>
      </c>
      <c r="L138" s="352"/>
    </row>
    <row r="139" spans="1:12" x14ac:dyDescent="0.25">
      <c r="A139" s="509"/>
      <c r="B139" s="459"/>
      <c r="C139" s="436" t="s">
        <v>1020</v>
      </c>
      <c r="D139" s="422">
        <v>1000</v>
      </c>
      <c r="E139" s="409">
        <v>1000</v>
      </c>
      <c r="F139" s="409"/>
      <c r="G139" s="442"/>
      <c r="H139" s="366">
        <v>1000</v>
      </c>
      <c r="I139" s="366">
        <v>1000</v>
      </c>
      <c r="J139" s="366">
        <v>0</v>
      </c>
      <c r="K139" s="485">
        <v>0</v>
      </c>
      <c r="L139" s="352"/>
    </row>
    <row r="140" spans="1:12" x14ac:dyDescent="0.25">
      <c r="A140" s="509"/>
      <c r="B140" s="459"/>
      <c r="C140" s="436" t="s">
        <v>1021</v>
      </c>
      <c r="D140" s="422">
        <v>20000</v>
      </c>
      <c r="E140" s="409">
        <v>20000</v>
      </c>
      <c r="F140" s="409"/>
      <c r="G140" s="442"/>
      <c r="H140" s="366">
        <v>20000</v>
      </c>
      <c r="I140" s="366">
        <v>20000</v>
      </c>
      <c r="J140" s="366">
        <v>0</v>
      </c>
      <c r="K140" s="485">
        <v>0</v>
      </c>
      <c r="L140" s="352"/>
    </row>
    <row r="141" spans="1:12" x14ac:dyDescent="0.25">
      <c r="A141" s="509"/>
      <c r="B141" s="459"/>
      <c r="C141" s="436" t="s">
        <v>1022</v>
      </c>
      <c r="D141" s="422">
        <v>17000</v>
      </c>
      <c r="E141" s="409">
        <v>17000</v>
      </c>
      <c r="F141" s="409"/>
      <c r="G141" s="442"/>
      <c r="H141" s="366">
        <v>12000</v>
      </c>
      <c r="I141" s="366">
        <v>12000</v>
      </c>
      <c r="J141" s="366">
        <v>0</v>
      </c>
      <c r="K141" s="485">
        <v>0</v>
      </c>
      <c r="L141" s="352"/>
    </row>
    <row r="142" spans="1:12" x14ac:dyDescent="0.25">
      <c r="A142" s="509"/>
      <c r="B142" s="459"/>
      <c r="C142" s="436" t="s">
        <v>1023</v>
      </c>
      <c r="D142" s="422">
        <v>1000</v>
      </c>
      <c r="E142" s="409"/>
      <c r="F142" s="409">
        <v>1000</v>
      </c>
      <c r="G142" s="442"/>
      <c r="H142" s="366">
        <v>1000</v>
      </c>
      <c r="I142" s="366">
        <v>0</v>
      </c>
      <c r="J142" s="366">
        <v>1000</v>
      </c>
      <c r="K142" s="485">
        <v>0</v>
      </c>
      <c r="L142" s="352"/>
    </row>
    <row r="143" spans="1:12" x14ac:dyDescent="0.25">
      <c r="A143" s="509"/>
      <c r="B143" s="459"/>
      <c r="C143" s="436" t="s">
        <v>1024</v>
      </c>
      <c r="D143" s="422">
        <v>635</v>
      </c>
      <c r="E143" s="409"/>
      <c r="F143" s="409">
        <v>635</v>
      </c>
      <c r="G143" s="442"/>
      <c r="H143" s="366">
        <v>635</v>
      </c>
      <c r="I143" s="366">
        <v>0</v>
      </c>
      <c r="J143" s="366">
        <v>635</v>
      </c>
      <c r="K143" s="485">
        <v>0</v>
      </c>
      <c r="L143" s="352"/>
    </row>
    <row r="144" spans="1:12" x14ac:dyDescent="0.25">
      <c r="A144" s="509"/>
      <c r="B144" s="459"/>
      <c r="C144" s="436" t="s">
        <v>1066</v>
      </c>
      <c r="D144" s="422">
        <v>8500</v>
      </c>
      <c r="E144" s="409">
        <v>8500</v>
      </c>
      <c r="F144" s="409"/>
      <c r="G144" s="442"/>
      <c r="H144" s="366">
        <v>8500</v>
      </c>
      <c r="I144" s="366">
        <v>8500</v>
      </c>
      <c r="J144" s="366">
        <v>0</v>
      </c>
      <c r="K144" s="485">
        <v>0</v>
      </c>
      <c r="L144" s="352"/>
    </row>
    <row r="145" spans="1:12" x14ac:dyDescent="0.25">
      <c r="A145" s="509"/>
      <c r="B145" s="459"/>
      <c r="C145" s="436" t="s">
        <v>1067</v>
      </c>
      <c r="D145" s="422">
        <v>4000</v>
      </c>
      <c r="E145" s="409">
        <v>4000</v>
      </c>
      <c r="F145" s="409"/>
      <c r="G145" s="442"/>
      <c r="H145" s="366">
        <v>4000</v>
      </c>
      <c r="I145" s="366">
        <v>4000</v>
      </c>
      <c r="J145" s="366">
        <v>0</v>
      </c>
      <c r="K145" s="485">
        <v>0</v>
      </c>
      <c r="L145" s="352"/>
    </row>
    <row r="146" spans="1:12" ht="30" customHeight="1" x14ac:dyDescent="0.25">
      <c r="A146" s="509"/>
      <c r="B146" s="459"/>
      <c r="C146" s="436" t="s">
        <v>1068</v>
      </c>
      <c r="D146" s="422">
        <v>2299</v>
      </c>
      <c r="E146" s="409">
        <v>2299</v>
      </c>
      <c r="F146" s="409"/>
      <c r="G146" s="442"/>
      <c r="H146" s="366">
        <v>2299</v>
      </c>
      <c r="I146" s="366">
        <v>2299</v>
      </c>
      <c r="J146" s="366">
        <v>0</v>
      </c>
      <c r="K146" s="485">
        <v>0</v>
      </c>
      <c r="L146" s="352"/>
    </row>
    <row r="147" spans="1:12" ht="30.75" customHeight="1" x14ac:dyDescent="0.25">
      <c r="A147" s="509"/>
      <c r="B147" s="459"/>
      <c r="C147" s="436" t="s">
        <v>1069</v>
      </c>
      <c r="D147" s="422">
        <v>1505</v>
      </c>
      <c r="E147" s="409">
        <v>1505</v>
      </c>
      <c r="F147" s="409"/>
      <c r="G147" s="442"/>
      <c r="H147" s="366">
        <v>1505</v>
      </c>
      <c r="I147" s="366">
        <v>1505</v>
      </c>
      <c r="J147" s="366">
        <v>0</v>
      </c>
      <c r="K147" s="485">
        <v>0</v>
      </c>
      <c r="L147" s="352"/>
    </row>
    <row r="148" spans="1:12" ht="45" x14ac:dyDescent="0.25">
      <c r="A148" s="509"/>
      <c r="B148" s="459"/>
      <c r="C148" s="436" t="s">
        <v>1070</v>
      </c>
      <c r="D148" s="422">
        <v>1470</v>
      </c>
      <c r="E148" s="409">
        <v>1470</v>
      </c>
      <c r="F148" s="409"/>
      <c r="G148" s="442"/>
      <c r="H148" s="366">
        <v>1470</v>
      </c>
      <c r="I148" s="366">
        <v>1470</v>
      </c>
      <c r="J148" s="366">
        <v>0</v>
      </c>
      <c r="K148" s="485">
        <v>0</v>
      </c>
      <c r="L148" s="352"/>
    </row>
    <row r="149" spans="1:12" ht="30" x14ac:dyDescent="0.25">
      <c r="A149" s="509"/>
      <c r="B149" s="459"/>
      <c r="C149" s="436" t="s">
        <v>1071</v>
      </c>
      <c r="D149" s="422">
        <v>1864</v>
      </c>
      <c r="E149" s="409">
        <v>1864</v>
      </c>
      <c r="F149" s="409"/>
      <c r="G149" s="442"/>
      <c r="H149" s="366">
        <v>1864</v>
      </c>
      <c r="I149" s="366">
        <v>1864</v>
      </c>
      <c r="J149" s="366">
        <v>0</v>
      </c>
      <c r="K149" s="485">
        <v>0</v>
      </c>
      <c r="L149" s="352"/>
    </row>
    <row r="150" spans="1:12" ht="30" x14ac:dyDescent="0.25">
      <c r="A150" s="509"/>
      <c r="B150" s="459"/>
      <c r="C150" s="411" t="s">
        <v>1072</v>
      </c>
      <c r="D150" s="422">
        <v>21701</v>
      </c>
      <c r="E150" s="409">
        <v>21701</v>
      </c>
      <c r="F150" s="409"/>
      <c r="G150" s="442"/>
      <c r="H150" s="366">
        <v>21701</v>
      </c>
      <c r="I150" s="366">
        <v>21701</v>
      </c>
      <c r="J150" s="366">
        <v>0</v>
      </c>
      <c r="K150" s="485">
        <v>0</v>
      </c>
      <c r="L150" s="352"/>
    </row>
    <row r="151" spans="1:12" ht="30" x14ac:dyDescent="0.25">
      <c r="A151" s="509"/>
      <c r="B151" s="459"/>
      <c r="C151" s="411" t="s">
        <v>1073</v>
      </c>
      <c r="D151" s="422">
        <v>16454</v>
      </c>
      <c r="E151" s="409">
        <v>16454</v>
      </c>
      <c r="F151" s="409"/>
      <c r="G151" s="442"/>
      <c r="H151" s="366">
        <v>16454</v>
      </c>
      <c r="I151" s="366">
        <v>16454</v>
      </c>
      <c r="J151" s="366">
        <v>0</v>
      </c>
      <c r="K151" s="485">
        <v>0</v>
      </c>
      <c r="L151" s="352"/>
    </row>
    <row r="152" spans="1:12" x14ac:dyDescent="0.25">
      <c r="A152" s="509"/>
      <c r="B152" s="459"/>
      <c r="C152" s="436" t="s">
        <v>1074</v>
      </c>
      <c r="D152" s="422">
        <v>2120</v>
      </c>
      <c r="E152" s="409">
        <v>2120</v>
      </c>
      <c r="F152" s="409"/>
      <c r="G152" s="442"/>
      <c r="H152" s="366">
        <v>2120</v>
      </c>
      <c r="I152" s="366">
        <v>2120</v>
      </c>
      <c r="J152" s="366">
        <v>0</v>
      </c>
      <c r="K152" s="485">
        <v>0</v>
      </c>
      <c r="L152" s="352"/>
    </row>
    <row r="153" spans="1:12" ht="30" x14ac:dyDescent="0.25">
      <c r="A153" s="509"/>
      <c r="B153" s="459"/>
      <c r="C153" s="436" t="s">
        <v>1075</v>
      </c>
      <c r="D153" s="422">
        <v>2638</v>
      </c>
      <c r="E153" s="409">
        <v>2638</v>
      </c>
      <c r="F153" s="409"/>
      <c r="G153" s="442"/>
      <c r="H153" s="366">
        <v>2638</v>
      </c>
      <c r="I153" s="366">
        <v>2638</v>
      </c>
      <c r="J153" s="366">
        <v>0</v>
      </c>
      <c r="K153" s="485">
        <v>0</v>
      </c>
      <c r="L153" s="352"/>
    </row>
    <row r="154" spans="1:12" x14ac:dyDescent="0.25">
      <c r="A154" s="509"/>
      <c r="B154" s="459"/>
      <c r="C154" s="436" t="s">
        <v>1076</v>
      </c>
      <c r="D154" s="422">
        <v>3613</v>
      </c>
      <c r="E154" s="409">
        <v>3613</v>
      </c>
      <c r="F154" s="409"/>
      <c r="G154" s="442"/>
      <c r="H154" s="366">
        <v>3613</v>
      </c>
      <c r="I154" s="366">
        <v>3613</v>
      </c>
      <c r="J154" s="366">
        <v>0</v>
      </c>
      <c r="K154" s="485">
        <v>0</v>
      </c>
      <c r="L154" s="352"/>
    </row>
    <row r="155" spans="1:12" x14ac:dyDescent="0.25">
      <c r="A155" s="509"/>
      <c r="B155" s="459"/>
      <c r="C155" s="436" t="s">
        <v>1077</v>
      </c>
      <c r="D155" s="422">
        <v>3000</v>
      </c>
      <c r="E155" s="409">
        <v>3000</v>
      </c>
      <c r="F155" s="409"/>
      <c r="G155" s="442"/>
      <c r="H155" s="366">
        <v>3000</v>
      </c>
      <c r="I155" s="366">
        <v>3000</v>
      </c>
      <c r="J155" s="366">
        <v>0</v>
      </c>
      <c r="K155" s="485">
        <v>0</v>
      </c>
      <c r="L155" s="352"/>
    </row>
    <row r="156" spans="1:12" x14ac:dyDescent="0.25">
      <c r="A156" s="509"/>
      <c r="B156" s="459"/>
      <c r="C156" s="436" t="s">
        <v>1078</v>
      </c>
      <c r="D156" s="422">
        <v>1160</v>
      </c>
      <c r="E156" s="409">
        <v>1160</v>
      </c>
      <c r="F156" s="409"/>
      <c r="G156" s="442"/>
      <c r="H156" s="366">
        <v>1160</v>
      </c>
      <c r="I156" s="366">
        <v>1160</v>
      </c>
      <c r="J156" s="366">
        <v>0</v>
      </c>
      <c r="K156" s="485">
        <v>0</v>
      </c>
      <c r="L156" s="352"/>
    </row>
    <row r="157" spans="1:12" x14ac:dyDescent="0.25">
      <c r="A157" s="509"/>
      <c r="B157" s="459"/>
      <c r="C157" s="436" t="s">
        <v>1079</v>
      </c>
      <c r="D157" s="422">
        <v>20000</v>
      </c>
      <c r="E157" s="409"/>
      <c r="F157" s="409">
        <v>20000</v>
      </c>
      <c r="G157" s="442"/>
      <c r="H157" s="366">
        <v>12500</v>
      </c>
      <c r="I157" s="366">
        <v>0</v>
      </c>
      <c r="J157" s="366">
        <v>12500</v>
      </c>
      <c r="K157" s="485">
        <v>0</v>
      </c>
      <c r="L157" s="352"/>
    </row>
    <row r="158" spans="1:12" x14ac:dyDescent="0.25">
      <c r="A158" s="509"/>
      <c r="B158" s="459"/>
      <c r="C158" s="436" t="s">
        <v>1080</v>
      </c>
      <c r="D158" s="422">
        <v>5000</v>
      </c>
      <c r="E158" s="409">
        <v>5000</v>
      </c>
      <c r="F158" s="409"/>
      <c r="G158" s="442"/>
      <c r="H158" s="366">
        <v>5000</v>
      </c>
      <c r="I158" s="366">
        <v>5000</v>
      </c>
      <c r="J158" s="366">
        <v>0</v>
      </c>
      <c r="K158" s="485">
        <v>0</v>
      </c>
      <c r="L158" s="352"/>
    </row>
    <row r="159" spans="1:12" x14ac:dyDescent="0.25">
      <c r="A159" s="509"/>
      <c r="B159" s="459"/>
      <c r="C159" s="436" t="s">
        <v>1081</v>
      </c>
      <c r="D159" s="422">
        <v>1996</v>
      </c>
      <c r="E159" s="409">
        <v>1996</v>
      </c>
      <c r="F159" s="409"/>
      <c r="G159" s="442"/>
      <c r="H159" s="366">
        <v>1996</v>
      </c>
      <c r="I159" s="366">
        <v>1996</v>
      </c>
      <c r="J159" s="366">
        <v>0</v>
      </c>
      <c r="K159" s="485">
        <v>0</v>
      </c>
      <c r="L159" s="352"/>
    </row>
    <row r="160" spans="1:12" x14ac:dyDescent="0.25">
      <c r="A160" s="509"/>
      <c r="B160" s="459"/>
      <c r="C160" s="436" t="s">
        <v>1082</v>
      </c>
      <c r="D160" s="422">
        <v>3000</v>
      </c>
      <c r="E160" s="409">
        <v>3000</v>
      </c>
      <c r="F160" s="409"/>
      <c r="G160" s="442"/>
      <c r="H160" s="366">
        <v>3000</v>
      </c>
      <c r="I160" s="366">
        <v>3000</v>
      </c>
      <c r="J160" s="366">
        <v>0</v>
      </c>
      <c r="K160" s="485">
        <v>0</v>
      </c>
      <c r="L160" s="352"/>
    </row>
    <row r="161" spans="1:12" x14ac:dyDescent="0.25">
      <c r="A161" s="509"/>
      <c r="B161" s="459"/>
      <c r="C161" s="436" t="s">
        <v>1083</v>
      </c>
      <c r="D161" s="422">
        <v>500</v>
      </c>
      <c r="E161" s="409">
        <v>500</v>
      </c>
      <c r="F161" s="409"/>
      <c r="G161" s="442"/>
      <c r="H161" s="366">
        <v>500</v>
      </c>
      <c r="I161" s="366">
        <v>500</v>
      </c>
      <c r="J161" s="366">
        <v>0</v>
      </c>
      <c r="K161" s="485">
        <v>0</v>
      </c>
      <c r="L161" s="352"/>
    </row>
    <row r="162" spans="1:12" x14ac:dyDescent="0.25">
      <c r="A162" s="509"/>
      <c r="B162" s="459"/>
      <c r="C162" s="436" t="s">
        <v>1084</v>
      </c>
      <c r="D162" s="422">
        <v>500</v>
      </c>
      <c r="E162" s="409">
        <v>500</v>
      </c>
      <c r="F162" s="409"/>
      <c r="G162" s="442"/>
      <c r="H162" s="366">
        <v>500</v>
      </c>
      <c r="I162" s="366">
        <v>500</v>
      </c>
      <c r="J162" s="366">
        <v>0</v>
      </c>
      <c r="K162" s="485">
        <v>0</v>
      </c>
      <c r="L162" s="352"/>
    </row>
    <row r="163" spans="1:12" x14ac:dyDescent="0.25">
      <c r="A163" s="509"/>
      <c r="B163" s="459"/>
      <c r="C163" s="436" t="s">
        <v>1085</v>
      </c>
      <c r="D163" s="422">
        <v>2500</v>
      </c>
      <c r="E163" s="409"/>
      <c r="F163" s="409">
        <v>2500</v>
      </c>
      <c r="G163" s="442"/>
      <c r="H163" s="366">
        <v>2500</v>
      </c>
      <c r="I163" s="366">
        <v>0</v>
      </c>
      <c r="J163" s="366">
        <v>2500</v>
      </c>
      <c r="K163" s="485">
        <v>0</v>
      </c>
      <c r="L163" s="352"/>
    </row>
    <row r="164" spans="1:12" x14ac:dyDescent="0.25">
      <c r="A164" s="509"/>
      <c r="B164" s="459"/>
      <c r="C164" s="436" t="s">
        <v>1086</v>
      </c>
      <c r="D164" s="422">
        <v>4000</v>
      </c>
      <c r="E164" s="409">
        <v>4000</v>
      </c>
      <c r="F164" s="409"/>
      <c r="G164" s="442"/>
      <c r="H164" s="366">
        <v>4000</v>
      </c>
      <c r="I164" s="366">
        <v>4000</v>
      </c>
      <c r="J164" s="366">
        <v>0</v>
      </c>
      <c r="K164" s="485">
        <v>0</v>
      </c>
      <c r="L164" s="352"/>
    </row>
    <row r="165" spans="1:12" x14ac:dyDescent="0.25">
      <c r="A165" s="509"/>
      <c r="B165" s="459"/>
      <c r="C165" s="436" t="s">
        <v>1087</v>
      </c>
      <c r="D165" s="422">
        <v>488</v>
      </c>
      <c r="E165" s="409"/>
      <c r="F165" s="409">
        <v>488</v>
      </c>
      <c r="G165" s="442"/>
      <c r="H165" s="366">
        <v>488</v>
      </c>
      <c r="I165" s="366">
        <v>0</v>
      </c>
      <c r="J165" s="366">
        <v>488</v>
      </c>
      <c r="K165" s="485">
        <v>0</v>
      </c>
      <c r="L165" s="352"/>
    </row>
    <row r="166" spans="1:12" ht="30" x14ac:dyDescent="0.25">
      <c r="A166" s="509"/>
      <c r="B166" s="459"/>
      <c r="C166" s="436" t="s">
        <v>1088</v>
      </c>
      <c r="D166" s="422">
        <v>270</v>
      </c>
      <c r="E166" s="409"/>
      <c r="F166" s="409">
        <v>270</v>
      </c>
      <c r="G166" s="442"/>
      <c r="H166" s="366">
        <v>270</v>
      </c>
      <c r="I166" s="366">
        <v>0</v>
      </c>
      <c r="J166" s="366">
        <v>270</v>
      </c>
      <c r="K166" s="485">
        <v>0</v>
      </c>
      <c r="L166" s="352"/>
    </row>
    <row r="167" spans="1:12" x14ac:dyDescent="0.25">
      <c r="A167" s="509"/>
      <c r="B167" s="459"/>
      <c r="C167" s="436" t="s">
        <v>1089</v>
      </c>
      <c r="D167" s="422">
        <v>229</v>
      </c>
      <c r="E167" s="409"/>
      <c r="F167" s="409">
        <v>229</v>
      </c>
      <c r="G167" s="442"/>
      <c r="H167" s="366">
        <v>229</v>
      </c>
      <c r="I167" s="366">
        <v>0</v>
      </c>
      <c r="J167" s="366">
        <v>229</v>
      </c>
      <c r="K167" s="485">
        <v>0</v>
      </c>
      <c r="L167" s="352"/>
    </row>
    <row r="168" spans="1:12" x14ac:dyDescent="0.25">
      <c r="A168" s="509"/>
      <c r="B168" s="459"/>
      <c r="C168" s="436" t="s">
        <v>1090</v>
      </c>
      <c r="D168" s="422">
        <v>379</v>
      </c>
      <c r="E168" s="409"/>
      <c r="F168" s="409">
        <v>379</v>
      </c>
      <c r="G168" s="442"/>
      <c r="H168" s="366">
        <v>379</v>
      </c>
      <c r="I168" s="366">
        <v>0</v>
      </c>
      <c r="J168" s="366">
        <v>379</v>
      </c>
      <c r="K168" s="485">
        <v>0</v>
      </c>
      <c r="L168" s="352"/>
    </row>
    <row r="169" spans="1:12" x14ac:dyDescent="0.25">
      <c r="A169" s="509"/>
      <c r="B169" s="459"/>
      <c r="C169" s="436" t="s">
        <v>1091</v>
      </c>
      <c r="D169" s="422">
        <v>1000</v>
      </c>
      <c r="E169" s="409">
        <v>1000</v>
      </c>
      <c r="F169" s="409"/>
      <c r="G169" s="442"/>
      <c r="H169" s="366">
        <v>1000</v>
      </c>
      <c r="I169" s="366">
        <v>1000</v>
      </c>
      <c r="J169" s="366">
        <v>0</v>
      </c>
      <c r="K169" s="485">
        <v>0</v>
      </c>
      <c r="L169" s="352"/>
    </row>
    <row r="170" spans="1:12" ht="30" x14ac:dyDescent="0.25">
      <c r="A170" s="509"/>
      <c r="B170" s="459"/>
      <c r="C170" s="436" t="s">
        <v>1092</v>
      </c>
      <c r="D170" s="422">
        <v>641</v>
      </c>
      <c r="E170" s="409">
        <v>641</v>
      </c>
      <c r="F170" s="409"/>
      <c r="G170" s="442"/>
      <c r="H170" s="366">
        <v>641</v>
      </c>
      <c r="I170" s="366">
        <v>641</v>
      </c>
      <c r="J170" s="366">
        <v>0</v>
      </c>
      <c r="K170" s="485">
        <v>0</v>
      </c>
      <c r="L170" s="352"/>
    </row>
    <row r="171" spans="1:12" ht="30" x14ac:dyDescent="0.25">
      <c r="A171" s="509"/>
      <c r="B171" s="459"/>
      <c r="C171" s="436" t="s">
        <v>1093</v>
      </c>
      <c r="D171" s="422">
        <v>1178</v>
      </c>
      <c r="E171" s="409">
        <v>1178</v>
      </c>
      <c r="F171" s="409"/>
      <c r="G171" s="442"/>
      <c r="H171" s="366">
        <v>1178</v>
      </c>
      <c r="I171" s="366">
        <v>1178</v>
      </c>
      <c r="J171" s="366">
        <v>0</v>
      </c>
      <c r="K171" s="485">
        <v>0</v>
      </c>
      <c r="L171" s="352"/>
    </row>
    <row r="172" spans="1:12" x14ac:dyDescent="0.25">
      <c r="A172" s="509"/>
      <c r="B172" s="459"/>
      <c r="C172" s="436" t="s">
        <v>1094</v>
      </c>
      <c r="D172" s="422">
        <v>2900</v>
      </c>
      <c r="E172" s="409">
        <v>2900</v>
      </c>
      <c r="F172" s="409"/>
      <c r="G172" s="442"/>
      <c r="H172" s="366">
        <v>2900</v>
      </c>
      <c r="I172" s="366">
        <v>2900</v>
      </c>
      <c r="J172" s="366">
        <v>0</v>
      </c>
      <c r="K172" s="485">
        <v>0</v>
      </c>
      <c r="L172" s="352"/>
    </row>
    <row r="173" spans="1:12" x14ac:dyDescent="0.25">
      <c r="A173" s="509"/>
      <c r="B173" s="459"/>
      <c r="C173" s="436" t="s">
        <v>1143</v>
      </c>
      <c r="D173" s="422"/>
      <c r="E173" s="409"/>
      <c r="F173" s="409"/>
      <c r="G173" s="442"/>
      <c r="H173" s="366">
        <v>3753</v>
      </c>
      <c r="I173" s="366">
        <v>3753</v>
      </c>
      <c r="J173" s="366">
        <v>0</v>
      </c>
      <c r="K173" s="485">
        <v>0</v>
      </c>
      <c r="L173" s="352"/>
    </row>
    <row r="174" spans="1:12" x14ac:dyDescent="0.25">
      <c r="A174" s="509"/>
      <c r="B174" s="459"/>
      <c r="C174" s="436"/>
      <c r="D174" s="422"/>
      <c r="E174" s="409"/>
      <c r="F174" s="409"/>
      <c r="G174" s="442"/>
      <c r="H174" s="366">
        <v>0</v>
      </c>
      <c r="I174" s="366">
        <v>0</v>
      </c>
      <c r="J174" s="366">
        <v>0</v>
      </c>
      <c r="K174" s="485">
        <v>0</v>
      </c>
      <c r="L174" s="352"/>
    </row>
    <row r="175" spans="1:12" x14ac:dyDescent="0.25">
      <c r="A175" s="509"/>
      <c r="B175" s="459"/>
      <c r="C175" s="490" t="s">
        <v>36</v>
      </c>
      <c r="D175" s="502">
        <f>SUM(D101:D174)</f>
        <v>600281</v>
      </c>
      <c r="E175" s="444">
        <f>SUM(E101:E174)</f>
        <v>446918</v>
      </c>
      <c r="F175" s="444">
        <f>SUM(F101:F174)</f>
        <v>153363</v>
      </c>
      <c r="G175" s="501">
        <f>SUM(G101:G174)</f>
        <v>0</v>
      </c>
      <c r="H175" s="445">
        <v>560092</v>
      </c>
      <c r="I175" s="444">
        <v>449229</v>
      </c>
      <c r="J175" s="444">
        <v>110863</v>
      </c>
      <c r="K175" s="443">
        <v>0</v>
      </c>
      <c r="L175" s="352"/>
    </row>
    <row r="176" spans="1:12" x14ac:dyDescent="0.25">
      <c r="A176" s="509"/>
      <c r="B176" s="459"/>
      <c r="C176" s="490"/>
      <c r="D176" s="508"/>
      <c r="E176" s="353"/>
      <c r="F176" s="353"/>
      <c r="G176" s="493"/>
      <c r="H176" s="366"/>
      <c r="I176" s="366"/>
      <c r="J176" s="366"/>
      <c r="K176" s="485"/>
      <c r="L176" s="352"/>
    </row>
    <row r="177" spans="1:12" x14ac:dyDescent="0.25">
      <c r="A177" s="509"/>
      <c r="B177" s="459" t="s">
        <v>9</v>
      </c>
      <c r="C177" s="486" t="s">
        <v>49</v>
      </c>
      <c r="D177" s="494"/>
      <c r="E177" s="353"/>
      <c r="F177" s="353"/>
      <c r="G177" s="493"/>
      <c r="H177" s="366"/>
      <c r="I177" s="366"/>
      <c r="J177" s="366"/>
      <c r="K177" s="485"/>
      <c r="L177" s="352"/>
    </row>
    <row r="178" spans="1:12" s="512" customFormat="1" x14ac:dyDescent="0.25">
      <c r="A178" s="515"/>
      <c r="B178" s="459"/>
      <c r="C178" s="436" t="s">
        <v>91</v>
      </c>
      <c r="D178" s="367"/>
      <c r="E178" s="366"/>
      <c r="F178" s="366"/>
      <c r="G178" s="365"/>
      <c r="H178" s="366"/>
      <c r="I178" s="409"/>
      <c r="J178" s="409"/>
      <c r="K178" s="514"/>
      <c r="L178" s="513"/>
    </row>
    <row r="179" spans="1:12" s="512" customFormat="1" x14ac:dyDescent="0.25">
      <c r="A179" s="515"/>
      <c r="B179" s="459"/>
      <c r="C179" s="436" t="s">
        <v>92</v>
      </c>
      <c r="D179" s="367">
        <v>10000</v>
      </c>
      <c r="E179" s="366"/>
      <c r="F179" s="366"/>
      <c r="G179" s="446">
        <v>10000</v>
      </c>
      <c r="H179" s="366">
        <v>10000</v>
      </c>
      <c r="I179" s="409">
        <v>0</v>
      </c>
      <c r="J179" s="409">
        <v>0</v>
      </c>
      <c r="K179" s="514">
        <v>10000</v>
      </c>
      <c r="L179" s="513"/>
    </row>
    <row r="180" spans="1:12" s="512" customFormat="1" ht="30" x14ac:dyDescent="0.25">
      <c r="A180" s="515"/>
      <c r="B180" s="459"/>
      <c r="C180" s="436" t="s">
        <v>93</v>
      </c>
      <c r="D180" s="367">
        <v>100</v>
      </c>
      <c r="E180" s="366"/>
      <c r="F180" s="366"/>
      <c r="G180" s="446">
        <v>100</v>
      </c>
      <c r="H180" s="366">
        <v>100</v>
      </c>
      <c r="I180" s="409">
        <v>0</v>
      </c>
      <c r="J180" s="409">
        <v>0</v>
      </c>
      <c r="K180" s="514">
        <v>100</v>
      </c>
      <c r="L180" s="513"/>
    </row>
    <row r="181" spans="1:12" s="512" customFormat="1" x14ac:dyDescent="0.25">
      <c r="A181" s="515"/>
      <c r="B181" s="459"/>
      <c r="C181" s="436" t="s">
        <v>94</v>
      </c>
      <c r="D181" s="367">
        <v>1500</v>
      </c>
      <c r="E181" s="366"/>
      <c r="F181" s="366"/>
      <c r="G181" s="446">
        <v>1500</v>
      </c>
      <c r="H181" s="366">
        <v>1500</v>
      </c>
      <c r="I181" s="409">
        <v>0</v>
      </c>
      <c r="J181" s="409">
        <v>0</v>
      </c>
      <c r="K181" s="514">
        <v>1500</v>
      </c>
      <c r="L181" s="513"/>
    </row>
    <row r="182" spans="1:12" s="512" customFormat="1" x14ac:dyDescent="0.25">
      <c r="A182" s="515"/>
      <c r="B182" s="459"/>
      <c r="C182" s="436" t="s">
        <v>95</v>
      </c>
      <c r="D182" s="367">
        <v>6000</v>
      </c>
      <c r="E182" s="366"/>
      <c r="F182" s="366"/>
      <c r="G182" s="446">
        <v>6000</v>
      </c>
      <c r="H182" s="366">
        <v>6000</v>
      </c>
      <c r="I182" s="409">
        <v>0</v>
      </c>
      <c r="J182" s="409">
        <v>0</v>
      </c>
      <c r="K182" s="514">
        <v>6000</v>
      </c>
      <c r="L182" s="513"/>
    </row>
    <row r="183" spans="1:12" s="512" customFormat="1" ht="30" customHeight="1" x14ac:dyDescent="0.25">
      <c r="A183" s="515"/>
      <c r="B183" s="459"/>
      <c r="C183" s="436" t="s">
        <v>96</v>
      </c>
      <c r="D183" s="367">
        <v>100</v>
      </c>
      <c r="E183" s="366"/>
      <c r="F183" s="366"/>
      <c r="G183" s="446">
        <v>100</v>
      </c>
      <c r="H183" s="366">
        <v>100</v>
      </c>
      <c r="I183" s="409">
        <v>0</v>
      </c>
      <c r="J183" s="409">
        <v>0</v>
      </c>
      <c r="K183" s="514">
        <v>100</v>
      </c>
      <c r="L183" s="513"/>
    </row>
    <row r="184" spans="1:12" s="512" customFormat="1" x14ac:dyDescent="0.25">
      <c r="A184" s="515"/>
      <c r="B184" s="459"/>
      <c r="C184" s="436" t="s">
        <v>97</v>
      </c>
      <c r="D184" s="367">
        <v>2500</v>
      </c>
      <c r="E184" s="366"/>
      <c r="F184" s="366"/>
      <c r="G184" s="446">
        <v>2500</v>
      </c>
      <c r="H184" s="366">
        <v>2500</v>
      </c>
      <c r="I184" s="409">
        <v>0</v>
      </c>
      <c r="J184" s="409">
        <v>0</v>
      </c>
      <c r="K184" s="514">
        <v>2500</v>
      </c>
      <c r="L184" s="513"/>
    </row>
    <row r="185" spans="1:12" s="512" customFormat="1" x14ac:dyDescent="0.25">
      <c r="A185" s="515"/>
      <c r="B185" s="459"/>
      <c r="C185" s="436" t="s">
        <v>98</v>
      </c>
      <c r="D185" s="367">
        <v>200</v>
      </c>
      <c r="E185" s="366"/>
      <c r="F185" s="366"/>
      <c r="G185" s="446">
        <v>200</v>
      </c>
      <c r="H185" s="366">
        <v>200</v>
      </c>
      <c r="I185" s="409">
        <v>0</v>
      </c>
      <c r="J185" s="409">
        <v>0</v>
      </c>
      <c r="K185" s="514">
        <v>200</v>
      </c>
      <c r="L185" s="513"/>
    </row>
    <row r="186" spans="1:12" s="512" customFormat="1" x14ac:dyDescent="0.25">
      <c r="A186" s="515"/>
      <c r="B186" s="459"/>
      <c r="C186" s="436" t="s">
        <v>122</v>
      </c>
      <c r="D186" s="367">
        <v>150</v>
      </c>
      <c r="E186" s="366"/>
      <c r="F186" s="366"/>
      <c r="G186" s="446">
        <v>150</v>
      </c>
      <c r="H186" s="366">
        <v>150</v>
      </c>
      <c r="I186" s="409">
        <v>0</v>
      </c>
      <c r="J186" s="409">
        <v>0</v>
      </c>
      <c r="K186" s="514">
        <v>150</v>
      </c>
      <c r="L186" s="513"/>
    </row>
    <row r="187" spans="1:12" s="512" customFormat="1" x14ac:dyDescent="0.25">
      <c r="A187" s="515"/>
      <c r="B187" s="459"/>
      <c r="C187" s="436" t="s">
        <v>123</v>
      </c>
      <c r="D187" s="367">
        <v>1800</v>
      </c>
      <c r="E187" s="366"/>
      <c r="F187" s="366"/>
      <c r="G187" s="446">
        <v>1800</v>
      </c>
      <c r="H187" s="366">
        <v>1800</v>
      </c>
      <c r="I187" s="409">
        <v>0</v>
      </c>
      <c r="J187" s="409">
        <v>0</v>
      </c>
      <c r="K187" s="514">
        <v>1800</v>
      </c>
      <c r="L187" s="513"/>
    </row>
    <row r="188" spans="1:12" s="512" customFormat="1" ht="30" x14ac:dyDescent="0.25">
      <c r="A188" s="515"/>
      <c r="B188" s="459"/>
      <c r="C188" s="436" t="s">
        <v>944</v>
      </c>
      <c r="D188" s="367">
        <v>2000</v>
      </c>
      <c r="E188" s="366"/>
      <c r="F188" s="366"/>
      <c r="G188" s="446">
        <v>2000</v>
      </c>
      <c r="H188" s="366">
        <v>2000</v>
      </c>
      <c r="I188" s="409">
        <v>0</v>
      </c>
      <c r="J188" s="409">
        <v>0</v>
      </c>
      <c r="K188" s="514">
        <v>2000</v>
      </c>
      <c r="L188" s="513"/>
    </row>
    <row r="189" spans="1:12" s="512" customFormat="1" x14ac:dyDescent="0.25">
      <c r="A189" s="515"/>
      <c r="B189" s="459"/>
      <c r="C189" s="436" t="s">
        <v>945</v>
      </c>
      <c r="D189" s="367">
        <v>100</v>
      </c>
      <c r="E189" s="366"/>
      <c r="F189" s="366"/>
      <c r="G189" s="446">
        <v>100</v>
      </c>
      <c r="H189" s="366">
        <v>100</v>
      </c>
      <c r="I189" s="409">
        <v>0</v>
      </c>
      <c r="J189" s="409">
        <v>0</v>
      </c>
      <c r="K189" s="514">
        <v>100</v>
      </c>
      <c r="L189" s="513"/>
    </row>
    <row r="190" spans="1:12" s="512" customFormat="1" x14ac:dyDescent="0.25">
      <c r="A190" s="515"/>
      <c r="B190" s="459"/>
      <c r="C190" s="436" t="s">
        <v>946</v>
      </c>
      <c r="D190" s="367">
        <v>500</v>
      </c>
      <c r="E190" s="366"/>
      <c r="F190" s="366"/>
      <c r="G190" s="446">
        <v>500</v>
      </c>
      <c r="H190" s="366">
        <v>500</v>
      </c>
      <c r="I190" s="409">
        <v>0</v>
      </c>
      <c r="J190" s="409">
        <v>0</v>
      </c>
      <c r="K190" s="514">
        <v>500</v>
      </c>
      <c r="L190" s="513"/>
    </row>
    <row r="191" spans="1:12" s="512" customFormat="1" ht="30" x14ac:dyDescent="0.25">
      <c r="A191" s="515"/>
      <c r="B191" s="459"/>
      <c r="C191" s="436" t="s">
        <v>947</v>
      </c>
      <c r="D191" s="367">
        <v>400</v>
      </c>
      <c r="E191" s="366"/>
      <c r="F191" s="366"/>
      <c r="G191" s="446">
        <v>400</v>
      </c>
      <c r="H191" s="366">
        <v>400</v>
      </c>
      <c r="I191" s="409">
        <v>0</v>
      </c>
      <c r="J191" s="409">
        <v>0</v>
      </c>
      <c r="K191" s="514">
        <v>400</v>
      </c>
      <c r="L191" s="513"/>
    </row>
    <row r="192" spans="1:12" s="512" customFormat="1" x14ac:dyDescent="0.25">
      <c r="A192" s="515"/>
      <c r="B192" s="459"/>
      <c r="C192" s="505" t="s">
        <v>948</v>
      </c>
      <c r="D192" s="367">
        <v>100</v>
      </c>
      <c r="E192" s="366"/>
      <c r="F192" s="366"/>
      <c r="G192" s="446">
        <v>100</v>
      </c>
      <c r="H192" s="366">
        <v>100</v>
      </c>
      <c r="I192" s="409">
        <v>0</v>
      </c>
      <c r="J192" s="409">
        <v>0</v>
      </c>
      <c r="K192" s="514">
        <v>100</v>
      </c>
      <c r="L192" s="513"/>
    </row>
    <row r="193" spans="1:12" s="512" customFormat="1" x14ac:dyDescent="0.25">
      <c r="A193" s="515"/>
      <c r="B193" s="459"/>
      <c r="C193" s="436" t="s">
        <v>949</v>
      </c>
      <c r="D193" s="367">
        <v>200</v>
      </c>
      <c r="E193" s="366"/>
      <c r="F193" s="366"/>
      <c r="G193" s="446">
        <v>200</v>
      </c>
      <c r="H193" s="366">
        <v>200</v>
      </c>
      <c r="I193" s="409">
        <v>0</v>
      </c>
      <c r="J193" s="409">
        <v>0</v>
      </c>
      <c r="K193" s="514">
        <v>200</v>
      </c>
      <c r="L193" s="513"/>
    </row>
    <row r="194" spans="1:12" s="512" customFormat="1" x14ac:dyDescent="0.25">
      <c r="A194" s="515"/>
      <c r="B194" s="459"/>
      <c r="C194" s="436" t="s">
        <v>99</v>
      </c>
      <c r="D194" s="367">
        <v>1500</v>
      </c>
      <c r="E194" s="366"/>
      <c r="F194" s="366"/>
      <c r="G194" s="446">
        <v>1500</v>
      </c>
      <c r="H194" s="366">
        <v>1500</v>
      </c>
      <c r="I194" s="409">
        <v>0</v>
      </c>
      <c r="J194" s="409">
        <v>0</v>
      </c>
      <c r="K194" s="514">
        <v>1500</v>
      </c>
      <c r="L194" s="513"/>
    </row>
    <row r="195" spans="1:12" s="512" customFormat="1" x14ac:dyDescent="0.25">
      <c r="A195" s="515"/>
      <c r="B195" s="459"/>
      <c r="C195" s="436" t="s">
        <v>100</v>
      </c>
      <c r="D195" s="367">
        <v>232</v>
      </c>
      <c r="E195" s="366"/>
      <c r="F195" s="366"/>
      <c r="G195" s="446">
        <v>232</v>
      </c>
      <c r="H195" s="366">
        <v>232</v>
      </c>
      <c r="I195" s="409">
        <v>0</v>
      </c>
      <c r="J195" s="409">
        <v>0</v>
      </c>
      <c r="K195" s="514">
        <v>232</v>
      </c>
      <c r="L195" s="513"/>
    </row>
    <row r="196" spans="1:12" s="512" customFormat="1" x14ac:dyDescent="0.25">
      <c r="A196" s="515"/>
      <c r="B196" s="459"/>
      <c r="C196" s="436"/>
      <c r="D196" s="367"/>
      <c r="E196" s="366"/>
      <c r="F196" s="366"/>
      <c r="G196" s="446"/>
      <c r="H196" s="366"/>
      <c r="I196" s="409"/>
      <c r="J196" s="409"/>
      <c r="K196" s="514"/>
      <c r="L196" s="513"/>
    </row>
    <row r="197" spans="1:12" x14ac:dyDescent="0.25">
      <c r="A197" s="509"/>
      <c r="B197" s="495"/>
      <c r="C197" s="490" t="s">
        <v>37</v>
      </c>
      <c r="D197" s="502">
        <f>SUM(D178:D196)</f>
        <v>27382</v>
      </c>
      <c r="E197" s="444">
        <f>SUM(E178:E196)</f>
        <v>0</v>
      </c>
      <c r="F197" s="444">
        <f>SUM(F178:F196)</f>
        <v>0</v>
      </c>
      <c r="G197" s="501">
        <f>SUM(G178:G196)</f>
        <v>27382</v>
      </c>
      <c r="H197" s="445">
        <v>27382</v>
      </c>
      <c r="I197" s="444">
        <v>0</v>
      </c>
      <c r="J197" s="444">
        <v>0</v>
      </c>
      <c r="K197" s="443">
        <v>27382</v>
      </c>
      <c r="L197" s="352"/>
    </row>
    <row r="198" spans="1:12" x14ac:dyDescent="0.25">
      <c r="A198" s="509"/>
      <c r="B198" s="459"/>
      <c r="C198" s="490"/>
      <c r="D198" s="494"/>
      <c r="E198" s="353"/>
      <c r="F198" s="353"/>
      <c r="G198" s="493"/>
      <c r="H198" s="366"/>
      <c r="I198" s="366"/>
      <c r="J198" s="366"/>
      <c r="K198" s="485"/>
      <c r="L198" s="352"/>
    </row>
    <row r="199" spans="1:12" x14ac:dyDescent="0.25">
      <c r="A199" s="509"/>
      <c r="B199" s="459" t="s">
        <v>16</v>
      </c>
      <c r="C199" s="486" t="s">
        <v>50</v>
      </c>
      <c r="D199" s="494"/>
      <c r="E199" s="353"/>
      <c r="F199" s="353"/>
      <c r="G199" s="493"/>
      <c r="H199" s="366"/>
      <c r="I199" s="366"/>
      <c r="J199" s="366"/>
      <c r="K199" s="485"/>
      <c r="L199" s="352"/>
    </row>
    <row r="200" spans="1:12" x14ac:dyDescent="0.25">
      <c r="A200" s="509"/>
      <c r="B200" s="459"/>
      <c r="C200" s="486" t="s">
        <v>54</v>
      </c>
      <c r="D200" s="494"/>
      <c r="E200" s="353"/>
      <c r="F200" s="353"/>
      <c r="G200" s="493"/>
      <c r="H200" s="366"/>
      <c r="I200" s="366"/>
      <c r="J200" s="366"/>
      <c r="K200" s="485"/>
      <c r="L200" s="352"/>
    </row>
    <row r="201" spans="1:12" ht="16.5" customHeight="1" x14ac:dyDescent="0.25">
      <c r="A201" s="509"/>
      <c r="B201" s="459"/>
      <c r="C201" s="486" t="s">
        <v>950</v>
      </c>
      <c r="D201" s="367">
        <v>1200</v>
      </c>
      <c r="E201" s="366"/>
      <c r="F201" s="366">
        <v>1200</v>
      </c>
      <c r="G201" s="365"/>
      <c r="H201" s="366">
        <v>1200</v>
      </c>
      <c r="I201" s="366">
        <v>0</v>
      </c>
      <c r="J201" s="366">
        <v>1200</v>
      </c>
      <c r="K201" s="485">
        <v>0</v>
      </c>
      <c r="L201" s="352"/>
    </row>
    <row r="202" spans="1:12" ht="30" x14ac:dyDescent="0.25">
      <c r="A202" s="509"/>
      <c r="B202" s="459"/>
      <c r="C202" s="436" t="s">
        <v>951</v>
      </c>
      <c r="D202" s="410">
        <f>168522+37117+118188</f>
        <v>323827</v>
      </c>
      <c r="E202" s="409">
        <v>259829</v>
      </c>
      <c r="F202" s="366">
        <v>63998</v>
      </c>
      <c r="G202" s="408"/>
      <c r="H202" s="366">
        <v>345876</v>
      </c>
      <c r="I202" s="366">
        <v>281878</v>
      </c>
      <c r="J202" s="366">
        <v>63998</v>
      </c>
      <c r="K202" s="485">
        <v>0</v>
      </c>
      <c r="L202" s="352"/>
    </row>
    <row r="203" spans="1:12" x14ac:dyDescent="0.25">
      <c r="A203" s="509"/>
      <c r="B203" s="459"/>
      <c r="C203" s="436" t="s">
        <v>1142</v>
      </c>
      <c r="D203" s="422"/>
      <c r="E203" s="409"/>
      <c r="F203" s="366"/>
      <c r="G203" s="442"/>
      <c r="H203" s="366">
        <v>410</v>
      </c>
      <c r="I203" s="366">
        <v>410</v>
      </c>
      <c r="J203" s="366">
        <v>0</v>
      </c>
      <c r="K203" s="485">
        <v>0</v>
      </c>
      <c r="L203" s="352"/>
    </row>
    <row r="204" spans="1:12" ht="16.5" customHeight="1" x14ac:dyDescent="0.25">
      <c r="A204" s="509"/>
      <c r="B204" s="459"/>
      <c r="C204" s="436" t="s">
        <v>952</v>
      </c>
      <c r="D204" s="422">
        <v>1100</v>
      </c>
      <c r="E204" s="409">
        <v>1100</v>
      </c>
      <c r="F204" s="409"/>
      <c r="G204" s="442"/>
      <c r="H204" s="366">
        <v>1100</v>
      </c>
      <c r="I204" s="366">
        <v>1100</v>
      </c>
      <c r="J204" s="366">
        <v>0</v>
      </c>
      <c r="K204" s="485">
        <v>0</v>
      </c>
      <c r="L204" s="352"/>
    </row>
    <row r="205" spans="1:12" ht="16.5" customHeight="1" x14ac:dyDescent="0.25">
      <c r="A205" s="509"/>
      <c r="B205" s="459"/>
      <c r="C205" s="436" t="s">
        <v>1141</v>
      </c>
      <c r="D205" s="422"/>
      <c r="E205" s="409"/>
      <c r="F205" s="409"/>
      <c r="G205" s="442"/>
      <c r="H205" s="366">
        <v>860</v>
      </c>
      <c r="I205" s="366">
        <v>0</v>
      </c>
      <c r="J205" s="366">
        <v>860</v>
      </c>
      <c r="K205" s="485">
        <v>0</v>
      </c>
      <c r="L205" s="352"/>
    </row>
    <row r="206" spans="1:12" ht="28.9" customHeight="1" x14ac:dyDescent="0.25">
      <c r="A206" s="509"/>
      <c r="B206" s="459"/>
      <c r="C206" s="436" t="s">
        <v>1140</v>
      </c>
      <c r="D206" s="422"/>
      <c r="E206" s="409"/>
      <c r="F206" s="409"/>
      <c r="G206" s="442"/>
      <c r="H206" s="366">
        <v>461</v>
      </c>
      <c r="I206" s="366">
        <v>461</v>
      </c>
      <c r="J206" s="366">
        <v>0</v>
      </c>
      <c r="K206" s="485">
        <v>0</v>
      </c>
      <c r="L206" s="352"/>
    </row>
    <row r="207" spans="1:12" x14ac:dyDescent="0.25">
      <c r="A207" s="509"/>
      <c r="B207" s="459"/>
      <c r="C207" s="436"/>
      <c r="D207" s="422"/>
      <c r="E207" s="409"/>
      <c r="F207" s="409"/>
      <c r="G207" s="442"/>
      <c r="H207" s="366"/>
      <c r="I207" s="366"/>
      <c r="J207" s="366"/>
      <c r="K207" s="485"/>
      <c r="L207" s="352"/>
    </row>
    <row r="208" spans="1:12" x14ac:dyDescent="0.25">
      <c r="A208" s="509"/>
      <c r="B208" s="459"/>
      <c r="C208" s="504" t="s">
        <v>24</v>
      </c>
      <c r="D208" s="502">
        <f>SUM(D201:D207)</f>
        <v>326127</v>
      </c>
      <c r="E208" s="444">
        <f>SUM(E201:E207)</f>
        <v>260929</v>
      </c>
      <c r="F208" s="444">
        <f>SUM(F201:F207)</f>
        <v>65198</v>
      </c>
      <c r="G208" s="501">
        <f>SUM(G201:G207)</f>
        <v>0</v>
      </c>
      <c r="H208" s="445">
        <v>349907</v>
      </c>
      <c r="I208" s="444">
        <v>283849</v>
      </c>
      <c r="J208" s="444">
        <v>66058</v>
      </c>
      <c r="K208" s="443">
        <v>0</v>
      </c>
      <c r="L208" s="352"/>
    </row>
    <row r="209" spans="1:12" x14ac:dyDescent="0.25">
      <c r="A209" s="509"/>
      <c r="B209" s="459"/>
      <c r="C209" s="504"/>
      <c r="D209" s="494"/>
      <c r="E209" s="353"/>
      <c r="F209" s="353"/>
      <c r="G209" s="493"/>
      <c r="H209" s="366"/>
      <c r="I209" s="366"/>
      <c r="J209" s="366"/>
      <c r="K209" s="485"/>
      <c r="L209" s="352"/>
    </row>
    <row r="210" spans="1:12" x14ac:dyDescent="0.25">
      <c r="A210" s="509"/>
      <c r="B210" s="459"/>
      <c r="C210" s="486" t="s">
        <v>55</v>
      </c>
      <c r="D210" s="494"/>
      <c r="E210" s="353"/>
      <c r="F210" s="353"/>
      <c r="G210" s="493"/>
      <c r="H210" s="366"/>
      <c r="I210" s="366"/>
      <c r="J210" s="366"/>
      <c r="K210" s="485"/>
      <c r="L210" s="352"/>
    </row>
    <row r="211" spans="1:12" x14ac:dyDescent="0.25">
      <c r="A211" s="509"/>
      <c r="B211" s="459"/>
      <c r="C211" s="486" t="s">
        <v>386</v>
      </c>
      <c r="D211" s="367">
        <v>53000</v>
      </c>
      <c r="E211" s="366">
        <v>53000</v>
      </c>
      <c r="F211" s="366"/>
      <c r="G211" s="365"/>
      <c r="H211" s="366">
        <v>48831</v>
      </c>
      <c r="I211" s="366">
        <v>48831</v>
      </c>
      <c r="J211" s="366">
        <v>0</v>
      </c>
      <c r="K211" s="485">
        <v>0</v>
      </c>
      <c r="L211" s="352"/>
    </row>
    <row r="212" spans="1:12" x14ac:dyDescent="0.25">
      <c r="A212" s="509"/>
      <c r="B212" s="459"/>
      <c r="C212" s="486" t="s">
        <v>1139</v>
      </c>
      <c r="D212" s="367"/>
      <c r="E212" s="366"/>
      <c r="F212" s="366"/>
      <c r="G212" s="365"/>
      <c r="H212" s="366">
        <v>1500</v>
      </c>
      <c r="I212" s="366">
        <v>1500</v>
      </c>
      <c r="J212" s="366"/>
      <c r="K212" s="485"/>
      <c r="L212" s="352"/>
    </row>
    <row r="213" spans="1:12" x14ac:dyDescent="0.25">
      <c r="A213" s="509"/>
      <c r="B213" s="459"/>
      <c r="C213" s="486" t="s">
        <v>685</v>
      </c>
      <c r="D213" s="367">
        <v>30000</v>
      </c>
      <c r="E213" s="366"/>
      <c r="F213" s="366">
        <v>30000</v>
      </c>
      <c r="G213" s="365"/>
      <c r="H213" s="366">
        <v>25150</v>
      </c>
      <c r="I213" s="366">
        <v>0</v>
      </c>
      <c r="J213" s="366">
        <v>25150</v>
      </c>
      <c r="K213" s="485">
        <v>0</v>
      </c>
      <c r="L213" s="352"/>
    </row>
    <row r="214" spans="1:12" x14ac:dyDescent="0.25">
      <c r="A214" s="509"/>
      <c r="B214" s="459"/>
      <c r="C214" s="486" t="s">
        <v>686</v>
      </c>
      <c r="D214" s="367">
        <v>4200</v>
      </c>
      <c r="E214" s="366"/>
      <c r="F214" s="366">
        <v>4200</v>
      </c>
      <c r="G214" s="365"/>
      <c r="H214" s="366">
        <v>4200</v>
      </c>
      <c r="I214" s="366">
        <v>0</v>
      </c>
      <c r="J214" s="366">
        <v>4200</v>
      </c>
      <c r="K214" s="485">
        <v>0</v>
      </c>
      <c r="L214" s="352"/>
    </row>
    <row r="215" spans="1:12" x14ac:dyDescent="0.25">
      <c r="A215" s="509"/>
      <c r="B215" s="459"/>
      <c r="C215" s="486" t="s">
        <v>687</v>
      </c>
      <c r="D215" s="367">
        <v>293</v>
      </c>
      <c r="E215" s="366">
        <v>293</v>
      </c>
      <c r="F215" s="366"/>
      <c r="G215" s="365"/>
      <c r="H215" s="366">
        <v>293</v>
      </c>
      <c r="I215" s="366">
        <v>293</v>
      </c>
      <c r="J215" s="366">
        <v>0</v>
      </c>
      <c r="K215" s="485">
        <v>0</v>
      </c>
      <c r="L215" s="352"/>
    </row>
    <row r="216" spans="1:12" x14ac:dyDescent="0.25">
      <c r="A216" s="509"/>
      <c r="B216" s="459"/>
      <c r="C216" s="486" t="s">
        <v>688</v>
      </c>
      <c r="D216" s="367">
        <v>16937</v>
      </c>
      <c r="E216" s="366">
        <v>16937</v>
      </c>
      <c r="F216" s="366"/>
      <c r="G216" s="365"/>
      <c r="H216" s="366">
        <v>3245</v>
      </c>
      <c r="I216" s="366">
        <v>3245</v>
      </c>
      <c r="J216" s="366">
        <v>0</v>
      </c>
      <c r="K216" s="485">
        <v>0</v>
      </c>
      <c r="L216" s="352"/>
    </row>
    <row r="217" spans="1:12" x14ac:dyDescent="0.25">
      <c r="A217" s="509"/>
      <c r="B217" s="459"/>
      <c r="C217" s="486" t="s">
        <v>904</v>
      </c>
      <c r="D217" s="367">
        <v>6300</v>
      </c>
      <c r="E217" s="366">
        <v>6300</v>
      </c>
      <c r="F217" s="366"/>
      <c r="G217" s="365"/>
      <c r="H217" s="366">
        <v>6300</v>
      </c>
      <c r="I217" s="366">
        <v>6300</v>
      </c>
      <c r="J217" s="366">
        <v>0</v>
      </c>
      <c r="K217" s="485">
        <v>0</v>
      </c>
      <c r="L217" s="352"/>
    </row>
    <row r="218" spans="1:12" x14ac:dyDescent="0.25">
      <c r="A218" s="509"/>
      <c r="B218" s="459"/>
      <c r="C218" s="436" t="s">
        <v>689</v>
      </c>
      <c r="D218" s="410">
        <v>4000</v>
      </c>
      <c r="E218" s="409"/>
      <c r="F218" s="409">
        <v>4000</v>
      </c>
      <c r="G218" s="408"/>
      <c r="H218" s="366">
        <v>4000</v>
      </c>
      <c r="I218" s="366">
        <v>0</v>
      </c>
      <c r="J218" s="366">
        <v>4000</v>
      </c>
      <c r="K218" s="485">
        <v>0</v>
      </c>
      <c r="L218" s="352"/>
    </row>
    <row r="219" spans="1:12" s="374" customFormat="1" x14ac:dyDescent="0.25">
      <c r="A219" s="511"/>
      <c r="B219" s="459"/>
      <c r="C219" s="436" t="s">
        <v>690</v>
      </c>
      <c r="D219" s="410">
        <v>1000</v>
      </c>
      <c r="E219" s="409"/>
      <c r="F219" s="409">
        <v>1000</v>
      </c>
      <c r="G219" s="408"/>
      <c r="H219" s="366">
        <v>1000</v>
      </c>
      <c r="I219" s="377">
        <v>0</v>
      </c>
      <c r="J219" s="377">
        <v>1000</v>
      </c>
      <c r="K219" s="510">
        <v>0</v>
      </c>
      <c r="L219" s="375"/>
    </row>
    <row r="220" spans="1:12" x14ac:dyDescent="0.25">
      <c r="A220" s="509"/>
      <c r="B220" s="459"/>
      <c r="C220" s="436" t="s">
        <v>691</v>
      </c>
      <c r="D220" s="410">
        <v>500</v>
      </c>
      <c r="E220" s="409"/>
      <c r="F220" s="409">
        <v>500</v>
      </c>
      <c r="G220" s="408"/>
      <c r="H220" s="366">
        <v>500</v>
      </c>
      <c r="I220" s="366">
        <v>0</v>
      </c>
      <c r="J220" s="366">
        <v>500</v>
      </c>
      <c r="K220" s="485">
        <v>0</v>
      </c>
      <c r="L220" s="352"/>
    </row>
    <row r="221" spans="1:12" x14ac:dyDescent="0.25">
      <c r="A221" s="509"/>
      <c r="B221" s="459"/>
      <c r="C221" s="436" t="s">
        <v>692</v>
      </c>
      <c r="D221" s="410">
        <v>1000</v>
      </c>
      <c r="E221" s="409"/>
      <c r="F221" s="409">
        <v>1000</v>
      </c>
      <c r="G221" s="408"/>
      <c r="H221" s="366">
        <v>1000</v>
      </c>
      <c r="I221" s="366">
        <v>0</v>
      </c>
      <c r="J221" s="366">
        <v>1000</v>
      </c>
      <c r="K221" s="485">
        <v>0</v>
      </c>
      <c r="L221" s="352"/>
    </row>
    <row r="222" spans="1:12" x14ac:dyDescent="0.25">
      <c r="A222" s="509"/>
      <c r="B222" s="459"/>
      <c r="C222" s="436" t="s">
        <v>693</v>
      </c>
      <c r="D222" s="410">
        <v>100</v>
      </c>
      <c r="E222" s="409"/>
      <c r="F222" s="409">
        <v>100</v>
      </c>
      <c r="G222" s="408"/>
      <c r="H222" s="366">
        <v>100</v>
      </c>
      <c r="I222" s="366">
        <v>0</v>
      </c>
      <c r="J222" s="366">
        <v>100</v>
      </c>
      <c r="K222" s="485">
        <v>0</v>
      </c>
      <c r="L222" s="352"/>
    </row>
    <row r="223" spans="1:12" x14ac:dyDescent="0.25">
      <c r="A223" s="509"/>
      <c r="B223" s="459"/>
      <c r="C223" s="505" t="s">
        <v>694</v>
      </c>
      <c r="D223" s="422">
        <v>500</v>
      </c>
      <c r="E223" s="409">
        <v>500</v>
      </c>
      <c r="F223" s="409"/>
      <c r="G223" s="442"/>
      <c r="H223" s="366">
        <v>500</v>
      </c>
      <c r="I223" s="366">
        <v>500</v>
      </c>
      <c r="J223" s="366">
        <v>0</v>
      </c>
      <c r="K223" s="485">
        <v>0</v>
      </c>
      <c r="L223" s="352"/>
    </row>
    <row r="224" spans="1:12" ht="30" x14ac:dyDescent="0.25">
      <c r="A224" s="509"/>
      <c r="B224" s="459"/>
      <c r="C224" s="505" t="s">
        <v>953</v>
      </c>
      <c r="D224" s="422">
        <v>79800</v>
      </c>
      <c r="E224" s="409">
        <v>79800</v>
      </c>
      <c r="F224" s="409"/>
      <c r="G224" s="442"/>
      <c r="H224" s="366">
        <v>85973</v>
      </c>
      <c r="I224" s="366">
        <v>85973</v>
      </c>
      <c r="J224" s="366">
        <v>0</v>
      </c>
      <c r="K224" s="485">
        <v>0</v>
      </c>
      <c r="L224" s="352"/>
    </row>
    <row r="225" spans="1:12" x14ac:dyDescent="0.25">
      <c r="A225" s="509"/>
      <c r="B225" s="459"/>
      <c r="C225" s="505" t="s">
        <v>1058</v>
      </c>
      <c r="D225" s="422">
        <v>2000</v>
      </c>
      <c r="E225" s="409">
        <v>2000</v>
      </c>
      <c r="F225" s="409"/>
      <c r="G225" s="442"/>
      <c r="H225" s="366">
        <v>2000</v>
      </c>
      <c r="I225" s="366">
        <v>2000</v>
      </c>
      <c r="J225" s="366">
        <v>0</v>
      </c>
      <c r="K225" s="485">
        <v>0</v>
      </c>
      <c r="L225" s="352"/>
    </row>
    <row r="226" spans="1:12" x14ac:dyDescent="0.25">
      <c r="A226" s="509"/>
      <c r="B226" s="459"/>
      <c r="C226" s="505" t="s">
        <v>954</v>
      </c>
      <c r="D226" s="422">
        <v>6000</v>
      </c>
      <c r="E226" s="409">
        <v>6000</v>
      </c>
      <c r="F226" s="409"/>
      <c r="G226" s="442"/>
      <c r="H226" s="366">
        <v>5000</v>
      </c>
      <c r="I226" s="366">
        <v>5000</v>
      </c>
      <c r="J226" s="366">
        <v>0</v>
      </c>
      <c r="K226" s="485">
        <v>0</v>
      </c>
      <c r="L226" s="352"/>
    </row>
    <row r="227" spans="1:12" x14ac:dyDescent="0.25">
      <c r="A227" s="509"/>
      <c r="B227" s="459"/>
      <c r="C227" s="505" t="s">
        <v>955</v>
      </c>
      <c r="D227" s="422">
        <v>800</v>
      </c>
      <c r="E227" s="409"/>
      <c r="F227" s="409">
        <v>800</v>
      </c>
      <c r="G227" s="442"/>
      <c r="H227" s="366">
        <v>800</v>
      </c>
      <c r="I227" s="366">
        <v>0</v>
      </c>
      <c r="J227" s="366">
        <v>800</v>
      </c>
      <c r="K227" s="485">
        <v>0</v>
      </c>
      <c r="L227" s="352"/>
    </row>
    <row r="228" spans="1:12" x14ac:dyDescent="0.25">
      <c r="A228" s="509"/>
      <c r="B228" s="459"/>
      <c r="C228" s="505" t="s">
        <v>956</v>
      </c>
      <c r="D228" s="422">
        <v>3500</v>
      </c>
      <c r="E228" s="409"/>
      <c r="F228" s="409">
        <v>3500</v>
      </c>
      <c r="G228" s="442"/>
      <c r="H228" s="366">
        <v>3500</v>
      </c>
      <c r="I228" s="366">
        <v>0</v>
      </c>
      <c r="J228" s="366">
        <v>3500</v>
      </c>
      <c r="K228" s="485">
        <v>0</v>
      </c>
      <c r="L228" s="352"/>
    </row>
    <row r="229" spans="1:12" x14ac:dyDescent="0.25">
      <c r="A229" s="509"/>
      <c r="B229" s="459"/>
      <c r="C229" s="505" t="s">
        <v>957</v>
      </c>
      <c r="D229" s="422">
        <v>351</v>
      </c>
      <c r="E229" s="409">
        <v>351</v>
      </c>
      <c r="F229" s="409"/>
      <c r="G229" s="442"/>
      <c r="H229" s="366">
        <v>351</v>
      </c>
      <c r="I229" s="366">
        <v>351</v>
      </c>
      <c r="J229" s="366">
        <v>0</v>
      </c>
      <c r="K229" s="485">
        <v>0</v>
      </c>
      <c r="L229" s="352"/>
    </row>
    <row r="230" spans="1:12" ht="30" x14ac:dyDescent="0.25">
      <c r="A230" s="509"/>
      <c r="B230" s="459"/>
      <c r="C230" s="505" t="s">
        <v>958</v>
      </c>
      <c r="D230" s="422">
        <v>7980</v>
      </c>
      <c r="E230" s="409">
        <v>7980</v>
      </c>
      <c r="F230" s="409"/>
      <c r="G230" s="442"/>
      <c r="H230" s="366">
        <v>7980</v>
      </c>
      <c r="I230" s="366">
        <v>7980</v>
      </c>
      <c r="J230" s="366">
        <v>0</v>
      </c>
      <c r="K230" s="485">
        <v>0</v>
      </c>
      <c r="L230" s="352"/>
    </row>
    <row r="231" spans="1:12" ht="30" x14ac:dyDescent="0.25">
      <c r="A231" s="509"/>
      <c r="B231" s="459"/>
      <c r="C231" s="436" t="s">
        <v>1138</v>
      </c>
      <c r="D231" s="422"/>
      <c r="E231" s="409"/>
      <c r="F231" s="409"/>
      <c r="G231" s="442"/>
      <c r="H231" s="366">
        <v>450</v>
      </c>
      <c r="I231" s="366">
        <v>450</v>
      </c>
      <c r="J231" s="366">
        <v>0</v>
      </c>
      <c r="K231" s="485">
        <v>0</v>
      </c>
      <c r="L231" s="352"/>
    </row>
    <row r="232" spans="1:12" x14ac:dyDescent="0.25">
      <c r="A232" s="509"/>
      <c r="B232" s="459"/>
      <c r="C232" s="505"/>
      <c r="D232" s="422"/>
      <c r="E232" s="409"/>
      <c r="F232" s="409"/>
      <c r="G232" s="442"/>
      <c r="H232" s="366"/>
      <c r="I232" s="366"/>
      <c r="J232" s="366"/>
      <c r="K232" s="485"/>
      <c r="L232" s="352"/>
    </row>
    <row r="233" spans="1:12" x14ac:dyDescent="0.25">
      <c r="A233" s="509"/>
      <c r="B233" s="459"/>
      <c r="C233" s="504" t="s">
        <v>24</v>
      </c>
      <c r="D233" s="502">
        <f>SUM(D211:D232)</f>
        <v>218261</v>
      </c>
      <c r="E233" s="444">
        <f>SUM(E211:E232)</f>
        <v>173161</v>
      </c>
      <c r="F233" s="444">
        <f>SUM(F211:F232)</f>
        <v>45100</v>
      </c>
      <c r="G233" s="501">
        <f>SUM(G211:G226)</f>
        <v>0</v>
      </c>
      <c r="H233" s="445">
        <v>202673</v>
      </c>
      <c r="I233" s="444">
        <v>162423</v>
      </c>
      <c r="J233" s="444">
        <v>40250</v>
      </c>
      <c r="K233" s="443">
        <v>0</v>
      </c>
      <c r="L233" s="352"/>
    </row>
    <row r="234" spans="1:12" x14ac:dyDescent="0.25">
      <c r="A234" s="509"/>
      <c r="B234" s="459"/>
      <c r="C234" s="490"/>
      <c r="D234" s="494"/>
      <c r="E234" s="353"/>
      <c r="F234" s="353"/>
      <c r="G234" s="493"/>
      <c r="H234" s="366"/>
      <c r="I234" s="366"/>
      <c r="J234" s="366"/>
      <c r="K234" s="485"/>
      <c r="L234" s="352"/>
    </row>
    <row r="235" spans="1:12" x14ac:dyDescent="0.25">
      <c r="A235" s="369"/>
      <c r="B235" s="495"/>
      <c r="C235" s="486" t="s">
        <v>68</v>
      </c>
      <c r="D235" s="494"/>
      <c r="E235" s="353"/>
      <c r="F235" s="353"/>
      <c r="G235" s="493"/>
      <c r="H235" s="366"/>
      <c r="I235" s="366"/>
      <c r="J235" s="366"/>
      <c r="K235" s="485"/>
      <c r="L235" s="352"/>
    </row>
    <row r="236" spans="1:12" ht="30.75" customHeight="1" x14ac:dyDescent="0.25">
      <c r="A236" s="369"/>
      <c r="B236" s="495"/>
      <c r="C236" s="436" t="s">
        <v>959</v>
      </c>
      <c r="D236" s="422">
        <v>635</v>
      </c>
      <c r="E236" s="409">
        <v>635</v>
      </c>
      <c r="F236" s="409"/>
      <c r="G236" s="442"/>
      <c r="H236" s="366">
        <v>635</v>
      </c>
      <c r="I236" s="366">
        <v>635</v>
      </c>
      <c r="J236" s="366">
        <v>0</v>
      </c>
      <c r="K236" s="485">
        <v>0</v>
      </c>
      <c r="L236" s="352"/>
    </row>
    <row r="237" spans="1:12" ht="30" customHeight="1" x14ac:dyDescent="0.25">
      <c r="A237" s="369"/>
      <c r="B237" s="495"/>
      <c r="C237" s="436" t="s">
        <v>960</v>
      </c>
      <c r="D237" s="422">
        <v>1524</v>
      </c>
      <c r="E237" s="409">
        <v>1524</v>
      </c>
      <c r="F237" s="409"/>
      <c r="G237" s="442"/>
      <c r="H237" s="366">
        <v>1524</v>
      </c>
      <c r="I237" s="366">
        <v>1524</v>
      </c>
      <c r="J237" s="366">
        <v>0</v>
      </c>
      <c r="K237" s="485">
        <v>0</v>
      </c>
      <c r="L237" s="352"/>
    </row>
    <row r="238" spans="1:12" ht="45" x14ac:dyDescent="0.25">
      <c r="A238" s="369"/>
      <c r="B238" s="495"/>
      <c r="C238" s="436" t="s">
        <v>961</v>
      </c>
      <c r="D238" s="422">
        <v>3810</v>
      </c>
      <c r="E238" s="409">
        <v>3810</v>
      </c>
      <c r="F238" s="409"/>
      <c r="G238" s="442"/>
      <c r="H238" s="366">
        <v>3810</v>
      </c>
      <c r="I238" s="366">
        <v>3810</v>
      </c>
      <c r="J238" s="366">
        <v>0</v>
      </c>
      <c r="K238" s="485">
        <v>0</v>
      </c>
      <c r="L238" s="352"/>
    </row>
    <row r="239" spans="1:12" x14ac:dyDescent="0.25">
      <c r="A239" s="369"/>
      <c r="B239" s="495"/>
      <c r="C239" s="436" t="s">
        <v>962</v>
      </c>
      <c r="D239" s="422">
        <v>10000</v>
      </c>
      <c r="E239" s="409">
        <v>10000</v>
      </c>
      <c r="F239" s="409"/>
      <c r="G239" s="442"/>
      <c r="H239" s="366">
        <v>10000</v>
      </c>
      <c r="I239" s="366">
        <v>10000</v>
      </c>
      <c r="J239" s="366">
        <v>0</v>
      </c>
      <c r="K239" s="485">
        <v>0</v>
      </c>
      <c r="L239" s="352"/>
    </row>
    <row r="240" spans="1:12" x14ac:dyDescent="0.25">
      <c r="A240" s="369"/>
      <c r="B240" s="495"/>
      <c r="C240" s="436" t="s">
        <v>1137</v>
      </c>
      <c r="D240" s="422"/>
      <c r="E240" s="409"/>
      <c r="F240" s="409"/>
      <c r="G240" s="442"/>
      <c r="H240" s="366">
        <v>95001</v>
      </c>
      <c r="I240" s="366">
        <v>95001</v>
      </c>
      <c r="J240" s="366"/>
      <c r="K240" s="485"/>
      <c r="L240" s="352"/>
    </row>
    <row r="241" spans="1:12" x14ac:dyDescent="0.25">
      <c r="A241" s="369"/>
      <c r="B241" s="495"/>
      <c r="C241" s="436"/>
      <c r="D241" s="422"/>
      <c r="E241" s="409"/>
      <c r="F241" s="409"/>
      <c r="G241" s="442"/>
      <c r="H241" s="366"/>
      <c r="I241" s="366"/>
      <c r="J241" s="366"/>
      <c r="K241" s="485"/>
      <c r="L241" s="352"/>
    </row>
    <row r="242" spans="1:12" x14ac:dyDescent="0.25">
      <c r="A242" s="369"/>
      <c r="B242" s="459"/>
      <c r="C242" s="504" t="s">
        <v>24</v>
      </c>
      <c r="D242" s="502">
        <f>SUM(D236:D241)</f>
        <v>15969</v>
      </c>
      <c r="E242" s="444">
        <f>SUM(E236:E241)</f>
        <v>15969</v>
      </c>
      <c r="F242" s="444">
        <f>SUM(F236:F241)</f>
        <v>0</v>
      </c>
      <c r="G242" s="501">
        <f>SUM(G236:G241)</f>
        <v>0</v>
      </c>
      <c r="H242" s="445">
        <v>110970</v>
      </c>
      <c r="I242" s="444">
        <v>110970</v>
      </c>
      <c r="J242" s="444">
        <v>0</v>
      </c>
      <c r="K242" s="443">
        <v>0</v>
      </c>
      <c r="L242" s="352"/>
    </row>
    <row r="243" spans="1:12" x14ac:dyDescent="0.25">
      <c r="A243" s="369"/>
      <c r="B243" s="459"/>
      <c r="C243" s="490"/>
      <c r="D243" s="494"/>
      <c r="E243" s="353"/>
      <c r="F243" s="353"/>
      <c r="G243" s="493"/>
      <c r="H243" s="366"/>
      <c r="I243" s="366"/>
      <c r="J243" s="366"/>
      <c r="K243" s="485"/>
      <c r="L243" s="352"/>
    </row>
    <row r="244" spans="1:12" x14ac:dyDescent="0.25">
      <c r="A244" s="369"/>
      <c r="B244" s="495"/>
      <c r="C244" s="486" t="s">
        <v>58</v>
      </c>
      <c r="D244" s="367">
        <v>5000</v>
      </c>
      <c r="E244" s="366">
        <v>5000</v>
      </c>
      <c r="F244" s="366"/>
      <c r="G244" s="365"/>
      <c r="H244" s="366">
        <v>5000</v>
      </c>
      <c r="I244" s="366">
        <v>5000</v>
      </c>
      <c r="J244" s="366">
        <v>0</v>
      </c>
      <c r="K244" s="485">
        <v>0</v>
      </c>
      <c r="L244" s="352"/>
    </row>
    <row r="245" spans="1:12" x14ac:dyDescent="0.25">
      <c r="A245" s="369"/>
      <c r="B245" s="495"/>
      <c r="C245" s="486"/>
      <c r="D245" s="367"/>
      <c r="E245" s="366"/>
      <c r="F245" s="366"/>
      <c r="G245" s="365"/>
      <c r="H245" s="366"/>
      <c r="I245" s="366"/>
      <c r="J245" s="366"/>
      <c r="K245" s="485"/>
      <c r="L245" s="352"/>
    </row>
    <row r="246" spans="1:12" x14ac:dyDescent="0.25">
      <c r="A246" s="369"/>
      <c r="B246" s="459"/>
      <c r="C246" s="486" t="s">
        <v>963</v>
      </c>
      <c r="D246" s="372"/>
      <c r="E246" s="366"/>
      <c r="F246" s="366"/>
      <c r="G246" s="446"/>
      <c r="H246" s="366"/>
      <c r="I246" s="366"/>
      <c r="J246" s="366"/>
      <c r="K246" s="485"/>
      <c r="L246" s="352"/>
    </row>
    <row r="247" spans="1:12" x14ac:dyDescent="0.25">
      <c r="A247" s="369"/>
      <c r="B247" s="459"/>
      <c r="C247" s="486" t="s">
        <v>964</v>
      </c>
      <c r="D247" s="372">
        <v>2586</v>
      </c>
      <c r="E247" s="366">
        <v>2586</v>
      </c>
      <c r="F247" s="366"/>
      <c r="G247" s="446"/>
      <c r="H247" s="366">
        <v>2586</v>
      </c>
      <c r="I247" s="366">
        <v>2586</v>
      </c>
      <c r="J247" s="366">
        <v>0</v>
      </c>
      <c r="K247" s="485">
        <v>0</v>
      </c>
      <c r="L247" s="352"/>
    </row>
    <row r="248" spans="1:12" x14ac:dyDescent="0.25">
      <c r="A248" s="369"/>
      <c r="B248" s="459"/>
      <c r="C248" s="504"/>
      <c r="D248" s="382"/>
      <c r="E248" s="377"/>
      <c r="F248" s="377"/>
      <c r="G248" s="447"/>
      <c r="H248" s="366"/>
      <c r="I248" s="366"/>
      <c r="J248" s="366"/>
      <c r="K248" s="485"/>
      <c r="L248" s="352"/>
    </row>
    <row r="249" spans="1:12" x14ac:dyDescent="0.25">
      <c r="A249" s="369"/>
      <c r="B249" s="459"/>
      <c r="C249" s="504" t="s">
        <v>24</v>
      </c>
      <c r="D249" s="502">
        <f>SUM(D246:D248)</f>
        <v>2586</v>
      </c>
      <c r="E249" s="444">
        <f>SUM(E246:E248)</f>
        <v>2586</v>
      </c>
      <c r="F249" s="444">
        <f>SUM(F246:F248)</f>
        <v>0</v>
      </c>
      <c r="G249" s="501">
        <f>SUM(G246:G248)</f>
        <v>0</v>
      </c>
      <c r="H249" s="445">
        <v>2586</v>
      </c>
      <c r="I249" s="444">
        <v>2586</v>
      </c>
      <c r="J249" s="444">
        <v>0</v>
      </c>
      <c r="K249" s="443">
        <v>0</v>
      </c>
      <c r="L249" s="352"/>
    </row>
    <row r="250" spans="1:12" x14ac:dyDescent="0.25">
      <c r="A250" s="369"/>
      <c r="B250" s="459"/>
      <c r="C250" s="504"/>
      <c r="D250" s="502"/>
      <c r="E250" s="444"/>
      <c r="F250" s="444"/>
      <c r="G250" s="501"/>
      <c r="H250" s="366"/>
      <c r="I250" s="366"/>
      <c r="J250" s="366"/>
      <c r="K250" s="485"/>
      <c r="L250" s="352"/>
    </row>
    <row r="251" spans="1:12" x14ac:dyDescent="0.25">
      <c r="A251" s="369"/>
      <c r="B251" s="459"/>
      <c r="C251" s="490" t="s">
        <v>57</v>
      </c>
      <c r="D251" s="502">
        <f>D208+D233+D242+D244+D249</f>
        <v>567943</v>
      </c>
      <c r="E251" s="444">
        <f>E208+E233+E242+E244+E249</f>
        <v>457645</v>
      </c>
      <c r="F251" s="444">
        <f>F208+F233+F242+F244+F249</f>
        <v>110298</v>
      </c>
      <c r="G251" s="501">
        <f>G208+G233+G242+G244+G249</f>
        <v>0</v>
      </c>
      <c r="H251" s="445">
        <v>671136</v>
      </c>
      <c r="I251" s="444">
        <v>564828</v>
      </c>
      <c r="J251" s="444">
        <v>106308</v>
      </c>
      <c r="K251" s="443">
        <v>0</v>
      </c>
      <c r="L251" s="352"/>
    </row>
    <row r="252" spans="1:12" x14ac:dyDescent="0.25">
      <c r="A252" s="509"/>
      <c r="B252" s="459"/>
      <c r="C252" s="490"/>
      <c r="D252" s="494"/>
      <c r="E252" s="353"/>
      <c r="F252" s="353"/>
      <c r="G252" s="493"/>
      <c r="H252" s="366"/>
      <c r="I252" s="366"/>
      <c r="J252" s="366"/>
      <c r="K252" s="485"/>
      <c r="L252" s="352"/>
    </row>
    <row r="253" spans="1:12" x14ac:dyDescent="0.25">
      <c r="A253" s="509"/>
      <c r="B253" s="459" t="s">
        <v>19</v>
      </c>
      <c r="C253" s="486" t="s">
        <v>51</v>
      </c>
      <c r="D253" s="494"/>
      <c r="E253" s="353"/>
      <c r="F253" s="353"/>
      <c r="G253" s="493"/>
      <c r="H253" s="366"/>
      <c r="I253" s="366"/>
      <c r="J253" s="366"/>
      <c r="K253" s="485"/>
      <c r="L253" s="352"/>
    </row>
    <row r="254" spans="1:12" x14ac:dyDescent="0.25">
      <c r="A254" s="509"/>
      <c r="B254" s="459"/>
      <c r="C254" s="505" t="s">
        <v>683</v>
      </c>
      <c r="D254" s="367">
        <v>19840</v>
      </c>
      <c r="E254" s="366">
        <v>19840</v>
      </c>
      <c r="F254" s="353"/>
      <c r="G254" s="493"/>
      <c r="H254" s="366">
        <v>19840</v>
      </c>
      <c r="I254" s="366">
        <v>19840</v>
      </c>
      <c r="J254" s="366">
        <v>0</v>
      </c>
      <c r="K254" s="485">
        <v>0</v>
      </c>
      <c r="L254" s="352"/>
    </row>
    <row r="255" spans="1:12" x14ac:dyDescent="0.25">
      <c r="A255" s="509"/>
      <c r="B255" s="459"/>
      <c r="C255" s="486" t="s">
        <v>965</v>
      </c>
      <c r="D255" s="372">
        <v>15000</v>
      </c>
      <c r="E255" s="366">
        <v>15000</v>
      </c>
      <c r="F255" s="366"/>
      <c r="G255" s="365"/>
      <c r="H255" s="366">
        <v>15000</v>
      </c>
      <c r="I255" s="366">
        <v>15000</v>
      </c>
      <c r="J255" s="366">
        <v>0</v>
      </c>
      <c r="K255" s="485">
        <v>0</v>
      </c>
      <c r="L255" s="352"/>
    </row>
    <row r="256" spans="1:12" x14ac:dyDescent="0.25">
      <c r="A256" s="509"/>
      <c r="B256" s="459"/>
      <c r="C256" s="486" t="s">
        <v>966</v>
      </c>
      <c r="D256" s="372">
        <v>1700</v>
      </c>
      <c r="E256" s="366">
        <v>1700</v>
      </c>
      <c r="F256" s="366"/>
      <c r="G256" s="365"/>
      <c r="H256" s="366">
        <v>1700</v>
      </c>
      <c r="I256" s="366">
        <v>1700</v>
      </c>
      <c r="J256" s="366">
        <v>0</v>
      </c>
      <c r="K256" s="485">
        <v>0</v>
      </c>
      <c r="L256" s="352"/>
    </row>
    <row r="257" spans="1:12" x14ac:dyDescent="0.25">
      <c r="A257" s="509"/>
      <c r="B257" s="459"/>
      <c r="C257" s="436" t="s">
        <v>967</v>
      </c>
      <c r="D257" s="372">
        <v>5000</v>
      </c>
      <c r="E257" s="366">
        <v>5000</v>
      </c>
      <c r="F257" s="366"/>
      <c r="G257" s="365"/>
      <c r="H257" s="366">
        <v>5000</v>
      </c>
      <c r="I257" s="366">
        <v>5000</v>
      </c>
      <c r="J257" s="366">
        <v>0</v>
      </c>
      <c r="K257" s="485">
        <v>0</v>
      </c>
      <c r="L257" s="352"/>
    </row>
    <row r="258" spans="1:12" ht="16.5" customHeight="1" x14ac:dyDescent="0.25">
      <c r="A258" s="509"/>
      <c r="B258" s="459"/>
      <c r="C258" s="436" t="s">
        <v>968</v>
      </c>
      <c r="D258" s="372">
        <v>8000</v>
      </c>
      <c r="E258" s="366">
        <v>8000</v>
      </c>
      <c r="F258" s="366"/>
      <c r="G258" s="365"/>
      <c r="H258" s="366">
        <v>8000</v>
      </c>
      <c r="I258" s="366">
        <v>8000</v>
      </c>
      <c r="J258" s="366">
        <v>0</v>
      </c>
      <c r="K258" s="485">
        <v>0</v>
      </c>
      <c r="L258" s="352"/>
    </row>
    <row r="259" spans="1:12" ht="16.5" customHeight="1" x14ac:dyDescent="0.25">
      <c r="A259" s="509"/>
      <c r="B259" s="459"/>
      <c r="C259" s="436" t="s">
        <v>969</v>
      </c>
      <c r="D259" s="372">
        <v>5000</v>
      </c>
      <c r="E259" s="366">
        <v>5000</v>
      </c>
      <c r="F259" s="366"/>
      <c r="G259" s="446"/>
      <c r="H259" s="366">
        <v>5000</v>
      </c>
      <c r="I259" s="366">
        <v>5000</v>
      </c>
      <c r="J259" s="366">
        <v>0</v>
      </c>
      <c r="K259" s="485">
        <v>0</v>
      </c>
      <c r="L259" s="352"/>
    </row>
    <row r="260" spans="1:12" x14ac:dyDescent="0.25">
      <c r="A260" s="509"/>
      <c r="B260" s="459"/>
      <c r="C260" s="436" t="s">
        <v>970</v>
      </c>
      <c r="D260" s="372">
        <v>6122</v>
      </c>
      <c r="E260" s="366">
        <v>6122</v>
      </c>
      <c r="F260" s="366"/>
      <c r="G260" s="446"/>
      <c r="H260" s="366">
        <v>6122</v>
      </c>
      <c r="I260" s="366">
        <v>6122</v>
      </c>
      <c r="J260" s="366">
        <v>0</v>
      </c>
      <c r="K260" s="485">
        <v>0</v>
      </c>
      <c r="L260" s="352"/>
    </row>
    <row r="261" spans="1:12" x14ac:dyDescent="0.25">
      <c r="A261" s="509"/>
      <c r="B261" s="459"/>
      <c r="C261" s="436" t="s">
        <v>971</v>
      </c>
      <c r="D261" s="422">
        <v>2000</v>
      </c>
      <c r="E261" s="409">
        <v>2000</v>
      </c>
      <c r="F261" s="409"/>
      <c r="G261" s="442"/>
      <c r="H261" s="366">
        <v>2000</v>
      </c>
      <c r="I261" s="366">
        <v>2000</v>
      </c>
      <c r="J261" s="366">
        <v>0</v>
      </c>
      <c r="K261" s="485">
        <v>0</v>
      </c>
      <c r="L261" s="352"/>
    </row>
    <row r="262" spans="1:12" ht="30" x14ac:dyDescent="0.25">
      <c r="A262" s="509"/>
      <c r="B262" s="459"/>
      <c r="C262" s="411" t="s">
        <v>972</v>
      </c>
      <c r="D262" s="422">
        <v>335</v>
      </c>
      <c r="E262" s="409">
        <v>335</v>
      </c>
      <c r="F262" s="409"/>
      <c r="G262" s="442"/>
      <c r="H262" s="366">
        <v>335</v>
      </c>
      <c r="I262" s="366">
        <v>335</v>
      </c>
      <c r="J262" s="366">
        <v>0</v>
      </c>
      <c r="K262" s="485">
        <v>0</v>
      </c>
      <c r="L262" s="352"/>
    </row>
    <row r="263" spans="1:12" x14ac:dyDescent="0.25">
      <c r="A263" s="509"/>
      <c r="B263" s="459"/>
      <c r="C263" s="436" t="s">
        <v>973</v>
      </c>
      <c r="D263" s="422">
        <v>89819</v>
      </c>
      <c r="E263" s="409">
        <v>89819</v>
      </c>
      <c r="F263" s="409"/>
      <c r="G263" s="442"/>
      <c r="H263" s="366">
        <v>89819</v>
      </c>
      <c r="I263" s="366">
        <v>89819</v>
      </c>
      <c r="J263" s="366">
        <v>0</v>
      </c>
      <c r="K263" s="485">
        <v>0</v>
      </c>
      <c r="L263" s="352"/>
    </row>
    <row r="264" spans="1:12" ht="30" x14ac:dyDescent="0.25">
      <c r="A264" s="509"/>
      <c r="B264" s="459"/>
      <c r="C264" s="436" t="s">
        <v>974</v>
      </c>
      <c r="D264" s="422">
        <v>161383</v>
      </c>
      <c r="E264" s="409">
        <v>161383</v>
      </c>
      <c r="F264" s="409"/>
      <c r="G264" s="442"/>
      <c r="H264" s="366">
        <v>161383</v>
      </c>
      <c r="I264" s="366">
        <v>161383</v>
      </c>
      <c r="J264" s="366">
        <v>0</v>
      </c>
      <c r="K264" s="485">
        <v>0</v>
      </c>
      <c r="L264" s="352"/>
    </row>
    <row r="265" spans="1:12" x14ac:dyDescent="0.25">
      <c r="A265" s="509"/>
      <c r="B265" s="459"/>
      <c r="C265" s="436" t="s">
        <v>975</v>
      </c>
      <c r="D265" s="422">
        <v>217632</v>
      </c>
      <c r="E265" s="409">
        <v>217632</v>
      </c>
      <c r="F265" s="409"/>
      <c r="G265" s="442"/>
      <c r="H265" s="366">
        <v>217632</v>
      </c>
      <c r="I265" s="366">
        <v>217632</v>
      </c>
      <c r="J265" s="366">
        <v>0</v>
      </c>
      <c r="K265" s="485">
        <v>0</v>
      </c>
      <c r="L265" s="352"/>
    </row>
    <row r="266" spans="1:12" x14ac:dyDescent="0.25">
      <c r="A266" s="509"/>
      <c r="B266" s="459"/>
      <c r="C266" s="436" t="s">
        <v>976</v>
      </c>
      <c r="D266" s="422">
        <v>3000</v>
      </c>
      <c r="E266" s="409">
        <v>3000</v>
      </c>
      <c r="F266" s="409"/>
      <c r="G266" s="442"/>
      <c r="H266" s="366">
        <v>0</v>
      </c>
      <c r="I266" s="366">
        <v>0</v>
      </c>
      <c r="J266" s="366">
        <v>0</v>
      </c>
      <c r="K266" s="485">
        <v>0</v>
      </c>
      <c r="L266" s="352"/>
    </row>
    <row r="267" spans="1:12" x14ac:dyDescent="0.25">
      <c r="A267" s="509"/>
      <c r="B267" s="459"/>
      <c r="C267" s="436" t="s">
        <v>977</v>
      </c>
      <c r="D267" s="422">
        <v>1650</v>
      </c>
      <c r="E267" s="409">
        <v>1650</v>
      </c>
      <c r="F267" s="409"/>
      <c r="G267" s="442"/>
      <c r="H267" s="366">
        <v>1650</v>
      </c>
      <c r="I267" s="366">
        <v>1650</v>
      </c>
      <c r="J267" s="366">
        <v>0</v>
      </c>
      <c r="K267" s="485">
        <v>0</v>
      </c>
      <c r="L267" s="352"/>
    </row>
    <row r="268" spans="1:12" ht="30" x14ac:dyDescent="0.25">
      <c r="A268" s="509"/>
      <c r="B268" s="459"/>
      <c r="C268" s="436" t="s">
        <v>978</v>
      </c>
      <c r="D268" s="422">
        <v>1185</v>
      </c>
      <c r="E268" s="409">
        <v>1185</v>
      </c>
      <c r="F268" s="409"/>
      <c r="G268" s="442"/>
      <c r="H268" s="366">
        <v>1185</v>
      </c>
      <c r="I268" s="366">
        <v>1185</v>
      </c>
      <c r="J268" s="366">
        <v>0</v>
      </c>
      <c r="K268" s="485">
        <v>0</v>
      </c>
      <c r="L268" s="352"/>
    </row>
    <row r="269" spans="1:12" ht="15.75" customHeight="1" x14ac:dyDescent="0.25">
      <c r="A269" s="509"/>
      <c r="B269" s="459"/>
      <c r="C269" s="436" t="s">
        <v>979</v>
      </c>
      <c r="D269" s="422">
        <v>3400</v>
      </c>
      <c r="E269" s="409">
        <v>3400</v>
      </c>
      <c r="F269" s="409"/>
      <c r="G269" s="442"/>
      <c r="H269" s="366">
        <v>3400</v>
      </c>
      <c r="I269" s="366">
        <v>3400</v>
      </c>
      <c r="J269" s="366">
        <v>0</v>
      </c>
      <c r="K269" s="485">
        <v>0</v>
      </c>
      <c r="L269" s="352"/>
    </row>
    <row r="270" spans="1:12" ht="15.75" customHeight="1" x14ac:dyDescent="0.25">
      <c r="A270" s="509"/>
      <c r="B270" s="459"/>
      <c r="C270" s="505" t="s">
        <v>980</v>
      </c>
      <c r="D270" s="372">
        <v>3861</v>
      </c>
      <c r="E270" s="366">
        <v>3861</v>
      </c>
      <c r="F270" s="366"/>
      <c r="G270" s="446"/>
      <c r="H270" s="366">
        <v>3861</v>
      </c>
      <c r="I270" s="366">
        <v>3861</v>
      </c>
      <c r="J270" s="366">
        <v>0</v>
      </c>
      <c r="K270" s="485">
        <v>0</v>
      </c>
      <c r="L270" s="352"/>
    </row>
    <row r="271" spans="1:12" x14ac:dyDescent="0.25">
      <c r="A271" s="509"/>
      <c r="B271" s="459"/>
      <c r="C271" s="505" t="s">
        <v>981</v>
      </c>
      <c r="D271" s="372">
        <v>15000</v>
      </c>
      <c r="E271" s="366">
        <v>15000</v>
      </c>
      <c r="F271" s="366"/>
      <c r="G271" s="446"/>
      <c r="H271" s="366">
        <v>15000</v>
      </c>
      <c r="I271" s="366">
        <v>15000</v>
      </c>
      <c r="J271" s="366">
        <v>0</v>
      </c>
      <c r="K271" s="485">
        <v>0</v>
      </c>
      <c r="L271" s="352"/>
    </row>
    <row r="272" spans="1:12" x14ac:dyDescent="0.25">
      <c r="A272" s="509"/>
      <c r="B272" s="459"/>
      <c r="C272" s="505" t="s">
        <v>982</v>
      </c>
      <c r="D272" s="372">
        <v>2000</v>
      </c>
      <c r="E272" s="366">
        <v>2000</v>
      </c>
      <c r="F272" s="366"/>
      <c r="G272" s="446"/>
      <c r="H272" s="366">
        <v>2000</v>
      </c>
      <c r="I272" s="366">
        <v>2000</v>
      </c>
      <c r="J272" s="366">
        <v>0</v>
      </c>
      <c r="K272" s="485">
        <v>0</v>
      </c>
      <c r="L272" s="352"/>
    </row>
    <row r="273" spans="1:12" ht="30" x14ac:dyDescent="0.25">
      <c r="A273" s="509"/>
      <c r="B273" s="459"/>
      <c r="C273" s="505" t="s">
        <v>1004</v>
      </c>
      <c r="D273" s="372">
        <v>15000</v>
      </c>
      <c r="E273" s="366">
        <v>15000</v>
      </c>
      <c r="F273" s="366"/>
      <c r="G273" s="446"/>
      <c r="H273" s="366">
        <v>15000</v>
      </c>
      <c r="I273" s="366">
        <v>15000</v>
      </c>
      <c r="J273" s="366">
        <v>0</v>
      </c>
      <c r="K273" s="485">
        <v>0</v>
      </c>
      <c r="L273" s="352"/>
    </row>
    <row r="274" spans="1:12" x14ac:dyDescent="0.25">
      <c r="A274" s="509"/>
      <c r="B274" s="459"/>
      <c r="C274" s="505" t="s">
        <v>983</v>
      </c>
      <c r="D274" s="372">
        <v>3000</v>
      </c>
      <c r="E274" s="366">
        <v>3000</v>
      </c>
      <c r="F274" s="366"/>
      <c r="G274" s="446"/>
      <c r="H274" s="366">
        <v>3000</v>
      </c>
      <c r="I274" s="366">
        <v>3000</v>
      </c>
      <c r="J274" s="366">
        <v>0</v>
      </c>
      <c r="K274" s="485">
        <v>0</v>
      </c>
      <c r="L274" s="352"/>
    </row>
    <row r="275" spans="1:12" x14ac:dyDescent="0.25">
      <c r="A275" s="509"/>
      <c r="B275" s="459"/>
      <c r="C275" s="505" t="s">
        <v>984</v>
      </c>
      <c r="D275" s="372">
        <v>2230</v>
      </c>
      <c r="E275" s="366">
        <v>2230</v>
      </c>
      <c r="F275" s="366"/>
      <c r="G275" s="446"/>
      <c r="H275" s="366">
        <v>2230</v>
      </c>
      <c r="I275" s="366">
        <v>2230</v>
      </c>
      <c r="J275" s="366">
        <v>0</v>
      </c>
      <c r="K275" s="485">
        <v>0</v>
      </c>
      <c r="L275" s="352"/>
    </row>
    <row r="276" spans="1:12" x14ac:dyDescent="0.25">
      <c r="A276" s="509"/>
      <c r="B276" s="459"/>
      <c r="C276" s="505" t="s">
        <v>985</v>
      </c>
      <c r="D276" s="372">
        <v>3807</v>
      </c>
      <c r="E276" s="366">
        <v>3807</v>
      </c>
      <c r="F276" s="366"/>
      <c r="G276" s="446"/>
      <c r="H276" s="366">
        <v>3807</v>
      </c>
      <c r="I276" s="366">
        <v>3807</v>
      </c>
      <c r="J276" s="366">
        <v>0</v>
      </c>
      <c r="K276" s="485">
        <v>0</v>
      </c>
      <c r="L276" s="352"/>
    </row>
    <row r="277" spans="1:12" ht="30" x14ac:dyDescent="0.25">
      <c r="A277" s="509"/>
      <c r="B277" s="459"/>
      <c r="C277" s="505" t="s">
        <v>986</v>
      </c>
      <c r="D277" s="372">
        <v>115363</v>
      </c>
      <c r="E277" s="366">
        <v>115363</v>
      </c>
      <c r="F277" s="366"/>
      <c r="G277" s="446"/>
      <c r="H277" s="366">
        <v>115363</v>
      </c>
      <c r="I277" s="366">
        <v>115363</v>
      </c>
      <c r="J277" s="366">
        <v>0</v>
      </c>
      <c r="K277" s="485">
        <v>0</v>
      </c>
      <c r="L277" s="352"/>
    </row>
    <row r="278" spans="1:12" x14ac:dyDescent="0.25">
      <c r="A278" s="509"/>
      <c r="B278" s="459"/>
      <c r="C278" s="436" t="s">
        <v>1136</v>
      </c>
      <c r="D278" s="372"/>
      <c r="E278" s="366"/>
      <c r="F278" s="366"/>
      <c r="G278" s="446"/>
      <c r="H278" s="366">
        <v>1210</v>
      </c>
      <c r="I278" s="366">
        <v>1210</v>
      </c>
      <c r="J278" s="366">
        <v>0</v>
      </c>
      <c r="K278" s="485">
        <v>0</v>
      </c>
      <c r="L278" s="352"/>
    </row>
    <row r="279" spans="1:12" x14ac:dyDescent="0.25">
      <c r="A279" s="509"/>
      <c r="B279" s="459"/>
      <c r="C279" s="436"/>
      <c r="D279" s="422"/>
      <c r="E279" s="409"/>
      <c r="F279" s="409"/>
      <c r="G279" s="442"/>
      <c r="H279" s="366"/>
      <c r="I279" s="366"/>
      <c r="J279" s="366"/>
      <c r="K279" s="485"/>
      <c r="L279" s="352"/>
    </row>
    <row r="280" spans="1:12" x14ac:dyDescent="0.25">
      <c r="A280" s="509"/>
      <c r="B280" s="459"/>
      <c r="C280" s="490" t="s">
        <v>38</v>
      </c>
      <c r="D280" s="502">
        <f>SUM(D254:D279)</f>
        <v>701327</v>
      </c>
      <c r="E280" s="444">
        <f>SUM(E254:E279)</f>
        <v>701327</v>
      </c>
      <c r="F280" s="444">
        <f>SUM(F254:F279)</f>
        <v>0</v>
      </c>
      <c r="G280" s="501">
        <f>SUM(G254:G279)</f>
        <v>0</v>
      </c>
      <c r="H280" s="445">
        <v>699537</v>
      </c>
      <c r="I280" s="444">
        <v>699537</v>
      </c>
      <c r="J280" s="444">
        <v>0</v>
      </c>
      <c r="K280" s="443">
        <v>0</v>
      </c>
      <c r="L280" s="352"/>
    </row>
    <row r="281" spans="1:12" x14ac:dyDescent="0.25">
      <c r="A281" s="509"/>
      <c r="B281" s="459"/>
      <c r="C281" s="490"/>
      <c r="D281" s="494"/>
      <c r="E281" s="353"/>
      <c r="F281" s="353"/>
      <c r="G281" s="493"/>
      <c r="H281" s="366"/>
      <c r="I281" s="366"/>
      <c r="J281" s="366"/>
      <c r="K281" s="485"/>
      <c r="L281" s="352"/>
    </row>
    <row r="282" spans="1:12" x14ac:dyDescent="0.25">
      <c r="A282" s="509"/>
      <c r="B282" s="459" t="s">
        <v>21</v>
      </c>
      <c r="C282" s="486" t="s">
        <v>20</v>
      </c>
      <c r="D282" s="494"/>
      <c r="E282" s="353"/>
      <c r="F282" s="353"/>
      <c r="G282" s="493"/>
      <c r="H282" s="366"/>
      <c r="I282" s="366"/>
      <c r="J282" s="366"/>
      <c r="K282" s="485"/>
      <c r="L282" s="352"/>
    </row>
    <row r="283" spans="1:12" x14ac:dyDescent="0.25">
      <c r="A283" s="509"/>
      <c r="B283" s="459"/>
      <c r="C283" s="505" t="s">
        <v>987</v>
      </c>
      <c r="D283" s="422">
        <v>6623</v>
      </c>
      <c r="E283" s="409">
        <v>6623</v>
      </c>
      <c r="F283" s="366"/>
      <c r="G283" s="365"/>
      <c r="H283" s="366">
        <v>6623</v>
      </c>
      <c r="I283" s="366">
        <v>6623</v>
      </c>
      <c r="J283" s="366">
        <v>0</v>
      </c>
      <c r="K283" s="485">
        <v>0</v>
      </c>
      <c r="L283" s="352"/>
    </row>
    <row r="284" spans="1:12" x14ac:dyDescent="0.25">
      <c r="A284" s="509"/>
      <c r="B284" s="459"/>
      <c r="C284" s="436" t="s">
        <v>988</v>
      </c>
      <c r="D284" s="422">
        <v>15000</v>
      </c>
      <c r="E284" s="409">
        <v>15000</v>
      </c>
      <c r="F284" s="409"/>
      <c r="G284" s="408"/>
      <c r="H284" s="366">
        <v>15000</v>
      </c>
      <c r="I284" s="366">
        <v>15000</v>
      </c>
      <c r="J284" s="366">
        <v>0</v>
      </c>
      <c r="K284" s="485">
        <v>0</v>
      </c>
      <c r="L284" s="352"/>
    </row>
    <row r="285" spans="1:12" ht="30" x14ac:dyDescent="0.25">
      <c r="A285" s="509"/>
      <c r="B285" s="459"/>
      <c r="C285" s="436" t="s">
        <v>989</v>
      </c>
      <c r="D285" s="372">
        <v>7000</v>
      </c>
      <c r="E285" s="366">
        <v>7000</v>
      </c>
      <c r="F285" s="366"/>
      <c r="G285" s="365"/>
      <c r="H285" s="366">
        <v>7000</v>
      </c>
      <c r="I285" s="366">
        <v>7000</v>
      </c>
      <c r="J285" s="366">
        <v>0</v>
      </c>
      <c r="K285" s="485">
        <v>0</v>
      </c>
      <c r="L285" s="352"/>
    </row>
    <row r="286" spans="1:12" x14ac:dyDescent="0.25">
      <c r="A286" s="509"/>
      <c r="B286" s="459"/>
      <c r="C286" s="505" t="s">
        <v>990</v>
      </c>
      <c r="D286" s="372">
        <v>2094</v>
      </c>
      <c r="E286" s="366">
        <v>2094</v>
      </c>
      <c r="F286" s="366"/>
      <c r="G286" s="446"/>
      <c r="H286" s="366">
        <v>2094</v>
      </c>
      <c r="I286" s="366">
        <v>2094</v>
      </c>
      <c r="J286" s="366">
        <v>0</v>
      </c>
      <c r="K286" s="485">
        <v>0</v>
      </c>
      <c r="L286" s="352"/>
    </row>
    <row r="287" spans="1:12" x14ac:dyDescent="0.25">
      <c r="A287" s="509"/>
      <c r="B287" s="459"/>
      <c r="C287" s="505" t="s">
        <v>991</v>
      </c>
      <c r="D287" s="372">
        <v>1915</v>
      </c>
      <c r="E287" s="366">
        <v>1915</v>
      </c>
      <c r="F287" s="366"/>
      <c r="G287" s="446"/>
      <c r="H287" s="366">
        <v>1915</v>
      </c>
      <c r="I287" s="366">
        <v>1915</v>
      </c>
      <c r="J287" s="366">
        <v>0</v>
      </c>
      <c r="K287" s="485">
        <v>0</v>
      </c>
      <c r="L287" s="352"/>
    </row>
    <row r="288" spans="1:12" x14ac:dyDescent="0.25">
      <c r="A288" s="509"/>
      <c r="B288" s="459"/>
      <c r="C288" s="505" t="s">
        <v>992</v>
      </c>
      <c r="D288" s="372">
        <v>3000</v>
      </c>
      <c r="E288" s="366">
        <v>3000</v>
      </c>
      <c r="F288" s="366"/>
      <c r="G288" s="446"/>
      <c r="H288" s="366">
        <v>3000</v>
      </c>
      <c r="I288" s="366">
        <v>3000</v>
      </c>
      <c r="J288" s="366">
        <v>0</v>
      </c>
      <c r="K288" s="485">
        <v>0</v>
      </c>
      <c r="L288" s="352"/>
    </row>
    <row r="289" spans="1:12" x14ac:dyDescent="0.25">
      <c r="A289" s="509"/>
      <c r="B289" s="459"/>
      <c r="C289" s="505" t="s">
        <v>1059</v>
      </c>
      <c r="D289" s="372">
        <v>6636</v>
      </c>
      <c r="E289" s="366">
        <v>6636</v>
      </c>
      <c r="F289" s="366"/>
      <c r="G289" s="446"/>
      <c r="H289" s="366">
        <v>6636</v>
      </c>
      <c r="I289" s="366">
        <v>6636</v>
      </c>
      <c r="J289" s="366">
        <v>0</v>
      </c>
      <c r="K289" s="485">
        <v>0</v>
      </c>
      <c r="L289" s="352"/>
    </row>
    <row r="290" spans="1:12" x14ac:dyDescent="0.25">
      <c r="A290" s="509"/>
      <c r="B290" s="459"/>
      <c r="C290" s="505" t="s">
        <v>993</v>
      </c>
      <c r="D290" s="372">
        <v>2000</v>
      </c>
      <c r="E290" s="366">
        <v>2000</v>
      </c>
      <c r="F290" s="366"/>
      <c r="G290" s="446"/>
      <c r="H290" s="366">
        <v>2000</v>
      </c>
      <c r="I290" s="366">
        <v>2000</v>
      </c>
      <c r="J290" s="366">
        <v>0</v>
      </c>
      <c r="K290" s="485">
        <v>0</v>
      </c>
      <c r="L290" s="352"/>
    </row>
    <row r="291" spans="1:12" x14ac:dyDescent="0.25">
      <c r="A291" s="509"/>
      <c r="B291" s="459"/>
      <c r="C291" s="505" t="s">
        <v>994</v>
      </c>
      <c r="D291" s="372">
        <v>8000</v>
      </c>
      <c r="E291" s="366">
        <v>8000</v>
      </c>
      <c r="F291" s="366"/>
      <c r="G291" s="446"/>
      <c r="H291" s="366">
        <v>8000</v>
      </c>
      <c r="I291" s="366">
        <v>8000</v>
      </c>
      <c r="J291" s="366">
        <v>0</v>
      </c>
      <c r="K291" s="485">
        <v>0</v>
      </c>
      <c r="L291" s="352"/>
    </row>
    <row r="292" spans="1:12" x14ac:dyDescent="0.25">
      <c r="A292" s="509"/>
      <c r="B292" s="459"/>
      <c r="C292" s="505" t="s">
        <v>995</v>
      </c>
      <c r="D292" s="372">
        <v>13555</v>
      </c>
      <c r="E292" s="366">
        <v>13555</v>
      </c>
      <c r="F292" s="366"/>
      <c r="G292" s="446"/>
      <c r="H292" s="366">
        <v>13555</v>
      </c>
      <c r="I292" s="366">
        <v>13555</v>
      </c>
      <c r="J292" s="366">
        <v>0</v>
      </c>
      <c r="K292" s="485">
        <v>0</v>
      </c>
      <c r="L292" s="352"/>
    </row>
    <row r="293" spans="1:12" x14ac:dyDescent="0.25">
      <c r="A293" s="509"/>
      <c r="B293" s="459"/>
      <c r="C293" s="505" t="s">
        <v>996</v>
      </c>
      <c r="D293" s="372">
        <v>9931</v>
      </c>
      <c r="E293" s="366">
        <v>9931</v>
      </c>
      <c r="F293" s="366"/>
      <c r="G293" s="446"/>
      <c r="H293" s="366">
        <v>9931</v>
      </c>
      <c r="I293" s="366">
        <v>9931</v>
      </c>
      <c r="J293" s="366">
        <v>0</v>
      </c>
      <c r="K293" s="485">
        <v>0</v>
      </c>
      <c r="L293" s="352"/>
    </row>
    <row r="294" spans="1:12" ht="16.5" customHeight="1" x14ac:dyDescent="0.25">
      <c r="A294" s="509"/>
      <c r="B294" s="459"/>
      <c r="C294" s="505" t="s">
        <v>997</v>
      </c>
      <c r="D294" s="372">
        <v>1088</v>
      </c>
      <c r="E294" s="366">
        <v>1088</v>
      </c>
      <c r="F294" s="366"/>
      <c r="G294" s="446"/>
      <c r="H294" s="366">
        <v>1088</v>
      </c>
      <c r="I294" s="366">
        <v>1088</v>
      </c>
      <c r="J294" s="366">
        <v>0</v>
      </c>
      <c r="K294" s="485">
        <v>0</v>
      </c>
      <c r="L294" s="352"/>
    </row>
    <row r="295" spans="1:12" ht="18.75" customHeight="1" x14ac:dyDescent="0.25">
      <c r="A295" s="509"/>
      <c r="B295" s="459"/>
      <c r="C295" s="505" t="s">
        <v>998</v>
      </c>
      <c r="D295" s="372">
        <v>524</v>
      </c>
      <c r="E295" s="366">
        <v>524</v>
      </c>
      <c r="F295" s="366"/>
      <c r="G295" s="446"/>
      <c r="H295" s="366">
        <v>524</v>
      </c>
      <c r="I295" s="366">
        <v>524</v>
      </c>
      <c r="J295" s="366">
        <v>0</v>
      </c>
      <c r="K295" s="485">
        <v>0</v>
      </c>
      <c r="L295" s="352"/>
    </row>
    <row r="296" spans="1:12" ht="30" x14ac:dyDescent="0.25">
      <c r="A296" s="509"/>
      <c r="B296" s="459"/>
      <c r="C296" s="505" t="s">
        <v>999</v>
      </c>
      <c r="D296" s="372">
        <v>93887</v>
      </c>
      <c r="E296" s="366">
        <v>93887</v>
      </c>
      <c r="F296" s="366"/>
      <c r="G296" s="446"/>
      <c r="H296" s="366">
        <v>93887</v>
      </c>
      <c r="I296" s="366">
        <v>93887</v>
      </c>
      <c r="J296" s="366">
        <v>0</v>
      </c>
      <c r="K296" s="485">
        <v>0</v>
      </c>
      <c r="L296" s="352"/>
    </row>
    <row r="297" spans="1:12" x14ac:dyDescent="0.25">
      <c r="A297" s="509"/>
      <c r="B297" s="459"/>
      <c r="C297" s="505" t="s">
        <v>1060</v>
      </c>
      <c r="D297" s="372">
        <v>59066</v>
      </c>
      <c r="E297" s="366">
        <v>59066</v>
      </c>
      <c r="F297" s="366"/>
      <c r="G297" s="446"/>
      <c r="H297" s="366">
        <v>59066</v>
      </c>
      <c r="I297" s="366">
        <v>59066</v>
      </c>
      <c r="J297" s="366">
        <v>0</v>
      </c>
      <c r="K297" s="485">
        <v>0</v>
      </c>
      <c r="L297" s="352"/>
    </row>
    <row r="298" spans="1:12" x14ac:dyDescent="0.25">
      <c r="A298" s="509"/>
      <c r="B298" s="459"/>
      <c r="C298" s="505" t="s">
        <v>1135</v>
      </c>
      <c r="D298" s="372"/>
      <c r="E298" s="366"/>
      <c r="F298" s="366"/>
      <c r="G298" s="446"/>
      <c r="H298" s="366">
        <v>660</v>
      </c>
      <c r="I298" s="366">
        <v>660</v>
      </c>
      <c r="J298" s="366">
        <v>0</v>
      </c>
      <c r="K298" s="485">
        <v>0</v>
      </c>
      <c r="L298" s="352"/>
    </row>
    <row r="299" spans="1:12" x14ac:dyDescent="0.25">
      <c r="A299" s="509"/>
      <c r="B299" s="459"/>
      <c r="C299" s="505"/>
      <c r="D299" s="372"/>
      <c r="E299" s="366"/>
      <c r="F299" s="366"/>
      <c r="G299" s="446"/>
      <c r="H299" s="366"/>
      <c r="I299" s="366"/>
      <c r="J299" s="366"/>
      <c r="K299" s="485"/>
      <c r="L299" s="352"/>
    </row>
    <row r="300" spans="1:12" x14ac:dyDescent="0.25">
      <c r="A300" s="509"/>
      <c r="B300" s="459"/>
      <c r="C300" s="490" t="s">
        <v>39</v>
      </c>
      <c r="D300" s="502">
        <f>SUM(D283:D299)</f>
        <v>230319</v>
      </c>
      <c r="E300" s="444">
        <f>SUM(E283:E299)</f>
        <v>230319</v>
      </c>
      <c r="F300" s="444">
        <f>SUM(F283:F299)</f>
        <v>0</v>
      </c>
      <c r="G300" s="501">
        <f>SUM(G283:G299)</f>
        <v>0</v>
      </c>
      <c r="H300" s="445">
        <v>230979</v>
      </c>
      <c r="I300" s="444">
        <v>230979</v>
      </c>
      <c r="J300" s="444">
        <v>0</v>
      </c>
      <c r="K300" s="443">
        <v>0</v>
      </c>
      <c r="L300" s="352"/>
    </row>
    <row r="301" spans="1:12" x14ac:dyDescent="0.25">
      <c r="A301" s="509"/>
      <c r="B301" s="495"/>
      <c r="C301" s="490"/>
      <c r="D301" s="494"/>
      <c r="E301" s="353"/>
      <c r="F301" s="353"/>
      <c r="G301" s="493"/>
      <c r="H301" s="366"/>
      <c r="I301" s="366"/>
      <c r="J301" s="366"/>
      <c r="K301" s="485"/>
      <c r="L301" s="352"/>
    </row>
    <row r="302" spans="1:12" x14ac:dyDescent="0.25">
      <c r="A302" s="509"/>
      <c r="B302" s="459" t="s">
        <v>29</v>
      </c>
      <c r="C302" s="486" t="s">
        <v>52</v>
      </c>
      <c r="D302" s="494"/>
      <c r="E302" s="353"/>
      <c r="F302" s="353"/>
      <c r="G302" s="493"/>
      <c r="H302" s="366"/>
      <c r="I302" s="366"/>
      <c r="J302" s="366"/>
      <c r="K302" s="485"/>
      <c r="L302" s="352"/>
    </row>
    <row r="303" spans="1:12" x14ac:dyDescent="0.25">
      <c r="A303" s="509"/>
      <c r="B303" s="459"/>
      <c r="C303" s="486" t="s">
        <v>80</v>
      </c>
      <c r="D303" s="494"/>
      <c r="E303" s="353"/>
      <c r="F303" s="353"/>
      <c r="G303" s="493"/>
      <c r="H303" s="366"/>
      <c r="I303" s="366"/>
      <c r="J303" s="366"/>
      <c r="K303" s="485"/>
      <c r="L303" s="352"/>
    </row>
    <row r="304" spans="1:12" x14ac:dyDescent="0.25">
      <c r="A304" s="509"/>
      <c r="B304" s="459"/>
      <c r="C304" s="486" t="s">
        <v>1134</v>
      </c>
      <c r="D304" s="508"/>
      <c r="E304" s="353"/>
      <c r="F304" s="353"/>
      <c r="G304" s="507"/>
      <c r="H304" s="506">
        <v>500</v>
      </c>
      <c r="I304" s="366">
        <v>0</v>
      </c>
      <c r="J304" s="366">
        <v>500</v>
      </c>
      <c r="K304" s="485">
        <v>0</v>
      </c>
      <c r="L304" s="352"/>
    </row>
    <row r="305" spans="1:12" x14ac:dyDescent="0.25">
      <c r="A305" s="509"/>
      <c r="B305" s="459"/>
      <c r="C305" s="486"/>
      <c r="D305" s="508"/>
      <c r="E305" s="353"/>
      <c r="F305" s="353"/>
      <c r="G305" s="507"/>
      <c r="H305" s="506"/>
      <c r="I305" s="366"/>
      <c r="J305" s="366"/>
      <c r="K305" s="485"/>
      <c r="L305" s="352"/>
    </row>
    <row r="306" spans="1:12" x14ac:dyDescent="0.25">
      <c r="A306" s="369"/>
      <c r="B306" s="459"/>
      <c r="C306" s="504" t="s">
        <v>24</v>
      </c>
      <c r="D306" s="445">
        <f>SUM(D304)</f>
        <v>0</v>
      </c>
      <c r="E306" s="444">
        <f>SUM(E304)</f>
        <v>0</v>
      </c>
      <c r="F306" s="444">
        <f>SUM(F304)</f>
        <v>0</v>
      </c>
      <c r="G306" s="443">
        <f>SUM(G304)</f>
        <v>0</v>
      </c>
      <c r="H306" s="445">
        <v>500</v>
      </c>
      <c r="I306" s="444">
        <v>0</v>
      </c>
      <c r="J306" s="444">
        <v>500</v>
      </c>
      <c r="K306" s="443">
        <v>0</v>
      </c>
      <c r="L306" s="352"/>
    </row>
    <row r="307" spans="1:12" x14ac:dyDescent="0.25">
      <c r="A307" s="369"/>
      <c r="B307" s="459"/>
      <c r="C307" s="504"/>
      <c r="D307" s="378"/>
      <c r="E307" s="377"/>
      <c r="F307" s="377"/>
      <c r="G307" s="376"/>
      <c r="H307" s="366"/>
      <c r="I307" s="366"/>
      <c r="J307" s="366"/>
      <c r="K307" s="485"/>
      <c r="L307" s="352"/>
    </row>
    <row r="308" spans="1:12" x14ac:dyDescent="0.25">
      <c r="A308" s="386"/>
      <c r="B308" s="503"/>
      <c r="C308" s="486" t="s">
        <v>81</v>
      </c>
      <c r="D308" s="367"/>
      <c r="E308" s="366"/>
      <c r="F308" s="366"/>
      <c r="G308" s="365"/>
      <c r="H308" s="366"/>
      <c r="I308" s="366"/>
      <c r="J308" s="366"/>
      <c r="K308" s="485"/>
      <c r="L308" s="352"/>
    </row>
    <row r="309" spans="1:12" ht="30" x14ac:dyDescent="0.25">
      <c r="A309" s="369"/>
      <c r="B309" s="503"/>
      <c r="C309" s="505" t="s">
        <v>1000</v>
      </c>
      <c r="D309" s="372">
        <v>8203</v>
      </c>
      <c r="E309" s="366">
        <v>8203</v>
      </c>
      <c r="F309" s="366"/>
      <c r="G309" s="446"/>
      <c r="H309" s="366">
        <v>8203</v>
      </c>
      <c r="I309" s="366">
        <v>8203</v>
      </c>
      <c r="J309" s="366">
        <v>0</v>
      </c>
      <c r="K309" s="485">
        <v>0</v>
      </c>
      <c r="L309" s="352"/>
    </row>
    <row r="310" spans="1:12" x14ac:dyDescent="0.25">
      <c r="A310" s="369"/>
      <c r="B310" s="503"/>
      <c r="C310" s="505" t="s">
        <v>1103</v>
      </c>
      <c r="D310" s="372">
        <v>22860</v>
      </c>
      <c r="E310" s="366">
        <v>22860</v>
      </c>
      <c r="F310" s="366"/>
      <c r="G310" s="446"/>
      <c r="H310" s="366">
        <v>22860</v>
      </c>
      <c r="I310" s="366">
        <v>22860</v>
      </c>
      <c r="J310" s="366">
        <v>0</v>
      </c>
      <c r="K310" s="485">
        <v>0</v>
      </c>
      <c r="L310" s="352"/>
    </row>
    <row r="311" spans="1:12" x14ac:dyDescent="0.25">
      <c r="A311" s="369"/>
      <c r="B311" s="503"/>
      <c r="C311" s="505"/>
      <c r="D311" s="372"/>
      <c r="E311" s="366"/>
      <c r="F311" s="366"/>
      <c r="G311" s="446"/>
      <c r="H311" s="366"/>
      <c r="I311" s="366"/>
      <c r="J311" s="366"/>
      <c r="K311" s="485"/>
      <c r="L311" s="352"/>
    </row>
    <row r="312" spans="1:12" x14ac:dyDescent="0.25">
      <c r="A312" s="369"/>
      <c r="B312" s="503"/>
      <c r="C312" s="504" t="s">
        <v>24</v>
      </c>
      <c r="D312" s="502">
        <f>SUM(D309:D311)</f>
        <v>31063</v>
      </c>
      <c r="E312" s="444">
        <f>SUM(E309:E311)</f>
        <v>31063</v>
      </c>
      <c r="F312" s="444">
        <f>SUM(F309:F311)</f>
        <v>0</v>
      </c>
      <c r="G312" s="501">
        <f>SUM(G309:G311)</f>
        <v>0</v>
      </c>
      <c r="H312" s="445">
        <v>31063</v>
      </c>
      <c r="I312" s="444">
        <v>31063</v>
      </c>
      <c r="J312" s="444">
        <v>0</v>
      </c>
      <c r="K312" s="443">
        <v>0</v>
      </c>
      <c r="L312" s="352"/>
    </row>
    <row r="313" spans="1:12" x14ac:dyDescent="0.25">
      <c r="A313" s="369"/>
      <c r="B313" s="503"/>
      <c r="C313" s="504"/>
      <c r="D313" s="378"/>
      <c r="E313" s="377"/>
      <c r="F313" s="377"/>
      <c r="G313" s="376"/>
      <c r="H313" s="366"/>
      <c r="I313" s="366"/>
      <c r="J313" s="366"/>
      <c r="K313" s="485"/>
      <c r="L313" s="352"/>
    </row>
    <row r="314" spans="1:12" x14ac:dyDescent="0.25">
      <c r="A314" s="369"/>
      <c r="B314" s="503"/>
      <c r="C314" s="486" t="s">
        <v>67</v>
      </c>
      <c r="D314" s="378"/>
      <c r="E314" s="377"/>
      <c r="F314" s="377"/>
      <c r="G314" s="376"/>
      <c r="H314" s="366"/>
      <c r="I314" s="366"/>
      <c r="J314" s="366"/>
      <c r="K314" s="485"/>
      <c r="L314" s="352"/>
    </row>
    <row r="315" spans="1:12" x14ac:dyDescent="0.25">
      <c r="A315" s="369"/>
      <c r="B315" s="503"/>
      <c r="C315" s="505" t="s">
        <v>1061</v>
      </c>
      <c r="D315" s="422">
        <v>1000</v>
      </c>
      <c r="E315" s="409">
        <v>1000</v>
      </c>
      <c r="F315" s="409"/>
      <c r="G315" s="442"/>
      <c r="H315" s="366">
        <v>1000</v>
      </c>
      <c r="I315" s="366">
        <v>1000</v>
      </c>
      <c r="J315" s="366">
        <v>0</v>
      </c>
      <c r="K315" s="485">
        <v>0</v>
      </c>
      <c r="L315" s="352"/>
    </row>
    <row r="316" spans="1:12" ht="30" x14ac:dyDescent="0.25">
      <c r="A316" s="369"/>
      <c r="B316" s="503"/>
      <c r="C316" s="505" t="s">
        <v>1062</v>
      </c>
      <c r="D316" s="422">
        <v>2000</v>
      </c>
      <c r="E316" s="409">
        <v>2000</v>
      </c>
      <c r="F316" s="409"/>
      <c r="G316" s="442"/>
      <c r="H316" s="366">
        <v>2000</v>
      </c>
      <c r="I316" s="366">
        <v>2000</v>
      </c>
      <c r="J316" s="366">
        <v>0</v>
      </c>
      <c r="K316" s="485">
        <v>0</v>
      </c>
      <c r="L316" s="352"/>
    </row>
    <row r="317" spans="1:12" x14ac:dyDescent="0.25">
      <c r="A317" s="369"/>
      <c r="B317" s="503"/>
      <c r="C317" s="505" t="s">
        <v>1063</v>
      </c>
      <c r="D317" s="422">
        <v>3000</v>
      </c>
      <c r="E317" s="409">
        <v>3000</v>
      </c>
      <c r="F317" s="409"/>
      <c r="G317" s="442"/>
      <c r="H317" s="366">
        <v>3000</v>
      </c>
      <c r="I317" s="366">
        <v>3000</v>
      </c>
      <c r="J317" s="366">
        <v>0</v>
      </c>
      <c r="K317" s="485">
        <v>0</v>
      </c>
      <c r="L317" s="352"/>
    </row>
    <row r="318" spans="1:12" x14ac:dyDescent="0.25">
      <c r="A318" s="369"/>
      <c r="B318" s="503"/>
      <c r="C318" s="505" t="s">
        <v>1064</v>
      </c>
      <c r="D318" s="422">
        <v>30000</v>
      </c>
      <c r="E318" s="409">
        <v>30000</v>
      </c>
      <c r="F318" s="409"/>
      <c r="G318" s="442"/>
      <c r="H318" s="366">
        <v>30000</v>
      </c>
      <c r="I318" s="366">
        <v>30000</v>
      </c>
      <c r="J318" s="366">
        <v>0</v>
      </c>
      <c r="K318" s="485">
        <v>0</v>
      </c>
      <c r="L318" s="352"/>
    </row>
    <row r="319" spans="1:12" ht="30" x14ac:dyDescent="0.25">
      <c r="A319" s="369"/>
      <c r="B319" s="503"/>
      <c r="C319" s="505" t="s">
        <v>1065</v>
      </c>
      <c r="D319" s="422">
        <v>5000</v>
      </c>
      <c r="E319" s="409">
        <v>5000</v>
      </c>
      <c r="F319" s="409"/>
      <c r="G319" s="442"/>
      <c r="H319" s="366">
        <v>5000</v>
      </c>
      <c r="I319" s="366">
        <v>5000</v>
      </c>
      <c r="J319" s="366">
        <v>0</v>
      </c>
      <c r="K319" s="485">
        <v>0</v>
      </c>
      <c r="L319" s="352"/>
    </row>
    <row r="320" spans="1:12" x14ac:dyDescent="0.25">
      <c r="A320" s="369"/>
      <c r="B320" s="503"/>
      <c r="C320" s="505"/>
      <c r="D320" s="422"/>
      <c r="E320" s="409"/>
      <c r="F320" s="409"/>
      <c r="G320" s="442"/>
      <c r="H320" s="366"/>
      <c r="I320" s="366"/>
      <c r="J320" s="366"/>
      <c r="K320" s="485"/>
      <c r="L320" s="352"/>
    </row>
    <row r="321" spans="1:12" x14ac:dyDescent="0.25">
      <c r="A321" s="369"/>
      <c r="B321" s="503"/>
      <c r="C321" s="504" t="s">
        <v>24</v>
      </c>
      <c r="D321" s="502">
        <f>SUM(D315:D320)</f>
        <v>41000</v>
      </c>
      <c r="E321" s="444">
        <f>SUM(E315:E320)</f>
        <v>41000</v>
      </c>
      <c r="F321" s="444">
        <f>SUM(F315:F320)</f>
        <v>0</v>
      </c>
      <c r="G321" s="501">
        <f>SUM(G315:G320)</f>
        <v>0</v>
      </c>
      <c r="H321" s="445">
        <v>41000</v>
      </c>
      <c r="I321" s="444">
        <v>41000</v>
      </c>
      <c r="J321" s="444">
        <v>0</v>
      </c>
      <c r="K321" s="443">
        <v>0</v>
      </c>
      <c r="L321" s="352"/>
    </row>
    <row r="322" spans="1:12" x14ac:dyDescent="0.25">
      <c r="A322" s="369"/>
      <c r="B322" s="503"/>
      <c r="C322" s="504"/>
      <c r="D322" s="382"/>
      <c r="E322" s="377"/>
      <c r="F322" s="377"/>
      <c r="G322" s="447"/>
      <c r="H322" s="366"/>
      <c r="I322" s="366"/>
      <c r="J322" s="366"/>
      <c r="K322" s="485"/>
      <c r="L322" s="352"/>
    </row>
    <row r="323" spans="1:12" x14ac:dyDescent="0.25">
      <c r="A323" s="369"/>
      <c r="B323" s="503"/>
      <c r="C323" s="490" t="s">
        <v>40</v>
      </c>
      <c r="D323" s="502">
        <f>D306+D312+D321</f>
        <v>72063</v>
      </c>
      <c r="E323" s="444">
        <f>E306+E312+E321</f>
        <v>72063</v>
      </c>
      <c r="F323" s="444">
        <f>F306+F312+F321</f>
        <v>0</v>
      </c>
      <c r="G323" s="501">
        <f>G306+G312+G321</f>
        <v>0</v>
      </c>
      <c r="H323" s="445">
        <v>72563</v>
      </c>
      <c r="I323" s="444">
        <v>72063</v>
      </c>
      <c r="J323" s="444">
        <v>500</v>
      </c>
      <c r="K323" s="444">
        <v>0</v>
      </c>
      <c r="L323" s="352"/>
    </row>
    <row r="324" spans="1:12" x14ac:dyDescent="0.25">
      <c r="A324" s="369"/>
      <c r="B324" s="459"/>
      <c r="C324" s="490"/>
      <c r="D324" s="437"/>
      <c r="E324" s="500"/>
      <c r="F324" s="500"/>
      <c r="G324" s="499"/>
      <c r="H324" s="366"/>
      <c r="I324" s="366"/>
      <c r="J324" s="366"/>
      <c r="K324" s="485"/>
      <c r="L324" s="352"/>
    </row>
    <row r="325" spans="1:12" x14ac:dyDescent="0.25">
      <c r="A325" s="369"/>
      <c r="B325" s="459"/>
      <c r="C325" s="498" t="s">
        <v>701</v>
      </c>
      <c r="D325" s="390">
        <f>D83+D98+D175+D197+D251+D280+D300+D323</f>
        <v>2323422</v>
      </c>
      <c r="E325" s="389">
        <f>E83+E98+E175+E197+E251+E280+E300+E323</f>
        <v>2021054</v>
      </c>
      <c r="F325" s="389">
        <f>F83+F98+F175+F197+F251+F280+F300+F323</f>
        <v>274986</v>
      </c>
      <c r="G325" s="388">
        <f>G83+G98+G175+G197+G251+G280+G300+G323</f>
        <v>27382</v>
      </c>
      <c r="H325" s="390">
        <v>2385981</v>
      </c>
      <c r="I325" s="389">
        <v>2129601</v>
      </c>
      <c r="J325" s="389">
        <v>228998</v>
      </c>
      <c r="K325" s="388">
        <v>27382</v>
      </c>
      <c r="L325" s="352"/>
    </row>
    <row r="326" spans="1:12" x14ac:dyDescent="0.25">
      <c r="A326" s="369"/>
      <c r="B326" s="497"/>
      <c r="C326" s="496"/>
      <c r="D326" s="494"/>
      <c r="E326" s="353"/>
      <c r="F326" s="353"/>
      <c r="G326" s="493"/>
      <c r="H326" s="366"/>
      <c r="I326" s="366"/>
      <c r="J326" s="366"/>
      <c r="K326" s="485"/>
      <c r="L326" s="352"/>
    </row>
    <row r="327" spans="1:12" x14ac:dyDescent="0.25">
      <c r="A327" s="369"/>
      <c r="B327" s="459" t="s">
        <v>66</v>
      </c>
      <c r="C327" s="486" t="s">
        <v>87</v>
      </c>
      <c r="D327" s="494"/>
      <c r="E327" s="353"/>
      <c r="F327" s="353"/>
      <c r="G327" s="493"/>
      <c r="H327" s="366"/>
      <c r="I327" s="366"/>
      <c r="J327" s="366"/>
      <c r="K327" s="485"/>
      <c r="L327" s="352"/>
    </row>
    <row r="328" spans="1:12" x14ac:dyDescent="0.25">
      <c r="A328" s="369"/>
      <c r="B328" s="495"/>
      <c r="C328" s="486" t="s">
        <v>88</v>
      </c>
      <c r="D328" s="494"/>
      <c r="E328" s="353"/>
      <c r="F328" s="353"/>
      <c r="G328" s="493"/>
      <c r="H328" s="366"/>
      <c r="I328" s="366"/>
      <c r="J328" s="366"/>
      <c r="K328" s="485"/>
      <c r="L328" s="352"/>
    </row>
    <row r="329" spans="1:12" x14ac:dyDescent="0.25">
      <c r="A329" s="369"/>
      <c r="B329" s="459"/>
      <c r="C329" s="370" t="s">
        <v>84</v>
      </c>
      <c r="D329" s="367"/>
      <c r="E329" s="366"/>
      <c r="F329" s="366"/>
      <c r="G329" s="365"/>
      <c r="H329" s="366"/>
      <c r="I329" s="366"/>
      <c r="J329" s="366"/>
      <c r="K329" s="485"/>
      <c r="L329" s="352"/>
    </row>
    <row r="330" spans="1:12" x14ac:dyDescent="0.25">
      <c r="A330" s="369"/>
      <c r="B330" s="459"/>
      <c r="C330" s="370" t="s">
        <v>85</v>
      </c>
      <c r="D330" s="367">
        <v>47057</v>
      </c>
      <c r="E330" s="366">
        <v>47057</v>
      </c>
      <c r="F330" s="366"/>
      <c r="G330" s="365"/>
      <c r="H330" s="366">
        <v>47057</v>
      </c>
      <c r="I330" s="366">
        <v>47057</v>
      </c>
      <c r="J330" s="366">
        <v>0</v>
      </c>
      <c r="K330" s="485">
        <v>0</v>
      </c>
      <c r="L330" s="352"/>
    </row>
    <row r="331" spans="1:12" x14ac:dyDescent="0.25">
      <c r="A331" s="369"/>
      <c r="B331" s="459"/>
      <c r="C331" s="370" t="s">
        <v>86</v>
      </c>
      <c r="D331" s="367">
        <v>0</v>
      </c>
      <c r="E331" s="366">
        <v>0</v>
      </c>
      <c r="F331" s="366"/>
      <c r="G331" s="365"/>
      <c r="H331" s="366">
        <v>379077</v>
      </c>
      <c r="I331" s="366">
        <v>379077</v>
      </c>
      <c r="J331" s="366">
        <v>0</v>
      </c>
      <c r="K331" s="485">
        <v>0</v>
      </c>
      <c r="L331" s="352"/>
    </row>
    <row r="332" spans="1:12" x14ac:dyDescent="0.25">
      <c r="A332" s="369"/>
      <c r="B332" s="459"/>
      <c r="C332" s="490" t="s">
        <v>24</v>
      </c>
      <c r="D332" s="489">
        <f>SUM(D329:D331)</f>
        <v>47057</v>
      </c>
      <c r="E332" s="488">
        <f>SUM(E329:E331)</f>
        <v>47057</v>
      </c>
      <c r="F332" s="488">
        <f>SUM(F329:F331)</f>
        <v>0</v>
      </c>
      <c r="G332" s="487">
        <f>SUM(G329:G331)</f>
        <v>0</v>
      </c>
      <c r="H332" s="492">
        <v>426134</v>
      </c>
      <c r="I332" s="488">
        <v>426134</v>
      </c>
      <c r="J332" s="488">
        <v>0</v>
      </c>
      <c r="K332" s="491">
        <v>0</v>
      </c>
      <c r="L332" s="352"/>
    </row>
    <row r="333" spans="1:12" x14ac:dyDescent="0.25">
      <c r="A333" s="369"/>
      <c r="B333" s="459"/>
      <c r="C333" s="490"/>
      <c r="D333" s="489"/>
      <c r="E333" s="488"/>
      <c r="F333" s="488"/>
      <c r="G333" s="487"/>
      <c r="H333" s="366"/>
      <c r="I333" s="366"/>
      <c r="J333" s="366"/>
      <c r="K333" s="485"/>
      <c r="L333" s="352"/>
    </row>
    <row r="334" spans="1:12" x14ac:dyDescent="0.25">
      <c r="A334" s="369"/>
      <c r="B334" s="459"/>
      <c r="C334" s="370" t="s">
        <v>89</v>
      </c>
      <c r="D334" s="372">
        <v>41705</v>
      </c>
      <c r="E334" s="366">
        <v>41705</v>
      </c>
      <c r="F334" s="350"/>
      <c r="G334" s="368"/>
      <c r="H334" s="366">
        <v>41705</v>
      </c>
      <c r="I334" s="366">
        <v>41705</v>
      </c>
      <c r="J334" s="366">
        <v>0</v>
      </c>
      <c r="K334" s="485">
        <v>0</v>
      </c>
      <c r="L334" s="352"/>
    </row>
    <row r="335" spans="1:12" x14ac:dyDescent="0.25">
      <c r="A335" s="369"/>
      <c r="B335" s="368"/>
      <c r="C335" s="486"/>
      <c r="D335" s="369"/>
      <c r="E335" s="350"/>
      <c r="F335" s="350"/>
      <c r="G335" s="368"/>
      <c r="H335" s="366"/>
      <c r="I335" s="366"/>
      <c r="J335" s="366"/>
      <c r="K335" s="485"/>
      <c r="L335" s="352"/>
    </row>
    <row r="336" spans="1:12" ht="17.25" thickBot="1" x14ac:dyDescent="0.3">
      <c r="A336" s="364"/>
      <c r="B336" s="484"/>
      <c r="C336" s="483" t="s">
        <v>17</v>
      </c>
      <c r="D336" s="361">
        <f>SUM(D55,D67,D332,D325)+D334</f>
        <v>3584768</v>
      </c>
      <c r="E336" s="389">
        <f>SUM(E55,E67,E332,E325)+E334</f>
        <v>3282400</v>
      </c>
      <c r="F336" s="389">
        <f>SUM(F55,F67,F332,F325)+F334</f>
        <v>274986</v>
      </c>
      <c r="G336" s="482">
        <f>SUM(G55,G67,G332,G325)+G334</f>
        <v>27382</v>
      </c>
      <c r="H336" s="360">
        <v>3970289</v>
      </c>
      <c r="I336" s="359">
        <v>3713909</v>
      </c>
      <c r="J336" s="359">
        <v>228998</v>
      </c>
      <c r="K336" s="358">
        <v>27382</v>
      </c>
      <c r="L336" s="352"/>
    </row>
    <row r="337" spans="1:11" x14ac:dyDescent="0.25">
      <c r="A337" s="481"/>
      <c r="B337" s="355"/>
      <c r="E337" s="354"/>
      <c r="F337" s="354"/>
      <c r="H337" s="350"/>
      <c r="I337" s="350"/>
      <c r="J337" s="350"/>
      <c r="K337" s="350"/>
    </row>
    <row r="338" spans="1:11" x14ac:dyDescent="0.25">
      <c r="H338" s="350"/>
      <c r="I338" s="350"/>
      <c r="J338" s="350"/>
      <c r="K338" s="350"/>
    </row>
    <row r="339" spans="1:11" x14ac:dyDescent="0.25">
      <c r="D339" s="353"/>
      <c r="H339" s="350"/>
      <c r="I339" s="350"/>
      <c r="J339" s="350"/>
      <c r="K339" s="350"/>
    </row>
    <row r="340" spans="1:11" x14ac:dyDescent="0.25">
      <c r="H340" s="350"/>
      <c r="I340" s="350"/>
      <c r="J340" s="350"/>
      <c r="K340" s="350"/>
    </row>
    <row r="341" spans="1:11" x14ac:dyDescent="0.25">
      <c r="H341" s="350"/>
      <c r="I341" s="350"/>
      <c r="J341" s="350"/>
      <c r="K341" s="350"/>
    </row>
    <row r="342" spans="1:11" x14ac:dyDescent="0.25">
      <c r="H342" s="350"/>
      <c r="I342" s="350"/>
      <c r="J342" s="350"/>
      <c r="K342" s="350"/>
    </row>
    <row r="343" spans="1:11" x14ac:dyDescent="0.25">
      <c r="H343" s="350"/>
      <c r="I343" s="350"/>
      <c r="J343" s="350"/>
      <c r="K343" s="350"/>
    </row>
    <row r="344" spans="1:11" x14ac:dyDescent="0.25">
      <c r="H344" s="350"/>
      <c r="I344" s="350"/>
      <c r="J344" s="350"/>
      <c r="K344" s="350"/>
    </row>
    <row r="345" spans="1:11" x14ac:dyDescent="0.25">
      <c r="H345" s="350"/>
      <c r="I345" s="350"/>
      <c r="J345" s="350"/>
      <c r="K345" s="350"/>
    </row>
    <row r="346" spans="1:11" x14ac:dyDescent="0.25">
      <c r="H346" s="350"/>
      <c r="I346" s="350"/>
      <c r="J346" s="350"/>
      <c r="K346" s="350"/>
    </row>
    <row r="347" spans="1:11" x14ac:dyDescent="0.25">
      <c r="H347" s="350"/>
      <c r="I347" s="350"/>
      <c r="J347" s="350"/>
      <c r="K347" s="350"/>
    </row>
    <row r="348" spans="1:11" x14ac:dyDescent="0.25">
      <c r="H348" s="350"/>
      <c r="I348" s="350"/>
      <c r="J348" s="350"/>
      <c r="K348" s="350"/>
    </row>
    <row r="349" spans="1:11" x14ac:dyDescent="0.25">
      <c r="H349" s="350"/>
      <c r="I349" s="350"/>
      <c r="J349" s="350"/>
      <c r="K349" s="350"/>
    </row>
    <row r="350" spans="1:11" x14ac:dyDescent="0.25">
      <c r="H350" s="350"/>
      <c r="I350" s="350"/>
      <c r="J350" s="350"/>
      <c r="K350" s="350"/>
    </row>
    <row r="351" spans="1:11" x14ac:dyDescent="0.25">
      <c r="H351" s="350"/>
      <c r="I351" s="350"/>
      <c r="J351" s="350"/>
      <c r="K351" s="350"/>
    </row>
    <row r="352" spans="1:11" x14ac:dyDescent="0.25">
      <c r="H352" s="350"/>
      <c r="I352" s="350"/>
      <c r="J352" s="350"/>
      <c r="K352" s="350"/>
    </row>
    <row r="353" spans="8:11" x14ac:dyDescent="0.25">
      <c r="H353" s="350"/>
      <c r="I353" s="350"/>
      <c r="J353" s="350"/>
      <c r="K353" s="350"/>
    </row>
    <row r="354" spans="8:11" x14ac:dyDescent="0.25">
      <c r="H354" s="350"/>
      <c r="I354" s="350"/>
      <c r="J354" s="350"/>
      <c r="K354" s="350"/>
    </row>
    <row r="355" spans="8:11" x14ac:dyDescent="0.25">
      <c r="H355" s="350"/>
      <c r="I355" s="350"/>
      <c r="J355" s="350"/>
      <c r="K355" s="350"/>
    </row>
    <row r="356" spans="8:11" x14ac:dyDescent="0.25">
      <c r="H356" s="350"/>
      <c r="I356" s="350"/>
      <c r="J356" s="350"/>
      <c r="K356" s="350"/>
    </row>
    <row r="357" spans="8:11" x14ac:dyDescent="0.25">
      <c r="H357" s="350"/>
      <c r="I357" s="350"/>
      <c r="J357" s="350"/>
      <c r="K357" s="350"/>
    </row>
    <row r="358" spans="8:11" x14ac:dyDescent="0.25">
      <c r="H358" s="350"/>
      <c r="I358" s="350"/>
      <c r="J358" s="350"/>
      <c r="K358" s="350"/>
    </row>
    <row r="359" spans="8:11" x14ac:dyDescent="0.25">
      <c r="H359" s="350"/>
      <c r="I359" s="350"/>
      <c r="J359" s="350"/>
      <c r="K359" s="350"/>
    </row>
    <row r="360" spans="8:11" x14ac:dyDescent="0.25">
      <c r="H360" s="350"/>
      <c r="I360" s="350"/>
      <c r="J360" s="350"/>
      <c r="K360" s="350"/>
    </row>
    <row r="361" spans="8:11" x14ac:dyDescent="0.25">
      <c r="H361" s="350"/>
      <c r="I361" s="350"/>
      <c r="J361" s="350"/>
      <c r="K361" s="350"/>
    </row>
    <row r="362" spans="8:11" x14ac:dyDescent="0.25">
      <c r="H362" s="350"/>
      <c r="I362" s="350"/>
      <c r="J362" s="350"/>
      <c r="K362" s="350"/>
    </row>
    <row r="363" spans="8:11" x14ac:dyDescent="0.25">
      <c r="H363" s="350"/>
      <c r="I363" s="350"/>
      <c r="J363" s="350"/>
      <c r="K363" s="350"/>
    </row>
    <row r="364" spans="8:11" x14ac:dyDescent="0.25">
      <c r="H364" s="350"/>
      <c r="I364" s="350"/>
      <c r="J364" s="350"/>
      <c r="K364" s="350"/>
    </row>
    <row r="365" spans="8:11" x14ac:dyDescent="0.25">
      <c r="H365" s="350"/>
      <c r="I365" s="350"/>
      <c r="J365" s="350"/>
      <c r="K365" s="350"/>
    </row>
    <row r="366" spans="8:11" x14ac:dyDescent="0.25">
      <c r="H366" s="350"/>
      <c r="I366" s="350"/>
      <c r="J366" s="350"/>
      <c r="K366" s="350"/>
    </row>
    <row r="367" spans="8:11" x14ac:dyDescent="0.25">
      <c r="H367" s="350"/>
      <c r="I367" s="350"/>
      <c r="J367" s="350"/>
      <c r="K367" s="350"/>
    </row>
    <row r="368" spans="8:11" x14ac:dyDescent="0.25">
      <c r="H368" s="350"/>
      <c r="I368" s="350"/>
      <c r="J368" s="350"/>
      <c r="K368" s="350"/>
    </row>
    <row r="369" spans="8:11" x14ac:dyDescent="0.25">
      <c r="H369" s="350"/>
      <c r="I369" s="350"/>
      <c r="J369" s="350"/>
      <c r="K369" s="350"/>
    </row>
    <row r="370" spans="8:11" x14ac:dyDescent="0.25">
      <c r="H370" s="350"/>
      <c r="I370" s="350"/>
      <c r="J370" s="350"/>
      <c r="K370" s="350"/>
    </row>
    <row r="371" spans="8:11" x14ac:dyDescent="0.25">
      <c r="H371" s="350"/>
      <c r="I371" s="350"/>
      <c r="J371" s="350"/>
      <c r="K371" s="350"/>
    </row>
    <row r="372" spans="8:11" x14ac:dyDescent="0.25">
      <c r="H372" s="350"/>
      <c r="I372" s="350"/>
      <c r="J372" s="350"/>
      <c r="K372" s="350"/>
    </row>
    <row r="373" spans="8:11" x14ac:dyDescent="0.25">
      <c r="H373" s="350"/>
      <c r="I373" s="350"/>
      <c r="J373" s="350"/>
      <c r="K373" s="350"/>
    </row>
    <row r="374" spans="8:11" x14ac:dyDescent="0.25">
      <c r="H374" s="350"/>
      <c r="I374" s="350"/>
      <c r="J374" s="350"/>
      <c r="K374" s="350"/>
    </row>
    <row r="375" spans="8:11" x14ac:dyDescent="0.25">
      <c r="H375" s="350"/>
      <c r="I375" s="350"/>
      <c r="J375" s="350"/>
      <c r="K375" s="350"/>
    </row>
    <row r="376" spans="8:11" x14ac:dyDescent="0.25">
      <c r="H376" s="350"/>
      <c r="I376" s="350"/>
      <c r="J376" s="350"/>
      <c r="K376" s="350"/>
    </row>
    <row r="377" spans="8:11" x14ac:dyDescent="0.25">
      <c r="H377" s="350"/>
      <c r="I377" s="350"/>
      <c r="J377" s="350"/>
      <c r="K377" s="350"/>
    </row>
  </sheetData>
  <mergeCells count="2">
    <mergeCell ref="D4:G4"/>
    <mergeCell ref="H4:K4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5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77A7-D817-495D-AF8D-A35E67BA4F3D}">
  <sheetPr>
    <pageSetUpPr fitToPage="1"/>
  </sheetPr>
  <dimension ref="A1:S11"/>
  <sheetViews>
    <sheetView view="pageBreakPreview" zoomScaleNormal="100" zoomScaleSheetLayoutView="100" workbookViewId="0">
      <selection activeCell="S1" sqref="S1"/>
    </sheetView>
  </sheetViews>
  <sheetFormatPr defaultColWidth="9.140625" defaultRowHeight="16.5" x14ac:dyDescent="0.25"/>
  <cols>
    <col min="1" max="1" width="16.5703125" style="536" customWidth="1"/>
    <col min="2" max="2" width="8.28515625" style="1" bestFit="1" customWidth="1"/>
    <col min="3" max="3" width="11" style="1" customWidth="1"/>
    <col min="4" max="4" width="11.28515625" style="1" customWidth="1"/>
    <col min="5" max="5" width="13.7109375" style="1" customWidth="1"/>
    <col min="6" max="6" width="8.28515625" style="1" bestFit="1" customWidth="1"/>
    <col min="7" max="7" width="10.140625" style="1" customWidth="1"/>
    <col min="8" max="8" width="8.28515625" style="1" bestFit="1" customWidth="1"/>
    <col min="9" max="9" width="9.85546875" style="1" customWidth="1"/>
    <col min="10" max="10" width="8.28515625" style="1" bestFit="1" customWidth="1"/>
    <col min="11" max="11" width="10.42578125" style="1" customWidth="1"/>
    <col min="12" max="12" width="10.7109375" style="1" bestFit="1" customWidth="1"/>
    <col min="13" max="13" width="10.7109375" style="1" customWidth="1"/>
    <col min="14" max="14" width="9.28515625" style="7" bestFit="1" customWidth="1"/>
    <col min="15" max="15" width="9.28515625" style="7" customWidth="1"/>
    <col min="16" max="16" width="11.28515625" style="7" bestFit="1" customWidth="1"/>
    <col min="17" max="17" width="11.28515625" style="7" customWidth="1"/>
    <col min="18" max="18" width="8.28515625" style="1" bestFit="1" customWidth="1"/>
    <col min="19" max="19" width="12.42578125" style="1" customWidth="1"/>
    <col min="20" max="16384" width="9.140625" style="1"/>
  </cols>
  <sheetData>
    <row r="1" spans="1:19" x14ac:dyDescent="0.25">
      <c r="A1" s="629"/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1"/>
      <c r="O1" s="550"/>
      <c r="P1" s="550"/>
      <c r="Q1" s="550"/>
      <c r="S1" s="551" t="s">
        <v>1106</v>
      </c>
    </row>
    <row r="2" spans="1:19" x14ac:dyDescent="0.25">
      <c r="A2" s="632" t="s">
        <v>47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1"/>
      <c r="O2" s="550"/>
      <c r="P2" s="550"/>
      <c r="Q2" s="550"/>
    </row>
    <row r="3" spans="1:19" s="2" customFormat="1" ht="19.5" x14ac:dyDescent="0.3">
      <c r="A3" s="632" t="s">
        <v>753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1"/>
      <c r="O3" s="550"/>
      <c r="P3" s="550"/>
      <c r="Q3" s="550"/>
    </row>
    <row r="4" spans="1:19" s="2" customFormat="1" ht="19.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8"/>
      <c r="R4" s="8"/>
      <c r="S4" s="8"/>
    </row>
    <row r="5" spans="1:19" s="6" customFormat="1" ht="38.25" customHeight="1" x14ac:dyDescent="0.2">
      <c r="A5" s="549"/>
      <c r="B5" s="624" t="s">
        <v>22</v>
      </c>
      <c r="C5" s="625"/>
      <c r="D5" s="626" t="s">
        <v>83</v>
      </c>
      <c r="E5" s="626"/>
      <c r="F5" s="624" t="s">
        <v>27</v>
      </c>
      <c r="G5" s="625"/>
      <c r="H5" s="626" t="s">
        <v>49</v>
      </c>
      <c r="I5" s="626"/>
      <c r="J5" s="624" t="s">
        <v>50</v>
      </c>
      <c r="K5" s="625"/>
      <c r="L5" s="626" t="s">
        <v>51</v>
      </c>
      <c r="M5" s="626"/>
      <c r="N5" s="624" t="s">
        <v>20</v>
      </c>
      <c r="O5" s="625"/>
      <c r="P5" s="626" t="s">
        <v>52</v>
      </c>
      <c r="Q5" s="626"/>
      <c r="R5" s="627" t="s">
        <v>23</v>
      </c>
      <c r="S5" s="628"/>
    </row>
    <row r="6" spans="1:19" s="6" customFormat="1" ht="33.75" customHeight="1" x14ac:dyDescent="0.2">
      <c r="A6" s="549"/>
      <c r="B6" s="546" t="s">
        <v>45</v>
      </c>
      <c r="C6" s="545" t="s">
        <v>1147</v>
      </c>
      <c r="D6" s="548" t="s">
        <v>45</v>
      </c>
      <c r="E6" s="547" t="s">
        <v>1147</v>
      </c>
      <c r="F6" s="546" t="s">
        <v>45</v>
      </c>
      <c r="G6" s="545" t="s">
        <v>1147</v>
      </c>
      <c r="H6" s="548" t="s">
        <v>45</v>
      </c>
      <c r="I6" s="547" t="s">
        <v>1147</v>
      </c>
      <c r="J6" s="546" t="s">
        <v>45</v>
      </c>
      <c r="K6" s="545" t="s">
        <v>1147</v>
      </c>
      <c r="L6" s="548" t="s">
        <v>45</v>
      </c>
      <c r="M6" s="547" t="s">
        <v>1147</v>
      </c>
      <c r="N6" s="546" t="s">
        <v>45</v>
      </c>
      <c r="O6" s="545" t="s">
        <v>1147</v>
      </c>
      <c r="P6" s="548" t="s">
        <v>45</v>
      </c>
      <c r="Q6" s="547" t="s">
        <v>1147</v>
      </c>
      <c r="R6" s="546" t="s">
        <v>45</v>
      </c>
      <c r="S6" s="545" t="s">
        <v>1147</v>
      </c>
    </row>
    <row r="7" spans="1:19" ht="23.25" customHeight="1" x14ac:dyDescent="0.25">
      <c r="A7" s="544" t="s">
        <v>41</v>
      </c>
      <c r="B7" s="541">
        <f>264619-4000</f>
        <v>260619</v>
      </c>
      <c r="C7" s="540">
        <v>257609</v>
      </c>
      <c r="D7" s="543">
        <f>47944-700</f>
        <v>47244</v>
      </c>
      <c r="E7" s="542">
        <v>44530</v>
      </c>
      <c r="F7" s="541">
        <v>66000</v>
      </c>
      <c r="G7" s="540">
        <v>66369</v>
      </c>
      <c r="H7" s="543">
        <v>0</v>
      </c>
      <c r="I7" s="542"/>
      <c r="J7" s="541">
        <v>0</v>
      </c>
      <c r="K7" s="540"/>
      <c r="L7" s="543">
        <v>6000</v>
      </c>
      <c r="M7" s="542">
        <v>9000</v>
      </c>
      <c r="N7" s="541">
        <v>0</v>
      </c>
      <c r="O7" s="540"/>
      <c r="P7" s="543">
        <v>0</v>
      </c>
      <c r="Q7" s="542"/>
      <c r="R7" s="541">
        <f t="shared" ref="R7:S10" si="0">B7+D7+F7+H7+J7+L7+N7+P7</f>
        <v>379863</v>
      </c>
      <c r="S7" s="540">
        <f t="shared" si="0"/>
        <v>377508</v>
      </c>
    </row>
    <row r="8" spans="1:19" ht="26.25" x14ac:dyDescent="0.25">
      <c r="A8" s="544" t="s">
        <v>82</v>
      </c>
      <c r="B8" s="541">
        <v>25000</v>
      </c>
      <c r="C8" s="540">
        <v>25000</v>
      </c>
      <c r="D8" s="543">
        <v>4450</v>
      </c>
      <c r="E8" s="542">
        <v>4450</v>
      </c>
      <c r="F8" s="541">
        <v>4000</v>
      </c>
      <c r="G8" s="540">
        <v>4000</v>
      </c>
      <c r="H8" s="543">
        <v>0</v>
      </c>
      <c r="I8" s="542"/>
      <c r="J8" s="541">
        <v>0</v>
      </c>
      <c r="K8" s="540"/>
      <c r="L8" s="543">
        <v>550</v>
      </c>
      <c r="M8" s="542">
        <v>550</v>
      </c>
      <c r="N8" s="541">
        <v>0</v>
      </c>
      <c r="O8" s="540"/>
      <c r="P8" s="543">
        <v>0</v>
      </c>
      <c r="Q8" s="542"/>
      <c r="R8" s="541">
        <f t="shared" si="0"/>
        <v>34000</v>
      </c>
      <c r="S8" s="540">
        <f t="shared" si="0"/>
        <v>34000</v>
      </c>
    </row>
    <row r="9" spans="1:19" ht="26.25" x14ac:dyDescent="0.25">
      <c r="A9" s="544" t="s">
        <v>751</v>
      </c>
      <c r="B9" s="541">
        <v>6828</v>
      </c>
      <c r="C9" s="540">
        <v>6828</v>
      </c>
      <c r="D9" s="543">
        <v>1220</v>
      </c>
      <c r="E9" s="542">
        <v>1220</v>
      </c>
      <c r="F9" s="541">
        <v>0</v>
      </c>
      <c r="G9" s="540"/>
      <c r="H9" s="543">
        <v>0</v>
      </c>
      <c r="I9" s="542"/>
      <c r="J9" s="541">
        <v>0</v>
      </c>
      <c r="K9" s="540"/>
      <c r="L9" s="543">
        <v>0</v>
      </c>
      <c r="M9" s="542"/>
      <c r="N9" s="541">
        <v>0</v>
      </c>
      <c r="O9" s="540"/>
      <c r="P9" s="543">
        <v>0</v>
      </c>
      <c r="Q9" s="542"/>
      <c r="R9" s="541">
        <f t="shared" si="0"/>
        <v>8048</v>
      </c>
      <c r="S9" s="540">
        <f t="shared" si="0"/>
        <v>8048</v>
      </c>
    </row>
    <row r="10" spans="1:19" ht="26.25" x14ac:dyDescent="0.25">
      <c r="A10" s="544" t="s">
        <v>752</v>
      </c>
      <c r="B10" s="541">
        <v>6193</v>
      </c>
      <c r="C10" s="540">
        <v>6193</v>
      </c>
      <c r="D10" s="543">
        <v>1834</v>
      </c>
      <c r="E10" s="542">
        <v>1834</v>
      </c>
      <c r="F10" s="541">
        <v>0</v>
      </c>
      <c r="G10" s="540"/>
      <c r="H10" s="543">
        <v>0</v>
      </c>
      <c r="I10" s="542"/>
      <c r="J10" s="541">
        <v>0</v>
      </c>
      <c r="K10" s="540"/>
      <c r="L10" s="543">
        <v>0</v>
      </c>
      <c r="M10" s="542"/>
      <c r="N10" s="541">
        <v>0</v>
      </c>
      <c r="O10" s="540"/>
      <c r="P10" s="543">
        <v>0</v>
      </c>
      <c r="Q10" s="542"/>
      <c r="R10" s="541">
        <f t="shared" si="0"/>
        <v>8027</v>
      </c>
      <c r="S10" s="540">
        <f t="shared" si="0"/>
        <v>8027</v>
      </c>
    </row>
    <row r="11" spans="1:19" s="537" customFormat="1" ht="24.75" customHeight="1" x14ac:dyDescent="0.3">
      <c r="A11" s="539" t="s">
        <v>24</v>
      </c>
      <c r="B11" s="538">
        <f t="shared" ref="B11:S11" si="1">SUM(B7:B10)</f>
        <v>298640</v>
      </c>
      <c r="C11" s="538">
        <f t="shared" si="1"/>
        <v>295630</v>
      </c>
      <c r="D11" s="538">
        <f t="shared" si="1"/>
        <v>54748</v>
      </c>
      <c r="E11" s="538">
        <f t="shared" si="1"/>
        <v>52034</v>
      </c>
      <c r="F11" s="538">
        <f t="shared" si="1"/>
        <v>70000</v>
      </c>
      <c r="G11" s="538">
        <f t="shared" si="1"/>
        <v>70369</v>
      </c>
      <c r="H11" s="538">
        <f t="shared" si="1"/>
        <v>0</v>
      </c>
      <c r="I11" s="538">
        <f t="shared" si="1"/>
        <v>0</v>
      </c>
      <c r="J11" s="538">
        <f t="shared" si="1"/>
        <v>0</v>
      </c>
      <c r="K11" s="538">
        <f t="shared" si="1"/>
        <v>0</v>
      </c>
      <c r="L11" s="538">
        <f t="shared" si="1"/>
        <v>6550</v>
      </c>
      <c r="M11" s="538">
        <f t="shared" si="1"/>
        <v>9550</v>
      </c>
      <c r="N11" s="538">
        <f t="shared" si="1"/>
        <v>0</v>
      </c>
      <c r="O11" s="538">
        <f t="shared" si="1"/>
        <v>0</v>
      </c>
      <c r="P11" s="538">
        <f t="shared" si="1"/>
        <v>0</v>
      </c>
      <c r="Q11" s="538">
        <f t="shared" si="1"/>
        <v>0</v>
      </c>
      <c r="R11" s="538">
        <f t="shared" si="1"/>
        <v>429938</v>
      </c>
      <c r="S11" s="538">
        <f t="shared" si="1"/>
        <v>427583</v>
      </c>
    </row>
  </sheetData>
  <mergeCells count="12">
    <mergeCell ref="A1:N1"/>
    <mergeCell ref="A2:N2"/>
    <mergeCell ref="A3:N3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7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F1" sqref="F1"/>
    </sheetView>
  </sheetViews>
  <sheetFormatPr defaultRowHeight="12.75" x14ac:dyDescent="0.2"/>
  <cols>
    <col min="1" max="1" width="64.28515625" style="181" bestFit="1" customWidth="1"/>
    <col min="2" max="2" width="11.85546875" style="181" customWidth="1"/>
    <col min="3" max="3" width="12.28515625" style="181" customWidth="1"/>
    <col min="4" max="4" width="10.85546875" style="181" bestFit="1" customWidth="1"/>
    <col min="5" max="5" width="18.28515625" style="181" bestFit="1" customWidth="1"/>
    <col min="6" max="6" width="13.28515625" style="181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14"/>
      <c r="C1" s="14"/>
      <c r="D1" s="14"/>
      <c r="E1" s="14"/>
      <c r="F1" s="349" t="s">
        <v>1107</v>
      </c>
    </row>
    <row r="2" spans="1:6" ht="15" x14ac:dyDescent="0.2">
      <c r="A2" s="170"/>
      <c r="B2" s="170"/>
      <c r="C2" s="170"/>
      <c r="D2" s="170"/>
      <c r="E2" s="170"/>
      <c r="F2" s="9"/>
    </row>
    <row r="3" spans="1:6" ht="16.5" x14ac:dyDescent="0.25">
      <c r="A3" s="633" t="s">
        <v>389</v>
      </c>
      <c r="B3" s="633"/>
      <c r="C3" s="633"/>
      <c r="D3" s="633"/>
      <c r="E3" s="633"/>
      <c r="F3" s="633"/>
    </row>
    <row r="4" spans="1:6" ht="16.5" x14ac:dyDescent="0.25">
      <c r="A4" s="633" t="s">
        <v>1025</v>
      </c>
      <c r="B4" s="633"/>
      <c r="C4" s="633"/>
      <c r="D4" s="633"/>
      <c r="E4" s="633"/>
      <c r="F4" s="633"/>
    </row>
    <row r="5" spans="1:6" ht="16.5" x14ac:dyDescent="0.25">
      <c r="A5" s="634" t="s">
        <v>390</v>
      </c>
      <c r="B5" s="635" t="s">
        <v>391</v>
      </c>
      <c r="C5" s="635"/>
      <c r="D5" s="635"/>
      <c r="E5" s="635"/>
      <c r="F5" s="635"/>
    </row>
    <row r="6" spans="1:6" ht="66" x14ac:dyDescent="0.2">
      <c r="A6" s="634"/>
      <c r="B6" s="171" t="s">
        <v>392</v>
      </c>
      <c r="C6" s="171" t="s">
        <v>393</v>
      </c>
      <c r="D6" s="171" t="s">
        <v>394</v>
      </c>
      <c r="E6" s="172" t="s">
        <v>395</v>
      </c>
      <c r="F6" s="172" t="s">
        <v>194</v>
      </c>
    </row>
    <row r="7" spans="1:6" ht="16.5" x14ac:dyDescent="0.25">
      <c r="A7" s="173"/>
      <c r="B7" s="173"/>
      <c r="C7" s="173"/>
      <c r="D7" s="174"/>
      <c r="E7" s="175"/>
      <c r="F7" s="175"/>
    </row>
    <row r="8" spans="1:6" s="240" customFormat="1" ht="16.5" x14ac:dyDescent="0.25">
      <c r="A8" s="176" t="s">
        <v>754</v>
      </c>
      <c r="B8" s="176">
        <f>SUM(B9:B10)</f>
        <v>21</v>
      </c>
      <c r="C8" s="176">
        <f t="shared" ref="C8:F8" si="0">SUM(C9:C10)</f>
        <v>16</v>
      </c>
      <c r="D8" s="176">
        <f t="shared" si="0"/>
        <v>0</v>
      </c>
      <c r="E8" s="176">
        <f t="shared" si="0"/>
        <v>2</v>
      </c>
      <c r="F8" s="176">
        <f t="shared" si="0"/>
        <v>39</v>
      </c>
    </row>
    <row r="9" spans="1:6" ht="16.5" x14ac:dyDescent="0.25">
      <c r="A9" s="173" t="s">
        <v>1026</v>
      </c>
      <c r="B9" s="173">
        <v>13</v>
      </c>
      <c r="C9" s="173">
        <v>10</v>
      </c>
      <c r="D9" s="173">
        <v>0</v>
      </c>
      <c r="E9" s="175">
        <v>1</v>
      </c>
      <c r="F9" s="175">
        <f>SUM(B9:E9)</f>
        <v>24</v>
      </c>
    </row>
    <row r="10" spans="1:6" ht="16.5" x14ac:dyDescent="0.25">
      <c r="A10" s="173" t="s">
        <v>1027</v>
      </c>
      <c r="B10" s="173">
        <v>8</v>
      </c>
      <c r="C10" s="173">
        <v>6</v>
      </c>
      <c r="D10" s="173">
        <v>0</v>
      </c>
      <c r="E10" s="175">
        <v>1</v>
      </c>
      <c r="F10" s="175">
        <f>SUM(B10:E10)</f>
        <v>15</v>
      </c>
    </row>
    <row r="11" spans="1:6" s="240" customFormat="1" ht="16.5" x14ac:dyDescent="0.25">
      <c r="A11" s="176" t="s">
        <v>700</v>
      </c>
      <c r="B11" s="176">
        <f>SUM(B12:B13)</f>
        <v>25</v>
      </c>
      <c r="C11" s="176">
        <f t="shared" ref="C11:F11" si="1">SUM(C12:C13)</f>
        <v>10</v>
      </c>
      <c r="D11" s="176">
        <f t="shared" si="1"/>
        <v>0</v>
      </c>
      <c r="E11" s="176">
        <f t="shared" si="1"/>
        <v>1</v>
      </c>
      <c r="F11" s="176">
        <f t="shared" si="1"/>
        <v>36</v>
      </c>
    </row>
    <row r="12" spans="1:6" ht="16.5" x14ac:dyDescent="0.25">
      <c r="A12" s="173" t="s">
        <v>1028</v>
      </c>
      <c r="B12" s="173">
        <v>11</v>
      </c>
      <c r="C12" s="173">
        <v>7</v>
      </c>
      <c r="D12" s="173">
        <v>0</v>
      </c>
      <c r="E12" s="175">
        <v>1</v>
      </c>
      <c r="F12" s="175">
        <f>SUM(B12:E12)</f>
        <v>19</v>
      </c>
    </row>
    <row r="13" spans="1:6" ht="16.5" x14ac:dyDescent="0.25">
      <c r="A13" s="173" t="s">
        <v>1029</v>
      </c>
      <c r="B13" s="173">
        <v>14</v>
      </c>
      <c r="C13" s="173">
        <v>3</v>
      </c>
      <c r="D13" s="173">
        <v>0</v>
      </c>
      <c r="E13" s="175">
        <v>0</v>
      </c>
      <c r="F13" s="175">
        <f>SUM(B13:E13)</f>
        <v>17</v>
      </c>
    </row>
    <row r="14" spans="1:6" s="240" customFormat="1" ht="16.5" x14ac:dyDescent="0.25">
      <c r="A14" s="176" t="s">
        <v>46</v>
      </c>
      <c r="B14" s="176">
        <v>19</v>
      </c>
      <c r="C14" s="176">
        <v>0</v>
      </c>
      <c r="D14" s="176">
        <v>36</v>
      </c>
      <c r="E14" s="239">
        <v>3</v>
      </c>
      <c r="F14" s="239">
        <f>SUM(B14:E14)</f>
        <v>58</v>
      </c>
    </row>
    <row r="15" spans="1:6" s="240" customFormat="1" ht="16.5" x14ac:dyDescent="0.25">
      <c r="A15" s="176" t="s">
        <v>755</v>
      </c>
      <c r="B15" s="176">
        <v>6</v>
      </c>
      <c r="C15" s="176">
        <v>0</v>
      </c>
      <c r="D15" s="176">
        <v>1</v>
      </c>
      <c r="E15" s="239">
        <v>0</v>
      </c>
      <c r="F15" s="239">
        <f>SUM(B15:E15)</f>
        <v>7</v>
      </c>
    </row>
    <row r="16" spans="1:6" ht="16.5" x14ac:dyDescent="0.25">
      <c r="A16" s="176" t="s">
        <v>47</v>
      </c>
      <c r="B16" s="176">
        <f>SUM(B17:B20)</f>
        <v>80</v>
      </c>
      <c r="C16" s="176">
        <f t="shared" ref="C16:F16" si="2">SUM(C17:C20)</f>
        <v>0</v>
      </c>
      <c r="D16" s="176">
        <f t="shared" si="2"/>
        <v>4</v>
      </c>
      <c r="E16" s="176">
        <f t="shared" si="2"/>
        <v>5</v>
      </c>
      <c r="F16" s="176">
        <f t="shared" si="2"/>
        <v>89</v>
      </c>
    </row>
    <row r="17" spans="1:6" ht="16.5" x14ac:dyDescent="0.25">
      <c r="A17" s="173" t="s">
        <v>1030</v>
      </c>
      <c r="B17" s="173">
        <v>67</v>
      </c>
      <c r="C17" s="173">
        <v>0</v>
      </c>
      <c r="D17" s="173">
        <v>4</v>
      </c>
      <c r="E17" s="175">
        <v>5</v>
      </c>
      <c r="F17" s="175">
        <f>SUM(B17:E17)</f>
        <v>76</v>
      </c>
    </row>
    <row r="18" spans="1:6" ht="16.5" x14ac:dyDescent="0.25">
      <c r="A18" s="173" t="s">
        <v>1031</v>
      </c>
      <c r="B18" s="173">
        <v>7</v>
      </c>
      <c r="C18" s="173">
        <v>0</v>
      </c>
      <c r="D18" s="173">
        <v>0</v>
      </c>
      <c r="E18" s="175">
        <v>0</v>
      </c>
      <c r="F18" s="175">
        <f>SUM(B18:E18)</f>
        <v>7</v>
      </c>
    </row>
    <row r="19" spans="1:6" s="181" customFormat="1" ht="16.5" x14ac:dyDescent="0.25">
      <c r="A19" s="173" t="s">
        <v>1032</v>
      </c>
      <c r="B19" s="173">
        <v>3</v>
      </c>
      <c r="C19" s="173">
        <v>0</v>
      </c>
      <c r="D19" s="173">
        <v>0</v>
      </c>
      <c r="E19" s="175">
        <v>0</v>
      </c>
      <c r="F19" s="175">
        <f>SUM(B19:E19)</f>
        <v>3</v>
      </c>
    </row>
    <row r="20" spans="1:6" s="181" customFormat="1" ht="16.5" x14ac:dyDescent="0.25">
      <c r="A20" s="173" t="s">
        <v>1033</v>
      </c>
      <c r="B20" s="173">
        <v>3</v>
      </c>
      <c r="C20" s="173">
        <v>0</v>
      </c>
      <c r="D20" s="173">
        <v>0</v>
      </c>
      <c r="E20" s="175">
        <v>0</v>
      </c>
      <c r="F20" s="175">
        <f>SUM(B20:E20)</f>
        <v>3</v>
      </c>
    </row>
    <row r="21" spans="1:6" s="240" customFormat="1" ht="16.5" x14ac:dyDescent="0.25">
      <c r="A21" s="176" t="s">
        <v>31</v>
      </c>
      <c r="B21" s="176">
        <v>4</v>
      </c>
      <c r="C21" s="176">
        <v>0</v>
      </c>
      <c r="D21" s="176">
        <v>14</v>
      </c>
      <c r="E21" s="239">
        <v>0</v>
      </c>
      <c r="F21" s="239">
        <f>SUM(B21:E21)</f>
        <v>18</v>
      </c>
    </row>
    <row r="22" spans="1:6" ht="16.5" x14ac:dyDescent="0.25">
      <c r="A22" s="173"/>
      <c r="B22" s="173"/>
      <c r="C22" s="173"/>
      <c r="D22" s="173"/>
      <c r="E22" s="175"/>
      <c r="F22" s="175"/>
    </row>
    <row r="23" spans="1:6" ht="16.5" x14ac:dyDescent="0.25">
      <c r="A23" s="176" t="s">
        <v>24</v>
      </c>
      <c r="B23" s="177">
        <f>B8+B11+B14+B15+B16+B21</f>
        <v>155</v>
      </c>
      <c r="C23" s="177">
        <f t="shared" ref="C23:F23" si="3">C8+C11+C14+C15+C16+C21</f>
        <v>26</v>
      </c>
      <c r="D23" s="177">
        <f t="shared" si="3"/>
        <v>55</v>
      </c>
      <c r="E23" s="177">
        <f t="shared" si="3"/>
        <v>11</v>
      </c>
      <c r="F23" s="177">
        <f t="shared" si="3"/>
        <v>247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A0EC-A847-4914-B649-14297EB06FC1}">
  <sheetPr>
    <pageSetUpPr fitToPage="1"/>
  </sheetPr>
  <dimension ref="A1:K31"/>
  <sheetViews>
    <sheetView view="pageBreakPreview" topLeftCell="C1" zoomScale="110" zoomScaleNormal="100" zoomScaleSheetLayoutView="110" workbookViewId="0">
      <selection sqref="A1:XFD1"/>
    </sheetView>
  </sheetViews>
  <sheetFormatPr defaultRowHeight="12.75" x14ac:dyDescent="0.2"/>
  <cols>
    <col min="1" max="1" width="40" style="10" customWidth="1"/>
    <col min="2" max="5" width="10.42578125" style="10" customWidth="1"/>
    <col min="6" max="6" width="4.7109375" style="10" customWidth="1"/>
    <col min="7" max="7" width="32.42578125" style="10" customWidth="1"/>
    <col min="8" max="8" width="10.42578125" style="10" customWidth="1"/>
    <col min="9" max="9" width="10.7109375" style="10" bestFit="1" customWidth="1"/>
    <col min="10" max="10" width="9.85546875" style="10" customWidth="1"/>
    <col min="11" max="11" width="11.85546875" style="10" customWidth="1"/>
    <col min="12" max="245" width="8.85546875" style="10"/>
    <col min="246" max="246" width="40" style="10" customWidth="1"/>
    <col min="247" max="247" width="12" style="10" customWidth="1"/>
    <col min="248" max="250" width="10.42578125" style="10" customWidth="1"/>
    <col min="251" max="251" width="11" style="10" customWidth="1"/>
    <col min="252" max="252" width="4.7109375" style="10" customWidth="1"/>
    <col min="253" max="253" width="32.42578125" style="10" customWidth="1"/>
    <col min="254" max="254" width="12" style="10" customWidth="1"/>
    <col min="255" max="257" width="13.5703125" style="10" customWidth="1"/>
    <col min="258" max="258" width="11" style="10" customWidth="1"/>
    <col min="259" max="501" width="8.85546875" style="10"/>
    <col min="502" max="502" width="40" style="10" customWidth="1"/>
    <col min="503" max="503" width="12" style="10" customWidth="1"/>
    <col min="504" max="506" width="10.42578125" style="10" customWidth="1"/>
    <col min="507" max="507" width="11" style="10" customWidth="1"/>
    <col min="508" max="508" width="4.7109375" style="10" customWidth="1"/>
    <col min="509" max="509" width="32.42578125" style="10" customWidth="1"/>
    <col min="510" max="510" width="12" style="10" customWidth="1"/>
    <col min="511" max="513" width="13.5703125" style="10" customWidth="1"/>
    <col min="514" max="514" width="11" style="10" customWidth="1"/>
    <col min="515" max="757" width="8.85546875" style="10"/>
    <col min="758" max="758" width="40" style="10" customWidth="1"/>
    <col min="759" max="759" width="12" style="10" customWidth="1"/>
    <col min="760" max="762" width="10.42578125" style="10" customWidth="1"/>
    <col min="763" max="763" width="11" style="10" customWidth="1"/>
    <col min="764" max="764" width="4.7109375" style="10" customWidth="1"/>
    <col min="765" max="765" width="32.42578125" style="10" customWidth="1"/>
    <col min="766" max="766" width="12" style="10" customWidth="1"/>
    <col min="767" max="769" width="13.5703125" style="10" customWidth="1"/>
    <col min="770" max="770" width="11" style="10" customWidth="1"/>
    <col min="771" max="1013" width="8.85546875" style="10"/>
    <col min="1014" max="1014" width="40" style="10" customWidth="1"/>
    <col min="1015" max="1015" width="12" style="10" customWidth="1"/>
    <col min="1016" max="1018" width="10.42578125" style="10" customWidth="1"/>
    <col min="1019" max="1019" width="11" style="10" customWidth="1"/>
    <col min="1020" max="1020" width="4.7109375" style="10" customWidth="1"/>
    <col min="1021" max="1021" width="32.42578125" style="10" customWidth="1"/>
    <col min="1022" max="1022" width="12" style="10" customWidth="1"/>
    <col min="1023" max="1025" width="13.5703125" style="10" customWidth="1"/>
    <col min="1026" max="1026" width="11" style="10" customWidth="1"/>
    <col min="1027" max="1269" width="8.85546875" style="10"/>
    <col min="1270" max="1270" width="40" style="10" customWidth="1"/>
    <col min="1271" max="1271" width="12" style="10" customWidth="1"/>
    <col min="1272" max="1274" width="10.42578125" style="10" customWidth="1"/>
    <col min="1275" max="1275" width="11" style="10" customWidth="1"/>
    <col min="1276" max="1276" width="4.7109375" style="10" customWidth="1"/>
    <col min="1277" max="1277" width="32.42578125" style="10" customWidth="1"/>
    <col min="1278" max="1278" width="12" style="10" customWidth="1"/>
    <col min="1279" max="1281" width="13.5703125" style="10" customWidth="1"/>
    <col min="1282" max="1282" width="11" style="10" customWidth="1"/>
    <col min="1283" max="1525" width="8.85546875" style="10"/>
    <col min="1526" max="1526" width="40" style="10" customWidth="1"/>
    <col min="1527" max="1527" width="12" style="10" customWidth="1"/>
    <col min="1528" max="1530" width="10.42578125" style="10" customWidth="1"/>
    <col min="1531" max="1531" width="11" style="10" customWidth="1"/>
    <col min="1532" max="1532" width="4.7109375" style="10" customWidth="1"/>
    <col min="1533" max="1533" width="32.42578125" style="10" customWidth="1"/>
    <col min="1534" max="1534" width="12" style="10" customWidth="1"/>
    <col min="1535" max="1537" width="13.5703125" style="10" customWidth="1"/>
    <col min="1538" max="1538" width="11" style="10" customWidth="1"/>
    <col min="1539" max="1781" width="8.85546875" style="10"/>
    <col min="1782" max="1782" width="40" style="10" customWidth="1"/>
    <col min="1783" max="1783" width="12" style="10" customWidth="1"/>
    <col min="1784" max="1786" width="10.42578125" style="10" customWidth="1"/>
    <col min="1787" max="1787" width="11" style="10" customWidth="1"/>
    <col min="1788" max="1788" width="4.7109375" style="10" customWidth="1"/>
    <col min="1789" max="1789" width="32.42578125" style="10" customWidth="1"/>
    <col min="1790" max="1790" width="12" style="10" customWidth="1"/>
    <col min="1791" max="1793" width="13.5703125" style="10" customWidth="1"/>
    <col min="1794" max="1794" width="11" style="10" customWidth="1"/>
    <col min="1795" max="2037" width="8.85546875" style="10"/>
    <col min="2038" max="2038" width="40" style="10" customWidth="1"/>
    <col min="2039" max="2039" width="12" style="10" customWidth="1"/>
    <col min="2040" max="2042" width="10.42578125" style="10" customWidth="1"/>
    <col min="2043" max="2043" width="11" style="10" customWidth="1"/>
    <col min="2044" max="2044" width="4.7109375" style="10" customWidth="1"/>
    <col min="2045" max="2045" width="32.42578125" style="10" customWidth="1"/>
    <col min="2046" max="2046" width="12" style="10" customWidth="1"/>
    <col min="2047" max="2049" width="13.5703125" style="10" customWidth="1"/>
    <col min="2050" max="2050" width="11" style="10" customWidth="1"/>
    <col min="2051" max="2293" width="8.85546875" style="10"/>
    <col min="2294" max="2294" width="40" style="10" customWidth="1"/>
    <col min="2295" max="2295" width="12" style="10" customWidth="1"/>
    <col min="2296" max="2298" width="10.42578125" style="10" customWidth="1"/>
    <col min="2299" max="2299" width="11" style="10" customWidth="1"/>
    <col min="2300" max="2300" width="4.7109375" style="10" customWidth="1"/>
    <col min="2301" max="2301" width="32.42578125" style="10" customWidth="1"/>
    <col min="2302" max="2302" width="12" style="10" customWidth="1"/>
    <col min="2303" max="2305" width="13.5703125" style="10" customWidth="1"/>
    <col min="2306" max="2306" width="11" style="10" customWidth="1"/>
    <col min="2307" max="2549" width="8.85546875" style="10"/>
    <col min="2550" max="2550" width="40" style="10" customWidth="1"/>
    <col min="2551" max="2551" width="12" style="10" customWidth="1"/>
    <col min="2552" max="2554" width="10.42578125" style="10" customWidth="1"/>
    <col min="2555" max="2555" width="11" style="10" customWidth="1"/>
    <col min="2556" max="2556" width="4.7109375" style="10" customWidth="1"/>
    <col min="2557" max="2557" width="32.42578125" style="10" customWidth="1"/>
    <col min="2558" max="2558" width="12" style="10" customWidth="1"/>
    <col min="2559" max="2561" width="13.5703125" style="10" customWidth="1"/>
    <col min="2562" max="2562" width="11" style="10" customWidth="1"/>
    <col min="2563" max="2805" width="8.85546875" style="10"/>
    <col min="2806" max="2806" width="40" style="10" customWidth="1"/>
    <col min="2807" max="2807" width="12" style="10" customWidth="1"/>
    <col min="2808" max="2810" width="10.42578125" style="10" customWidth="1"/>
    <col min="2811" max="2811" width="11" style="10" customWidth="1"/>
    <col min="2812" max="2812" width="4.7109375" style="10" customWidth="1"/>
    <col min="2813" max="2813" width="32.42578125" style="10" customWidth="1"/>
    <col min="2814" max="2814" width="12" style="10" customWidth="1"/>
    <col min="2815" max="2817" width="13.5703125" style="10" customWidth="1"/>
    <col min="2818" max="2818" width="11" style="10" customWidth="1"/>
    <col min="2819" max="3061" width="8.85546875" style="10"/>
    <col min="3062" max="3062" width="40" style="10" customWidth="1"/>
    <col min="3063" max="3063" width="12" style="10" customWidth="1"/>
    <col min="3064" max="3066" width="10.42578125" style="10" customWidth="1"/>
    <col min="3067" max="3067" width="11" style="10" customWidth="1"/>
    <col min="3068" max="3068" width="4.7109375" style="10" customWidth="1"/>
    <col min="3069" max="3069" width="32.42578125" style="10" customWidth="1"/>
    <col min="3070" max="3070" width="12" style="10" customWidth="1"/>
    <col min="3071" max="3073" width="13.5703125" style="10" customWidth="1"/>
    <col min="3074" max="3074" width="11" style="10" customWidth="1"/>
    <col min="3075" max="3317" width="8.85546875" style="10"/>
    <col min="3318" max="3318" width="40" style="10" customWidth="1"/>
    <col min="3319" max="3319" width="12" style="10" customWidth="1"/>
    <col min="3320" max="3322" width="10.42578125" style="10" customWidth="1"/>
    <col min="3323" max="3323" width="11" style="10" customWidth="1"/>
    <col min="3324" max="3324" width="4.7109375" style="10" customWidth="1"/>
    <col min="3325" max="3325" width="32.42578125" style="10" customWidth="1"/>
    <col min="3326" max="3326" width="12" style="10" customWidth="1"/>
    <col min="3327" max="3329" width="13.5703125" style="10" customWidth="1"/>
    <col min="3330" max="3330" width="11" style="10" customWidth="1"/>
    <col min="3331" max="3573" width="8.85546875" style="10"/>
    <col min="3574" max="3574" width="40" style="10" customWidth="1"/>
    <col min="3575" max="3575" width="12" style="10" customWidth="1"/>
    <col min="3576" max="3578" width="10.42578125" style="10" customWidth="1"/>
    <col min="3579" max="3579" width="11" style="10" customWidth="1"/>
    <col min="3580" max="3580" width="4.7109375" style="10" customWidth="1"/>
    <col min="3581" max="3581" width="32.42578125" style="10" customWidth="1"/>
    <col min="3582" max="3582" width="12" style="10" customWidth="1"/>
    <col min="3583" max="3585" width="13.5703125" style="10" customWidth="1"/>
    <col min="3586" max="3586" width="11" style="10" customWidth="1"/>
    <col min="3587" max="3829" width="8.85546875" style="10"/>
    <col min="3830" max="3830" width="40" style="10" customWidth="1"/>
    <col min="3831" max="3831" width="12" style="10" customWidth="1"/>
    <col min="3832" max="3834" width="10.42578125" style="10" customWidth="1"/>
    <col min="3835" max="3835" width="11" style="10" customWidth="1"/>
    <col min="3836" max="3836" width="4.7109375" style="10" customWidth="1"/>
    <col min="3837" max="3837" width="32.42578125" style="10" customWidth="1"/>
    <col min="3838" max="3838" width="12" style="10" customWidth="1"/>
    <col min="3839" max="3841" width="13.5703125" style="10" customWidth="1"/>
    <col min="3842" max="3842" width="11" style="10" customWidth="1"/>
    <col min="3843" max="4085" width="8.85546875" style="10"/>
    <col min="4086" max="4086" width="40" style="10" customWidth="1"/>
    <col min="4087" max="4087" width="12" style="10" customWidth="1"/>
    <col min="4088" max="4090" width="10.42578125" style="10" customWidth="1"/>
    <col min="4091" max="4091" width="11" style="10" customWidth="1"/>
    <col min="4092" max="4092" width="4.7109375" style="10" customWidth="1"/>
    <col min="4093" max="4093" width="32.42578125" style="10" customWidth="1"/>
    <col min="4094" max="4094" width="12" style="10" customWidth="1"/>
    <col min="4095" max="4097" width="13.5703125" style="10" customWidth="1"/>
    <col min="4098" max="4098" width="11" style="10" customWidth="1"/>
    <col min="4099" max="4341" width="8.85546875" style="10"/>
    <col min="4342" max="4342" width="40" style="10" customWidth="1"/>
    <col min="4343" max="4343" width="12" style="10" customWidth="1"/>
    <col min="4344" max="4346" width="10.42578125" style="10" customWidth="1"/>
    <col min="4347" max="4347" width="11" style="10" customWidth="1"/>
    <col min="4348" max="4348" width="4.7109375" style="10" customWidth="1"/>
    <col min="4349" max="4349" width="32.42578125" style="10" customWidth="1"/>
    <col min="4350" max="4350" width="12" style="10" customWidth="1"/>
    <col min="4351" max="4353" width="13.5703125" style="10" customWidth="1"/>
    <col min="4354" max="4354" width="11" style="10" customWidth="1"/>
    <col min="4355" max="4597" width="8.85546875" style="10"/>
    <col min="4598" max="4598" width="40" style="10" customWidth="1"/>
    <col min="4599" max="4599" width="12" style="10" customWidth="1"/>
    <col min="4600" max="4602" width="10.42578125" style="10" customWidth="1"/>
    <col min="4603" max="4603" width="11" style="10" customWidth="1"/>
    <col min="4604" max="4604" width="4.7109375" style="10" customWidth="1"/>
    <col min="4605" max="4605" width="32.42578125" style="10" customWidth="1"/>
    <col min="4606" max="4606" width="12" style="10" customWidth="1"/>
    <col min="4607" max="4609" width="13.5703125" style="10" customWidth="1"/>
    <col min="4610" max="4610" width="11" style="10" customWidth="1"/>
    <col min="4611" max="4853" width="8.85546875" style="10"/>
    <col min="4854" max="4854" width="40" style="10" customWidth="1"/>
    <col min="4855" max="4855" width="12" style="10" customWidth="1"/>
    <col min="4856" max="4858" width="10.42578125" style="10" customWidth="1"/>
    <col min="4859" max="4859" width="11" style="10" customWidth="1"/>
    <col min="4860" max="4860" width="4.7109375" style="10" customWidth="1"/>
    <col min="4861" max="4861" width="32.42578125" style="10" customWidth="1"/>
    <col min="4862" max="4862" width="12" style="10" customWidth="1"/>
    <col min="4863" max="4865" width="13.5703125" style="10" customWidth="1"/>
    <col min="4866" max="4866" width="11" style="10" customWidth="1"/>
    <col min="4867" max="5109" width="8.85546875" style="10"/>
    <col min="5110" max="5110" width="40" style="10" customWidth="1"/>
    <col min="5111" max="5111" width="12" style="10" customWidth="1"/>
    <col min="5112" max="5114" width="10.42578125" style="10" customWidth="1"/>
    <col min="5115" max="5115" width="11" style="10" customWidth="1"/>
    <col min="5116" max="5116" width="4.7109375" style="10" customWidth="1"/>
    <col min="5117" max="5117" width="32.42578125" style="10" customWidth="1"/>
    <col min="5118" max="5118" width="12" style="10" customWidth="1"/>
    <col min="5119" max="5121" width="13.5703125" style="10" customWidth="1"/>
    <col min="5122" max="5122" width="11" style="10" customWidth="1"/>
    <col min="5123" max="5365" width="8.85546875" style="10"/>
    <col min="5366" max="5366" width="40" style="10" customWidth="1"/>
    <col min="5367" max="5367" width="12" style="10" customWidth="1"/>
    <col min="5368" max="5370" width="10.42578125" style="10" customWidth="1"/>
    <col min="5371" max="5371" width="11" style="10" customWidth="1"/>
    <col min="5372" max="5372" width="4.7109375" style="10" customWidth="1"/>
    <col min="5373" max="5373" width="32.42578125" style="10" customWidth="1"/>
    <col min="5374" max="5374" width="12" style="10" customWidth="1"/>
    <col min="5375" max="5377" width="13.5703125" style="10" customWidth="1"/>
    <col min="5378" max="5378" width="11" style="10" customWidth="1"/>
    <col min="5379" max="5621" width="8.85546875" style="10"/>
    <col min="5622" max="5622" width="40" style="10" customWidth="1"/>
    <col min="5623" max="5623" width="12" style="10" customWidth="1"/>
    <col min="5624" max="5626" width="10.42578125" style="10" customWidth="1"/>
    <col min="5627" max="5627" width="11" style="10" customWidth="1"/>
    <col min="5628" max="5628" width="4.7109375" style="10" customWidth="1"/>
    <col min="5629" max="5629" width="32.42578125" style="10" customWidth="1"/>
    <col min="5630" max="5630" width="12" style="10" customWidth="1"/>
    <col min="5631" max="5633" width="13.5703125" style="10" customWidth="1"/>
    <col min="5634" max="5634" width="11" style="10" customWidth="1"/>
    <col min="5635" max="5877" width="8.85546875" style="10"/>
    <col min="5878" max="5878" width="40" style="10" customWidth="1"/>
    <col min="5879" max="5879" width="12" style="10" customWidth="1"/>
    <col min="5880" max="5882" width="10.42578125" style="10" customWidth="1"/>
    <col min="5883" max="5883" width="11" style="10" customWidth="1"/>
    <col min="5884" max="5884" width="4.7109375" style="10" customWidth="1"/>
    <col min="5885" max="5885" width="32.42578125" style="10" customWidth="1"/>
    <col min="5886" max="5886" width="12" style="10" customWidth="1"/>
    <col min="5887" max="5889" width="13.5703125" style="10" customWidth="1"/>
    <col min="5890" max="5890" width="11" style="10" customWidth="1"/>
    <col min="5891" max="6133" width="8.85546875" style="10"/>
    <col min="6134" max="6134" width="40" style="10" customWidth="1"/>
    <col min="6135" max="6135" width="12" style="10" customWidth="1"/>
    <col min="6136" max="6138" width="10.42578125" style="10" customWidth="1"/>
    <col min="6139" max="6139" width="11" style="10" customWidth="1"/>
    <col min="6140" max="6140" width="4.7109375" style="10" customWidth="1"/>
    <col min="6141" max="6141" width="32.42578125" style="10" customWidth="1"/>
    <col min="6142" max="6142" width="12" style="10" customWidth="1"/>
    <col min="6143" max="6145" width="13.5703125" style="10" customWidth="1"/>
    <col min="6146" max="6146" width="11" style="10" customWidth="1"/>
    <col min="6147" max="6389" width="8.85546875" style="10"/>
    <col min="6390" max="6390" width="40" style="10" customWidth="1"/>
    <col min="6391" max="6391" width="12" style="10" customWidth="1"/>
    <col min="6392" max="6394" width="10.42578125" style="10" customWidth="1"/>
    <col min="6395" max="6395" width="11" style="10" customWidth="1"/>
    <col min="6396" max="6396" width="4.7109375" style="10" customWidth="1"/>
    <col min="6397" max="6397" width="32.42578125" style="10" customWidth="1"/>
    <col min="6398" max="6398" width="12" style="10" customWidth="1"/>
    <col min="6399" max="6401" width="13.5703125" style="10" customWidth="1"/>
    <col min="6402" max="6402" width="11" style="10" customWidth="1"/>
    <col min="6403" max="6645" width="8.85546875" style="10"/>
    <col min="6646" max="6646" width="40" style="10" customWidth="1"/>
    <col min="6647" max="6647" width="12" style="10" customWidth="1"/>
    <col min="6648" max="6650" width="10.42578125" style="10" customWidth="1"/>
    <col min="6651" max="6651" width="11" style="10" customWidth="1"/>
    <col min="6652" max="6652" width="4.7109375" style="10" customWidth="1"/>
    <col min="6653" max="6653" width="32.42578125" style="10" customWidth="1"/>
    <col min="6654" max="6654" width="12" style="10" customWidth="1"/>
    <col min="6655" max="6657" width="13.5703125" style="10" customWidth="1"/>
    <col min="6658" max="6658" width="11" style="10" customWidth="1"/>
    <col min="6659" max="6901" width="8.85546875" style="10"/>
    <col min="6902" max="6902" width="40" style="10" customWidth="1"/>
    <col min="6903" max="6903" width="12" style="10" customWidth="1"/>
    <col min="6904" max="6906" width="10.42578125" style="10" customWidth="1"/>
    <col min="6907" max="6907" width="11" style="10" customWidth="1"/>
    <col min="6908" max="6908" width="4.7109375" style="10" customWidth="1"/>
    <col min="6909" max="6909" width="32.42578125" style="10" customWidth="1"/>
    <col min="6910" max="6910" width="12" style="10" customWidth="1"/>
    <col min="6911" max="6913" width="13.5703125" style="10" customWidth="1"/>
    <col min="6914" max="6914" width="11" style="10" customWidth="1"/>
    <col min="6915" max="7157" width="8.85546875" style="10"/>
    <col min="7158" max="7158" width="40" style="10" customWidth="1"/>
    <col min="7159" max="7159" width="12" style="10" customWidth="1"/>
    <col min="7160" max="7162" width="10.42578125" style="10" customWidth="1"/>
    <col min="7163" max="7163" width="11" style="10" customWidth="1"/>
    <col min="7164" max="7164" width="4.7109375" style="10" customWidth="1"/>
    <col min="7165" max="7165" width="32.42578125" style="10" customWidth="1"/>
    <col min="7166" max="7166" width="12" style="10" customWidth="1"/>
    <col min="7167" max="7169" width="13.5703125" style="10" customWidth="1"/>
    <col min="7170" max="7170" width="11" style="10" customWidth="1"/>
    <col min="7171" max="7413" width="8.85546875" style="10"/>
    <col min="7414" max="7414" width="40" style="10" customWidth="1"/>
    <col min="7415" max="7415" width="12" style="10" customWidth="1"/>
    <col min="7416" max="7418" width="10.42578125" style="10" customWidth="1"/>
    <col min="7419" max="7419" width="11" style="10" customWidth="1"/>
    <col min="7420" max="7420" width="4.7109375" style="10" customWidth="1"/>
    <col min="7421" max="7421" width="32.42578125" style="10" customWidth="1"/>
    <col min="7422" max="7422" width="12" style="10" customWidth="1"/>
    <col min="7423" max="7425" width="13.5703125" style="10" customWidth="1"/>
    <col min="7426" max="7426" width="11" style="10" customWidth="1"/>
    <col min="7427" max="7669" width="8.85546875" style="10"/>
    <col min="7670" max="7670" width="40" style="10" customWidth="1"/>
    <col min="7671" max="7671" width="12" style="10" customWidth="1"/>
    <col min="7672" max="7674" width="10.42578125" style="10" customWidth="1"/>
    <col min="7675" max="7675" width="11" style="10" customWidth="1"/>
    <col min="7676" max="7676" width="4.7109375" style="10" customWidth="1"/>
    <col min="7677" max="7677" width="32.42578125" style="10" customWidth="1"/>
    <col min="7678" max="7678" width="12" style="10" customWidth="1"/>
    <col min="7679" max="7681" width="13.5703125" style="10" customWidth="1"/>
    <col min="7682" max="7682" width="11" style="10" customWidth="1"/>
    <col min="7683" max="7925" width="8.85546875" style="10"/>
    <col min="7926" max="7926" width="40" style="10" customWidth="1"/>
    <col min="7927" max="7927" width="12" style="10" customWidth="1"/>
    <col min="7928" max="7930" width="10.42578125" style="10" customWidth="1"/>
    <col min="7931" max="7931" width="11" style="10" customWidth="1"/>
    <col min="7932" max="7932" width="4.7109375" style="10" customWidth="1"/>
    <col min="7933" max="7933" width="32.42578125" style="10" customWidth="1"/>
    <col min="7934" max="7934" width="12" style="10" customWidth="1"/>
    <col min="7935" max="7937" width="13.5703125" style="10" customWidth="1"/>
    <col min="7938" max="7938" width="11" style="10" customWidth="1"/>
    <col min="7939" max="8181" width="8.85546875" style="10"/>
    <col min="8182" max="8182" width="40" style="10" customWidth="1"/>
    <col min="8183" max="8183" width="12" style="10" customWidth="1"/>
    <col min="8184" max="8186" width="10.42578125" style="10" customWidth="1"/>
    <col min="8187" max="8187" width="11" style="10" customWidth="1"/>
    <col min="8188" max="8188" width="4.7109375" style="10" customWidth="1"/>
    <col min="8189" max="8189" width="32.42578125" style="10" customWidth="1"/>
    <col min="8190" max="8190" width="12" style="10" customWidth="1"/>
    <col min="8191" max="8193" width="13.5703125" style="10" customWidth="1"/>
    <col min="8194" max="8194" width="11" style="10" customWidth="1"/>
    <col min="8195" max="8437" width="8.85546875" style="10"/>
    <col min="8438" max="8438" width="40" style="10" customWidth="1"/>
    <col min="8439" max="8439" width="12" style="10" customWidth="1"/>
    <col min="8440" max="8442" width="10.42578125" style="10" customWidth="1"/>
    <col min="8443" max="8443" width="11" style="10" customWidth="1"/>
    <col min="8444" max="8444" width="4.7109375" style="10" customWidth="1"/>
    <col min="8445" max="8445" width="32.42578125" style="10" customWidth="1"/>
    <col min="8446" max="8446" width="12" style="10" customWidth="1"/>
    <col min="8447" max="8449" width="13.5703125" style="10" customWidth="1"/>
    <col min="8450" max="8450" width="11" style="10" customWidth="1"/>
    <col min="8451" max="8693" width="8.85546875" style="10"/>
    <col min="8694" max="8694" width="40" style="10" customWidth="1"/>
    <col min="8695" max="8695" width="12" style="10" customWidth="1"/>
    <col min="8696" max="8698" width="10.42578125" style="10" customWidth="1"/>
    <col min="8699" max="8699" width="11" style="10" customWidth="1"/>
    <col min="8700" max="8700" width="4.7109375" style="10" customWidth="1"/>
    <col min="8701" max="8701" width="32.42578125" style="10" customWidth="1"/>
    <col min="8702" max="8702" width="12" style="10" customWidth="1"/>
    <col min="8703" max="8705" width="13.5703125" style="10" customWidth="1"/>
    <col min="8706" max="8706" width="11" style="10" customWidth="1"/>
    <col min="8707" max="8949" width="8.85546875" style="10"/>
    <col min="8950" max="8950" width="40" style="10" customWidth="1"/>
    <col min="8951" max="8951" width="12" style="10" customWidth="1"/>
    <col min="8952" max="8954" width="10.42578125" style="10" customWidth="1"/>
    <col min="8955" max="8955" width="11" style="10" customWidth="1"/>
    <col min="8956" max="8956" width="4.7109375" style="10" customWidth="1"/>
    <col min="8957" max="8957" width="32.42578125" style="10" customWidth="1"/>
    <col min="8958" max="8958" width="12" style="10" customWidth="1"/>
    <col min="8959" max="8961" width="13.5703125" style="10" customWidth="1"/>
    <col min="8962" max="8962" width="11" style="10" customWidth="1"/>
    <col min="8963" max="9205" width="8.85546875" style="10"/>
    <col min="9206" max="9206" width="40" style="10" customWidth="1"/>
    <col min="9207" max="9207" width="12" style="10" customWidth="1"/>
    <col min="9208" max="9210" width="10.42578125" style="10" customWidth="1"/>
    <col min="9211" max="9211" width="11" style="10" customWidth="1"/>
    <col min="9212" max="9212" width="4.7109375" style="10" customWidth="1"/>
    <col min="9213" max="9213" width="32.42578125" style="10" customWidth="1"/>
    <col min="9214" max="9214" width="12" style="10" customWidth="1"/>
    <col min="9215" max="9217" width="13.5703125" style="10" customWidth="1"/>
    <col min="9218" max="9218" width="11" style="10" customWidth="1"/>
    <col min="9219" max="9461" width="8.85546875" style="10"/>
    <col min="9462" max="9462" width="40" style="10" customWidth="1"/>
    <col min="9463" max="9463" width="12" style="10" customWidth="1"/>
    <col min="9464" max="9466" width="10.42578125" style="10" customWidth="1"/>
    <col min="9467" max="9467" width="11" style="10" customWidth="1"/>
    <col min="9468" max="9468" width="4.7109375" style="10" customWidth="1"/>
    <col min="9469" max="9469" width="32.42578125" style="10" customWidth="1"/>
    <col min="9470" max="9470" width="12" style="10" customWidth="1"/>
    <col min="9471" max="9473" width="13.5703125" style="10" customWidth="1"/>
    <col min="9474" max="9474" width="11" style="10" customWidth="1"/>
    <col min="9475" max="9717" width="8.85546875" style="10"/>
    <col min="9718" max="9718" width="40" style="10" customWidth="1"/>
    <col min="9719" max="9719" width="12" style="10" customWidth="1"/>
    <col min="9720" max="9722" width="10.42578125" style="10" customWidth="1"/>
    <col min="9723" max="9723" width="11" style="10" customWidth="1"/>
    <col min="9724" max="9724" width="4.7109375" style="10" customWidth="1"/>
    <col min="9725" max="9725" width="32.42578125" style="10" customWidth="1"/>
    <col min="9726" max="9726" width="12" style="10" customWidth="1"/>
    <col min="9727" max="9729" width="13.5703125" style="10" customWidth="1"/>
    <col min="9730" max="9730" width="11" style="10" customWidth="1"/>
    <col min="9731" max="9973" width="8.85546875" style="10"/>
    <col min="9974" max="9974" width="40" style="10" customWidth="1"/>
    <col min="9975" max="9975" width="12" style="10" customWidth="1"/>
    <col min="9976" max="9978" width="10.42578125" style="10" customWidth="1"/>
    <col min="9979" max="9979" width="11" style="10" customWidth="1"/>
    <col min="9980" max="9980" width="4.7109375" style="10" customWidth="1"/>
    <col min="9981" max="9981" width="32.42578125" style="10" customWidth="1"/>
    <col min="9982" max="9982" width="12" style="10" customWidth="1"/>
    <col min="9983" max="9985" width="13.5703125" style="10" customWidth="1"/>
    <col min="9986" max="9986" width="11" style="10" customWidth="1"/>
    <col min="9987" max="10229" width="8.85546875" style="10"/>
    <col min="10230" max="10230" width="40" style="10" customWidth="1"/>
    <col min="10231" max="10231" width="12" style="10" customWidth="1"/>
    <col min="10232" max="10234" width="10.42578125" style="10" customWidth="1"/>
    <col min="10235" max="10235" width="11" style="10" customWidth="1"/>
    <col min="10236" max="10236" width="4.7109375" style="10" customWidth="1"/>
    <col min="10237" max="10237" width="32.42578125" style="10" customWidth="1"/>
    <col min="10238" max="10238" width="12" style="10" customWidth="1"/>
    <col min="10239" max="10241" width="13.5703125" style="10" customWidth="1"/>
    <col min="10242" max="10242" width="11" style="10" customWidth="1"/>
    <col min="10243" max="10485" width="8.85546875" style="10"/>
    <col min="10486" max="10486" width="40" style="10" customWidth="1"/>
    <col min="10487" max="10487" width="12" style="10" customWidth="1"/>
    <col min="10488" max="10490" width="10.42578125" style="10" customWidth="1"/>
    <col min="10491" max="10491" width="11" style="10" customWidth="1"/>
    <col min="10492" max="10492" width="4.7109375" style="10" customWidth="1"/>
    <col min="10493" max="10493" width="32.42578125" style="10" customWidth="1"/>
    <col min="10494" max="10494" width="12" style="10" customWidth="1"/>
    <col min="10495" max="10497" width="13.5703125" style="10" customWidth="1"/>
    <col min="10498" max="10498" width="11" style="10" customWidth="1"/>
    <col min="10499" max="10741" width="8.85546875" style="10"/>
    <col min="10742" max="10742" width="40" style="10" customWidth="1"/>
    <col min="10743" max="10743" width="12" style="10" customWidth="1"/>
    <col min="10744" max="10746" width="10.42578125" style="10" customWidth="1"/>
    <col min="10747" max="10747" width="11" style="10" customWidth="1"/>
    <col min="10748" max="10748" width="4.7109375" style="10" customWidth="1"/>
    <col min="10749" max="10749" width="32.42578125" style="10" customWidth="1"/>
    <col min="10750" max="10750" width="12" style="10" customWidth="1"/>
    <col min="10751" max="10753" width="13.5703125" style="10" customWidth="1"/>
    <col min="10754" max="10754" width="11" style="10" customWidth="1"/>
    <col min="10755" max="10997" width="8.85546875" style="10"/>
    <col min="10998" max="10998" width="40" style="10" customWidth="1"/>
    <col min="10999" max="10999" width="12" style="10" customWidth="1"/>
    <col min="11000" max="11002" width="10.42578125" style="10" customWidth="1"/>
    <col min="11003" max="11003" width="11" style="10" customWidth="1"/>
    <col min="11004" max="11004" width="4.7109375" style="10" customWidth="1"/>
    <col min="11005" max="11005" width="32.42578125" style="10" customWidth="1"/>
    <col min="11006" max="11006" width="12" style="10" customWidth="1"/>
    <col min="11007" max="11009" width="13.5703125" style="10" customWidth="1"/>
    <col min="11010" max="11010" width="11" style="10" customWidth="1"/>
    <col min="11011" max="11253" width="8.85546875" style="10"/>
    <col min="11254" max="11254" width="40" style="10" customWidth="1"/>
    <col min="11255" max="11255" width="12" style="10" customWidth="1"/>
    <col min="11256" max="11258" width="10.42578125" style="10" customWidth="1"/>
    <col min="11259" max="11259" width="11" style="10" customWidth="1"/>
    <col min="11260" max="11260" width="4.7109375" style="10" customWidth="1"/>
    <col min="11261" max="11261" width="32.42578125" style="10" customWidth="1"/>
    <col min="11262" max="11262" width="12" style="10" customWidth="1"/>
    <col min="11263" max="11265" width="13.5703125" style="10" customWidth="1"/>
    <col min="11266" max="11266" width="11" style="10" customWidth="1"/>
    <col min="11267" max="11509" width="8.85546875" style="10"/>
    <col min="11510" max="11510" width="40" style="10" customWidth="1"/>
    <col min="11511" max="11511" width="12" style="10" customWidth="1"/>
    <col min="11512" max="11514" width="10.42578125" style="10" customWidth="1"/>
    <col min="11515" max="11515" width="11" style="10" customWidth="1"/>
    <col min="11516" max="11516" width="4.7109375" style="10" customWidth="1"/>
    <col min="11517" max="11517" width="32.42578125" style="10" customWidth="1"/>
    <col min="11518" max="11518" width="12" style="10" customWidth="1"/>
    <col min="11519" max="11521" width="13.5703125" style="10" customWidth="1"/>
    <col min="11522" max="11522" width="11" style="10" customWidth="1"/>
    <col min="11523" max="11765" width="8.85546875" style="10"/>
    <col min="11766" max="11766" width="40" style="10" customWidth="1"/>
    <col min="11767" max="11767" width="12" style="10" customWidth="1"/>
    <col min="11768" max="11770" width="10.42578125" style="10" customWidth="1"/>
    <col min="11771" max="11771" width="11" style="10" customWidth="1"/>
    <col min="11772" max="11772" width="4.7109375" style="10" customWidth="1"/>
    <col min="11773" max="11773" width="32.42578125" style="10" customWidth="1"/>
    <col min="11774" max="11774" width="12" style="10" customWidth="1"/>
    <col min="11775" max="11777" width="13.5703125" style="10" customWidth="1"/>
    <col min="11778" max="11778" width="11" style="10" customWidth="1"/>
    <col min="11779" max="12021" width="8.85546875" style="10"/>
    <col min="12022" max="12022" width="40" style="10" customWidth="1"/>
    <col min="12023" max="12023" width="12" style="10" customWidth="1"/>
    <col min="12024" max="12026" width="10.42578125" style="10" customWidth="1"/>
    <col min="12027" max="12027" width="11" style="10" customWidth="1"/>
    <col min="12028" max="12028" width="4.7109375" style="10" customWidth="1"/>
    <col min="12029" max="12029" width="32.42578125" style="10" customWidth="1"/>
    <col min="12030" max="12030" width="12" style="10" customWidth="1"/>
    <col min="12031" max="12033" width="13.5703125" style="10" customWidth="1"/>
    <col min="12034" max="12034" width="11" style="10" customWidth="1"/>
    <col min="12035" max="12277" width="8.85546875" style="10"/>
    <col min="12278" max="12278" width="40" style="10" customWidth="1"/>
    <col min="12279" max="12279" width="12" style="10" customWidth="1"/>
    <col min="12280" max="12282" width="10.42578125" style="10" customWidth="1"/>
    <col min="12283" max="12283" width="11" style="10" customWidth="1"/>
    <col min="12284" max="12284" width="4.7109375" style="10" customWidth="1"/>
    <col min="12285" max="12285" width="32.42578125" style="10" customWidth="1"/>
    <col min="12286" max="12286" width="12" style="10" customWidth="1"/>
    <col min="12287" max="12289" width="13.5703125" style="10" customWidth="1"/>
    <col min="12290" max="12290" width="11" style="10" customWidth="1"/>
    <col min="12291" max="12533" width="8.85546875" style="10"/>
    <col min="12534" max="12534" width="40" style="10" customWidth="1"/>
    <col min="12535" max="12535" width="12" style="10" customWidth="1"/>
    <col min="12536" max="12538" width="10.42578125" style="10" customWidth="1"/>
    <col min="12539" max="12539" width="11" style="10" customWidth="1"/>
    <col min="12540" max="12540" width="4.7109375" style="10" customWidth="1"/>
    <col min="12541" max="12541" width="32.42578125" style="10" customWidth="1"/>
    <col min="12542" max="12542" width="12" style="10" customWidth="1"/>
    <col min="12543" max="12545" width="13.5703125" style="10" customWidth="1"/>
    <col min="12546" max="12546" width="11" style="10" customWidth="1"/>
    <col min="12547" max="12789" width="8.85546875" style="10"/>
    <col min="12790" max="12790" width="40" style="10" customWidth="1"/>
    <col min="12791" max="12791" width="12" style="10" customWidth="1"/>
    <col min="12792" max="12794" width="10.42578125" style="10" customWidth="1"/>
    <col min="12795" max="12795" width="11" style="10" customWidth="1"/>
    <col min="12796" max="12796" width="4.7109375" style="10" customWidth="1"/>
    <col min="12797" max="12797" width="32.42578125" style="10" customWidth="1"/>
    <col min="12798" max="12798" width="12" style="10" customWidth="1"/>
    <col min="12799" max="12801" width="13.5703125" style="10" customWidth="1"/>
    <col min="12802" max="12802" width="11" style="10" customWidth="1"/>
    <col min="12803" max="13045" width="8.85546875" style="10"/>
    <col min="13046" max="13046" width="40" style="10" customWidth="1"/>
    <col min="13047" max="13047" width="12" style="10" customWidth="1"/>
    <col min="13048" max="13050" width="10.42578125" style="10" customWidth="1"/>
    <col min="13051" max="13051" width="11" style="10" customWidth="1"/>
    <col min="13052" max="13052" width="4.7109375" style="10" customWidth="1"/>
    <col min="13053" max="13053" width="32.42578125" style="10" customWidth="1"/>
    <col min="13054" max="13054" width="12" style="10" customWidth="1"/>
    <col min="13055" max="13057" width="13.5703125" style="10" customWidth="1"/>
    <col min="13058" max="13058" width="11" style="10" customWidth="1"/>
    <col min="13059" max="13301" width="8.85546875" style="10"/>
    <col min="13302" max="13302" width="40" style="10" customWidth="1"/>
    <col min="13303" max="13303" width="12" style="10" customWidth="1"/>
    <col min="13304" max="13306" width="10.42578125" style="10" customWidth="1"/>
    <col min="13307" max="13307" width="11" style="10" customWidth="1"/>
    <col min="13308" max="13308" width="4.7109375" style="10" customWidth="1"/>
    <col min="13309" max="13309" width="32.42578125" style="10" customWidth="1"/>
    <col min="13310" max="13310" width="12" style="10" customWidth="1"/>
    <col min="13311" max="13313" width="13.5703125" style="10" customWidth="1"/>
    <col min="13314" max="13314" width="11" style="10" customWidth="1"/>
    <col min="13315" max="13557" width="8.85546875" style="10"/>
    <col min="13558" max="13558" width="40" style="10" customWidth="1"/>
    <col min="13559" max="13559" width="12" style="10" customWidth="1"/>
    <col min="13560" max="13562" width="10.42578125" style="10" customWidth="1"/>
    <col min="13563" max="13563" width="11" style="10" customWidth="1"/>
    <col min="13564" max="13564" width="4.7109375" style="10" customWidth="1"/>
    <col min="13565" max="13565" width="32.42578125" style="10" customWidth="1"/>
    <col min="13566" max="13566" width="12" style="10" customWidth="1"/>
    <col min="13567" max="13569" width="13.5703125" style="10" customWidth="1"/>
    <col min="13570" max="13570" width="11" style="10" customWidth="1"/>
    <col min="13571" max="13813" width="8.85546875" style="10"/>
    <col min="13814" max="13814" width="40" style="10" customWidth="1"/>
    <col min="13815" max="13815" width="12" style="10" customWidth="1"/>
    <col min="13816" max="13818" width="10.42578125" style="10" customWidth="1"/>
    <col min="13819" max="13819" width="11" style="10" customWidth="1"/>
    <col min="13820" max="13820" width="4.7109375" style="10" customWidth="1"/>
    <col min="13821" max="13821" width="32.42578125" style="10" customWidth="1"/>
    <col min="13822" max="13822" width="12" style="10" customWidth="1"/>
    <col min="13823" max="13825" width="13.5703125" style="10" customWidth="1"/>
    <col min="13826" max="13826" width="11" style="10" customWidth="1"/>
    <col min="13827" max="14069" width="8.85546875" style="10"/>
    <col min="14070" max="14070" width="40" style="10" customWidth="1"/>
    <col min="14071" max="14071" width="12" style="10" customWidth="1"/>
    <col min="14072" max="14074" width="10.42578125" style="10" customWidth="1"/>
    <col min="14075" max="14075" width="11" style="10" customWidth="1"/>
    <col min="14076" max="14076" width="4.7109375" style="10" customWidth="1"/>
    <col min="14077" max="14077" width="32.42578125" style="10" customWidth="1"/>
    <col min="14078" max="14078" width="12" style="10" customWidth="1"/>
    <col min="14079" max="14081" width="13.5703125" style="10" customWidth="1"/>
    <col min="14082" max="14082" width="11" style="10" customWidth="1"/>
    <col min="14083" max="14325" width="8.85546875" style="10"/>
    <col min="14326" max="14326" width="40" style="10" customWidth="1"/>
    <col min="14327" max="14327" width="12" style="10" customWidth="1"/>
    <col min="14328" max="14330" width="10.42578125" style="10" customWidth="1"/>
    <col min="14331" max="14331" width="11" style="10" customWidth="1"/>
    <col min="14332" max="14332" width="4.7109375" style="10" customWidth="1"/>
    <col min="14333" max="14333" width="32.42578125" style="10" customWidth="1"/>
    <col min="14334" max="14334" width="12" style="10" customWidth="1"/>
    <col min="14335" max="14337" width="13.5703125" style="10" customWidth="1"/>
    <col min="14338" max="14338" width="11" style="10" customWidth="1"/>
    <col min="14339" max="14581" width="8.85546875" style="10"/>
    <col min="14582" max="14582" width="40" style="10" customWidth="1"/>
    <col min="14583" max="14583" width="12" style="10" customWidth="1"/>
    <col min="14584" max="14586" width="10.42578125" style="10" customWidth="1"/>
    <col min="14587" max="14587" width="11" style="10" customWidth="1"/>
    <col min="14588" max="14588" width="4.7109375" style="10" customWidth="1"/>
    <col min="14589" max="14589" width="32.42578125" style="10" customWidth="1"/>
    <col min="14590" max="14590" width="12" style="10" customWidth="1"/>
    <col min="14591" max="14593" width="13.5703125" style="10" customWidth="1"/>
    <col min="14594" max="14594" width="11" style="10" customWidth="1"/>
    <col min="14595" max="14837" width="8.85546875" style="10"/>
    <col min="14838" max="14838" width="40" style="10" customWidth="1"/>
    <col min="14839" max="14839" width="12" style="10" customWidth="1"/>
    <col min="14840" max="14842" width="10.42578125" style="10" customWidth="1"/>
    <col min="14843" max="14843" width="11" style="10" customWidth="1"/>
    <col min="14844" max="14844" width="4.7109375" style="10" customWidth="1"/>
    <col min="14845" max="14845" width="32.42578125" style="10" customWidth="1"/>
    <col min="14846" max="14846" width="12" style="10" customWidth="1"/>
    <col min="14847" max="14849" width="13.5703125" style="10" customWidth="1"/>
    <col min="14850" max="14850" width="11" style="10" customWidth="1"/>
    <col min="14851" max="15093" width="8.85546875" style="10"/>
    <col min="15094" max="15094" width="40" style="10" customWidth="1"/>
    <col min="15095" max="15095" width="12" style="10" customWidth="1"/>
    <col min="15096" max="15098" width="10.42578125" style="10" customWidth="1"/>
    <col min="15099" max="15099" width="11" style="10" customWidth="1"/>
    <col min="15100" max="15100" width="4.7109375" style="10" customWidth="1"/>
    <col min="15101" max="15101" width="32.42578125" style="10" customWidth="1"/>
    <col min="15102" max="15102" width="12" style="10" customWidth="1"/>
    <col min="15103" max="15105" width="13.5703125" style="10" customWidth="1"/>
    <col min="15106" max="15106" width="11" style="10" customWidth="1"/>
    <col min="15107" max="15349" width="8.85546875" style="10"/>
    <col min="15350" max="15350" width="40" style="10" customWidth="1"/>
    <col min="15351" max="15351" width="12" style="10" customWidth="1"/>
    <col min="15352" max="15354" width="10.42578125" style="10" customWidth="1"/>
    <col min="15355" max="15355" width="11" style="10" customWidth="1"/>
    <col min="15356" max="15356" width="4.7109375" style="10" customWidth="1"/>
    <col min="15357" max="15357" width="32.42578125" style="10" customWidth="1"/>
    <col min="15358" max="15358" width="12" style="10" customWidth="1"/>
    <col min="15359" max="15361" width="13.5703125" style="10" customWidth="1"/>
    <col min="15362" max="15362" width="11" style="10" customWidth="1"/>
    <col min="15363" max="15605" width="8.85546875" style="10"/>
    <col min="15606" max="15606" width="40" style="10" customWidth="1"/>
    <col min="15607" max="15607" width="12" style="10" customWidth="1"/>
    <col min="15608" max="15610" width="10.42578125" style="10" customWidth="1"/>
    <col min="15611" max="15611" width="11" style="10" customWidth="1"/>
    <col min="15612" max="15612" width="4.7109375" style="10" customWidth="1"/>
    <col min="15613" max="15613" width="32.42578125" style="10" customWidth="1"/>
    <col min="15614" max="15614" width="12" style="10" customWidth="1"/>
    <col min="15615" max="15617" width="13.5703125" style="10" customWidth="1"/>
    <col min="15618" max="15618" width="11" style="10" customWidth="1"/>
    <col min="15619" max="15861" width="8.85546875" style="10"/>
    <col min="15862" max="15862" width="40" style="10" customWidth="1"/>
    <col min="15863" max="15863" width="12" style="10" customWidth="1"/>
    <col min="15864" max="15866" width="10.42578125" style="10" customWidth="1"/>
    <col min="15867" max="15867" width="11" style="10" customWidth="1"/>
    <col min="15868" max="15868" width="4.7109375" style="10" customWidth="1"/>
    <col min="15869" max="15869" width="32.42578125" style="10" customWidth="1"/>
    <col min="15870" max="15870" width="12" style="10" customWidth="1"/>
    <col min="15871" max="15873" width="13.5703125" style="10" customWidth="1"/>
    <col min="15874" max="15874" width="11" style="10" customWidth="1"/>
    <col min="15875" max="16117" width="8.85546875" style="10"/>
    <col min="16118" max="16118" width="40" style="10" customWidth="1"/>
    <col min="16119" max="16119" width="12" style="10" customWidth="1"/>
    <col min="16120" max="16122" width="10.42578125" style="10" customWidth="1"/>
    <col min="16123" max="16123" width="11" style="10" customWidth="1"/>
    <col min="16124" max="16124" width="4.7109375" style="10" customWidth="1"/>
    <col min="16125" max="16125" width="32.42578125" style="10" customWidth="1"/>
    <col min="16126" max="16126" width="12" style="10" customWidth="1"/>
    <col min="16127" max="16129" width="13.5703125" style="10" customWidth="1"/>
    <col min="16130" max="16130" width="11" style="10" customWidth="1"/>
    <col min="16131" max="16384" width="8.85546875" style="10"/>
  </cols>
  <sheetData>
    <row r="1" spans="1:11" ht="15.6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551" t="s">
        <v>1108</v>
      </c>
    </row>
    <row r="2" spans="1:11" ht="12.75" customHeight="1" x14ac:dyDescent="0.2">
      <c r="A2" s="636" t="s">
        <v>124</v>
      </c>
      <c r="B2" s="636"/>
      <c r="C2" s="636"/>
      <c r="D2" s="636"/>
      <c r="E2" s="636"/>
      <c r="F2" s="636"/>
      <c r="G2" s="636"/>
      <c r="H2" s="636"/>
      <c r="I2" s="636"/>
      <c r="J2" s="636"/>
    </row>
    <row r="3" spans="1:11" x14ac:dyDescent="0.2">
      <c r="A3" s="637" t="s">
        <v>1001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1" x14ac:dyDescent="0.2">
      <c r="A4" s="560"/>
      <c r="B4" s="570"/>
      <c r="C4" s="570"/>
      <c r="D4" s="570"/>
      <c r="E4" s="570"/>
      <c r="F4" s="570"/>
      <c r="G4" s="560"/>
      <c r="H4" s="12"/>
    </row>
    <row r="5" spans="1:11" x14ac:dyDescent="0.2">
      <c r="A5" s="555" t="s">
        <v>125</v>
      </c>
      <c r="B5" s="571"/>
      <c r="C5" s="571"/>
      <c r="D5" s="571"/>
      <c r="E5" s="571"/>
      <c r="F5" s="570"/>
      <c r="G5" s="555" t="s">
        <v>126</v>
      </c>
      <c r="H5" s="12"/>
    </row>
    <row r="6" spans="1:11" x14ac:dyDescent="0.2">
      <c r="A6" s="568"/>
      <c r="B6" s="567" t="s">
        <v>697</v>
      </c>
      <c r="C6" s="567" t="s">
        <v>1034</v>
      </c>
      <c r="D6" s="567" t="s">
        <v>1002</v>
      </c>
      <c r="E6" s="567" t="s">
        <v>1149</v>
      </c>
      <c r="F6" s="569"/>
      <c r="G6" s="568"/>
      <c r="H6" s="567" t="s">
        <v>697</v>
      </c>
      <c r="I6" s="567" t="s">
        <v>1034</v>
      </c>
      <c r="J6" s="567" t="s">
        <v>1002</v>
      </c>
      <c r="K6" s="567" t="s">
        <v>1149</v>
      </c>
    </row>
    <row r="7" spans="1:11" x14ac:dyDescent="0.2">
      <c r="A7" s="555"/>
      <c r="B7" s="564" t="s">
        <v>25</v>
      </c>
      <c r="C7" s="564" t="s">
        <v>25</v>
      </c>
      <c r="D7" s="564" t="s">
        <v>25</v>
      </c>
      <c r="E7" s="564" t="s">
        <v>25</v>
      </c>
      <c r="F7" s="566"/>
      <c r="G7" s="565"/>
      <c r="H7" s="564" t="s">
        <v>25</v>
      </c>
      <c r="I7" s="564" t="s">
        <v>25</v>
      </c>
      <c r="J7" s="564" t="s">
        <v>25</v>
      </c>
      <c r="K7" s="564" t="s">
        <v>25</v>
      </c>
    </row>
    <row r="8" spans="1:11" x14ac:dyDescent="0.2">
      <c r="A8" s="560" t="s">
        <v>127</v>
      </c>
      <c r="B8" s="559">
        <v>239215</v>
      </c>
      <c r="C8" s="559">
        <v>314530</v>
      </c>
      <c r="D8" s="559">
        <f>'1. m. bevételek'!D9+'1. m. bevételek'!D15+'1. m. bevételek'!D21+'1. m. bevételek'!D28+'1. m. bevételek'!D37+'1. m. bevételek'!D57</f>
        <v>237125</v>
      </c>
      <c r="E8" s="559">
        <v>186125</v>
      </c>
      <c r="F8" s="559"/>
      <c r="G8" s="560" t="s">
        <v>22</v>
      </c>
      <c r="H8" s="554">
        <v>733332</v>
      </c>
      <c r="I8" s="554">
        <v>864455</v>
      </c>
      <c r="J8" s="554">
        <f>'2. m. kiadások'!D9+'2. m. kiadások'!D22+'2. m. kiadások'!D33+'2. m. kiadások'!D42+'2. m. kiadások'!D58+'2. m. kiadások'!D83</f>
        <v>854673</v>
      </c>
      <c r="K8" s="554">
        <v>833687</v>
      </c>
    </row>
    <row r="9" spans="1:11" x14ac:dyDescent="0.2">
      <c r="A9" s="560" t="s">
        <v>60</v>
      </c>
      <c r="B9" s="559">
        <v>823846</v>
      </c>
      <c r="C9" s="559">
        <v>854600</v>
      </c>
      <c r="D9" s="559">
        <f>'1. m. bevételek'!D76</f>
        <v>861000</v>
      </c>
      <c r="E9" s="559">
        <v>803000</v>
      </c>
      <c r="F9" s="559"/>
      <c r="G9" s="560" t="s">
        <v>128</v>
      </c>
      <c r="H9" s="554">
        <v>149468</v>
      </c>
      <c r="I9" s="554">
        <v>166642</v>
      </c>
      <c r="J9" s="554">
        <f>'2. m. kiadások'!D10+'2. m. kiadások'!D23+'2. m. kiadások'!D34+'2. m. kiadások'!D43+'2. m. kiadások'!D59+'2. m. kiadások'!D98</f>
        <v>151038</v>
      </c>
      <c r="K9" s="554">
        <v>141783</v>
      </c>
    </row>
    <row r="10" spans="1:11" x14ac:dyDescent="0.2">
      <c r="A10" s="560" t="s">
        <v>129</v>
      </c>
      <c r="B10" s="559">
        <v>1173885</v>
      </c>
      <c r="C10" s="559">
        <v>1377209</v>
      </c>
      <c r="D10" s="559">
        <f>'1. m. bevételek'!D84</f>
        <v>1116168</v>
      </c>
      <c r="E10" s="559">
        <v>1127707</v>
      </c>
      <c r="F10" s="559"/>
      <c r="G10" s="560" t="s">
        <v>27</v>
      </c>
      <c r="H10" s="554">
        <v>877991</v>
      </c>
      <c r="I10" s="554">
        <v>1181256</v>
      </c>
      <c r="J10" s="554">
        <f>'2. m. kiadások'!D11+'2. m. kiadások'!D24+'2. m. kiadások'!D35+'2. m. kiadások'!D44+'2. m. kiadások'!D60+'2. m. kiadások'!D175</f>
        <v>863281</v>
      </c>
      <c r="K10" s="554">
        <v>793714</v>
      </c>
    </row>
    <row r="11" spans="1:11" ht="24" x14ac:dyDescent="0.2">
      <c r="A11" s="560" t="s">
        <v>1003</v>
      </c>
      <c r="B11" s="559">
        <v>252239</v>
      </c>
      <c r="C11" s="559">
        <v>295537</v>
      </c>
      <c r="D11" s="559">
        <f>'1. m. bevételek'!D134+'1. m. bevételek'!D149</f>
        <v>134616</v>
      </c>
      <c r="E11" s="559">
        <v>138198</v>
      </c>
      <c r="F11" s="559"/>
      <c r="G11" s="562" t="s">
        <v>178</v>
      </c>
      <c r="H11" s="554">
        <v>609728</v>
      </c>
      <c r="I11" s="554">
        <v>752736</v>
      </c>
      <c r="J11" s="554">
        <f>'2. m. kiadások'!D208+'2. m. kiadások'!D233+'2. m. kiadások'!D249</f>
        <v>546974</v>
      </c>
      <c r="K11" s="554">
        <v>555166</v>
      </c>
    </row>
    <row r="12" spans="1:11" x14ac:dyDescent="0.2">
      <c r="A12" s="560" t="s">
        <v>1148</v>
      </c>
      <c r="B12" s="559">
        <v>1000</v>
      </c>
      <c r="C12" s="559">
        <v>0</v>
      </c>
      <c r="D12" s="559">
        <f>'1. m. bevételek'!D157</f>
        <v>1500</v>
      </c>
      <c r="E12" s="559">
        <v>3000</v>
      </c>
      <c r="F12" s="559"/>
      <c r="G12" s="560" t="s">
        <v>49</v>
      </c>
      <c r="H12" s="554">
        <v>33660</v>
      </c>
      <c r="I12" s="554">
        <v>59399</v>
      </c>
      <c r="J12" s="554">
        <f>'2. m. kiadások'!D197</f>
        <v>27382</v>
      </c>
      <c r="K12" s="554">
        <v>27382</v>
      </c>
    </row>
    <row r="13" spans="1:11" x14ac:dyDescent="0.2">
      <c r="A13" s="560" t="s">
        <v>130</v>
      </c>
      <c r="B13" s="559">
        <v>2000</v>
      </c>
      <c r="C13" s="559">
        <v>25000</v>
      </c>
      <c r="D13" s="559">
        <f>'1. m. bevételek'!D179</f>
        <v>28550</v>
      </c>
      <c r="E13" s="559">
        <v>28550</v>
      </c>
      <c r="F13" s="559"/>
      <c r="G13" s="560" t="s">
        <v>131</v>
      </c>
      <c r="H13" s="554">
        <v>868729</v>
      </c>
      <c r="I13" s="554">
        <v>1089642</v>
      </c>
      <c r="J13" s="554">
        <f>'2. m. kiadások'!D331</f>
        <v>0</v>
      </c>
      <c r="K13" s="554">
        <v>379077</v>
      </c>
    </row>
    <row r="14" spans="1:11" x14ac:dyDescent="0.2">
      <c r="A14" s="560" t="s">
        <v>132</v>
      </c>
      <c r="B14" s="559">
        <v>248107</v>
      </c>
      <c r="C14" s="559">
        <v>258904</v>
      </c>
      <c r="D14" s="559">
        <f>'1. m. bevételek'!D198</f>
        <v>100787</v>
      </c>
      <c r="E14" s="559">
        <v>198921</v>
      </c>
      <c r="F14" s="559"/>
      <c r="G14" s="560" t="s">
        <v>134</v>
      </c>
      <c r="H14" s="554">
        <v>11750</v>
      </c>
      <c r="I14" s="554">
        <v>17406</v>
      </c>
      <c r="J14" s="554">
        <v>0</v>
      </c>
      <c r="K14" s="12">
        <v>0</v>
      </c>
    </row>
    <row r="15" spans="1:11" x14ac:dyDescent="0.2">
      <c r="A15" s="560" t="s">
        <v>133</v>
      </c>
      <c r="B15" s="559">
        <v>868729</v>
      </c>
      <c r="C15" s="559">
        <v>1089642</v>
      </c>
      <c r="D15" s="559">
        <f>'1. m. bevételek'!D214</f>
        <v>0</v>
      </c>
      <c r="E15" s="559">
        <v>379077</v>
      </c>
      <c r="F15" s="559"/>
      <c r="G15" s="560" t="s">
        <v>136</v>
      </c>
      <c r="H15" s="554">
        <v>0</v>
      </c>
      <c r="I15" s="554">
        <v>177955</v>
      </c>
      <c r="J15" s="554">
        <f>'2. m. kiadások'!D242+'2. m. kiadások'!D244</f>
        <v>20969</v>
      </c>
      <c r="K15" s="554">
        <v>115970</v>
      </c>
    </row>
    <row r="16" spans="1:11" ht="24" x14ac:dyDescent="0.2">
      <c r="A16" s="560" t="s">
        <v>135</v>
      </c>
      <c r="B16" s="559">
        <v>41198</v>
      </c>
      <c r="C16" s="559">
        <v>41705</v>
      </c>
      <c r="D16" s="559">
        <f>'1. m. bevételek'!D217</f>
        <v>0</v>
      </c>
      <c r="E16" s="559">
        <v>0</v>
      </c>
      <c r="F16" s="559"/>
      <c r="G16" s="558" t="s">
        <v>149</v>
      </c>
      <c r="H16" s="554">
        <v>38852</v>
      </c>
      <c r="I16" s="554">
        <v>41199</v>
      </c>
      <c r="J16" s="554">
        <f>'2. m. kiadások'!D334</f>
        <v>41705</v>
      </c>
      <c r="K16" s="554">
        <v>41705</v>
      </c>
    </row>
    <row r="17" spans="1:11" x14ac:dyDescent="0.2">
      <c r="A17" s="13"/>
      <c r="B17" s="559"/>
      <c r="C17" s="559"/>
      <c r="D17" s="559"/>
      <c r="E17" s="559"/>
      <c r="F17" s="559"/>
      <c r="I17" s="554"/>
      <c r="J17" s="554"/>
      <c r="K17" s="12"/>
    </row>
    <row r="18" spans="1:11" x14ac:dyDescent="0.2">
      <c r="A18" s="555" t="s">
        <v>137</v>
      </c>
      <c r="B18" s="556">
        <f>SUM(B8:B17)</f>
        <v>3650219</v>
      </c>
      <c r="C18" s="556">
        <f>SUM(C8:C17)</f>
        <v>4257127</v>
      </c>
      <c r="D18" s="556">
        <f>SUM(D8:D17)</f>
        <v>2479746</v>
      </c>
      <c r="E18" s="556">
        <v>2864578</v>
      </c>
      <c r="F18" s="563"/>
      <c r="G18" s="555" t="s">
        <v>138</v>
      </c>
      <c r="H18" s="557">
        <f>SUM(H8:H16)</f>
        <v>3323510</v>
      </c>
      <c r="I18" s="557">
        <f>SUM(I8:I17)</f>
        <v>4350690</v>
      </c>
      <c r="J18" s="557">
        <f>SUM(J8:J17)</f>
        <v>2506022</v>
      </c>
      <c r="K18" s="557">
        <v>2888484</v>
      </c>
    </row>
    <row r="19" spans="1:11" x14ac:dyDescent="0.2">
      <c r="A19" s="13"/>
      <c r="B19" s="556"/>
      <c r="C19" s="556"/>
      <c r="D19" s="556"/>
      <c r="E19" s="556"/>
      <c r="F19" s="556"/>
      <c r="G19" s="560"/>
      <c r="H19" s="554"/>
      <c r="I19" s="554"/>
      <c r="J19" s="554"/>
      <c r="K19" s="12"/>
    </row>
    <row r="20" spans="1:11" x14ac:dyDescent="0.2">
      <c r="A20" s="560" t="s">
        <v>69</v>
      </c>
      <c r="B20" s="554">
        <v>315391</v>
      </c>
      <c r="C20" s="554">
        <v>446249</v>
      </c>
      <c r="D20" s="554">
        <f>'1. m. bevételek'!D107</f>
        <v>331057</v>
      </c>
      <c r="E20" s="554">
        <v>331057</v>
      </c>
      <c r="F20" s="12"/>
      <c r="G20" s="560" t="s">
        <v>51</v>
      </c>
      <c r="H20" s="554">
        <v>393652</v>
      </c>
      <c r="I20" s="554">
        <v>738581</v>
      </c>
      <c r="J20" s="554">
        <f>'2. m. kiadások'!D14+'2. m. kiadások'!D48+'2. m. kiadások'!D66+'2. m. kiadások'!D280+'2. m. kiadások'!D38</f>
        <v>713252</v>
      </c>
      <c r="K20" s="554">
        <v>715151</v>
      </c>
    </row>
    <row r="21" spans="1:11" x14ac:dyDescent="0.2">
      <c r="A21" s="560" t="s">
        <v>183</v>
      </c>
      <c r="B21" s="559">
        <v>2268</v>
      </c>
      <c r="C21" s="559">
        <v>2139</v>
      </c>
      <c r="D21" s="559">
        <v>0</v>
      </c>
      <c r="E21" s="559">
        <v>689</v>
      </c>
      <c r="F21" s="559"/>
      <c r="G21" s="560" t="s">
        <v>20</v>
      </c>
      <c r="H21" s="554">
        <v>235033</v>
      </c>
      <c r="I21" s="554">
        <v>477332</v>
      </c>
      <c r="J21" s="554">
        <f>'2. m. kiadások'!D18+'2. m. kiadások'!D28+'2. m. kiadások'!D52+'2. m. kiadások'!D300</f>
        <v>246374</v>
      </c>
      <c r="K21" s="554">
        <v>247034</v>
      </c>
    </row>
    <row r="22" spans="1:11" ht="24" x14ac:dyDescent="0.2">
      <c r="A22" s="560" t="s">
        <v>139</v>
      </c>
      <c r="B22" s="559">
        <v>532</v>
      </c>
      <c r="C22" s="559">
        <v>3995</v>
      </c>
      <c r="D22" s="559">
        <f>'1. m. bevételek'!D162</f>
        <v>4807</v>
      </c>
      <c r="E22" s="559">
        <v>4807</v>
      </c>
      <c r="F22" s="559"/>
      <c r="G22" s="562" t="s">
        <v>177</v>
      </c>
      <c r="H22" s="554">
        <v>10093</v>
      </c>
      <c r="I22" s="554">
        <v>24578</v>
      </c>
      <c r="J22" s="554">
        <f>'2. m. kiadások'!D306+'2. m. kiadások'!D312</f>
        <v>31063</v>
      </c>
      <c r="K22" s="554">
        <v>31563</v>
      </c>
    </row>
    <row r="23" spans="1:11" x14ac:dyDescent="0.2">
      <c r="A23" s="560" t="s">
        <v>140</v>
      </c>
      <c r="B23" s="561">
        <v>189886</v>
      </c>
      <c r="C23" s="561">
        <v>343253</v>
      </c>
      <c r="D23" s="561">
        <f>'1. m. bevételek'!D144</f>
        <v>249786</v>
      </c>
      <c r="E23" s="561">
        <v>249786</v>
      </c>
      <c r="F23" s="561"/>
      <c r="G23" s="560" t="s">
        <v>152</v>
      </c>
      <c r="H23" s="554">
        <v>20584</v>
      </c>
      <c r="I23" s="554">
        <v>20668</v>
      </c>
      <c r="J23" s="554">
        <f>'2. m. kiadások'!D330</f>
        <v>47057</v>
      </c>
      <c r="K23" s="554">
        <v>47057</v>
      </c>
    </row>
    <row r="24" spans="1:11" x14ac:dyDescent="0.2">
      <c r="A24" s="560" t="s">
        <v>141</v>
      </c>
      <c r="B24" s="559">
        <v>23885</v>
      </c>
      <c r="C24" s="559">
        <v>9200</v>
      </c>
      <c r="D24" s="559">
        <f>'1. m. bevételek'!D172</f>
        <v>8850</v>
      </c>
      <c r="E24" s="559">
        <v>8850</v>
      </c>
      <c r="F24" s="559"/>
      <c r="G24" s="560" t="s">
        <v>176</v>
      </c>
      <c r="H24" s="554">
        <v>420</v>
      </c>
      <c r="I24" s="554">
        <v>10614</v>
      </c>
      <c r="J24" s="554">
        <f>'2. m. kiadások'!D321</f>
        <v>41000</v>
      </c>
      <c r="K24" s="554">
        <v>41000</v>
      </c>
    </row>
    <row r="25" spans="1:11" x14ac:dyDescent="0.2">
      <c r="A25" s="560" t="s">
        <v>142</v>
      </c>
      <c r="B25" s="559">
        <v>383010</v>
      </c>
      <c r="C25" s="559">
        <v>323000</v>
      </c>
      <c r="D25" s="559">
        <f>'1. m. bevételek'!D209</f>
        <v>482263</v>
      </c>
      <c r="E25" s="559">
        <v>482263</v>
      </c>
      <c r="F25" s="559"/>
      <c r="G25" s="560" t="s">
        <v>144</v>
      </c>
      <c r="H25" s="554">
        <v>0</v>
      </c>
      <c r="I25" s="554">
        <v>0</v>
      </c>
      <c r="J25" s="554">
        <v>0</v>
      </c>
      <c r="K25" s="12">
        <v>0</v>
      </c>
    </row>
    <row r="26" spans="1:11" x14ac:dyDescent="0.2">
      <c r="A26" s="560" t="s">
        <v>143</v>
      </c>
      <c r="B26" s="559">
        <v>0</v>
      </c>
      <c r="C26" s="559">
        <v>237500</v>
      </c>
      <c r="D26" s="559">
        <f>'1. m. bevételek'!D213</f>
        <v>28259</v>
      </c>
      <c r="E26" s="559">
        <v>28259</v>
      </c>
      <c r="F26" s="559"/>
      <c r="I26" s="554"/>
      <c r="J26" s="554"/>
      <c r="K26" s="12"/>
    </row>
    <row r="27" spans="1:11" x14ac:dyDescent="0.2">
      <c r="A27" s="560"/>
      <c r="B27" s="559"/>
      <c r="C27" s="559"/>
      <c r="D27" s="559"/>
      <c r="E27" s="559"/>
      <c r="F27" s="559"/>
      <c r="G27" s="558"/>
      <c r="H27" s="554"/>
      <c r="I27" s="554"/>
      <c r="J27" s="554"/>
      <c r="K27" s="12"/>
    </row>
    <row r="28" spans="1:11" x14ac:dyDescent="0.2">
      <c r="A28" s="555" t="s">
        <v>145</v>
      </c>
      <c r="B28" s="556">
        <f>SUM(B20:B27)</f>
        <v>914972</v>
      </c>
      <c r="C28" s="556">
        <f>SUM(C20:C27)</f>
        <v>1365336</v>
      </c>
      <c r="D28" s="556">
        <f>SUM(D20:D27)</f>
        <v>1105022</v>
      </c>
      <c r="E28" s="556">
        <v>1105711</v>
      </c>
      <c r="F28" s="556"/>
      <c r="G28" s="555" t="s">
        <v>146</v>
      </c>
      <c r="H28" s="557">
        <f>SUM(H20:H27)</f>
        <v>659782</v>
      </c>
      <c r="I28" s="557">
        <f>SUM(I20:I27)</f>
        <v>1271773</v>
      </c>
      <c r="J28" s="557">
        <f>SUM(J20:J27)</f>
        <v>1078746</v>
      </c>
      <c r="K28" s="557">
        <v>1081805</v>
      </c>
    </row>
    <row r="29" spans="1:11" x14ac:dyDescent="0.2">
      <c r="A29" s="555"/>
      <c r="B29" s="556"/>
      <c r="C29" s="556"/>
      <c r="D29" s="556"/>
      <c r="E29" s="556"/>
      <c r="F29" s="556"/>
      <c r="G29" s="555"/>
      <c r="H29" s="557"/>
      <c r="I29" s="557"/>
      <c r="J29" s="554"/>
      <c r="K29" s="12"/>
    </row>
    <row r="30" spans="1:11" x14ac:dyDescent="0.2">
      <c r="A30" s="555"/>
      <c r="B30" s="556"/>
      <c r="C30" s="556"/>
      <c r="D30" s="556"/>
      <c r="E30" s="556"/>
      <c r="F30" s="556"/>
      <c r="G30" s="555"/>
      <c r="H30" s="554"/>
      <c r="I30" s="554"/>
      <c r="J30" s="554"/>
      <c r="K30" s="12"/>
    </row>
    <row r="31" spans="1:11" x14ac:dyDescent="0.2">
      <c r="A31" s="553" t="s">
        <v>147</v>
      </c>
      <c r="B31" s="552">
        <f>SUM(B28,B18)</f>
        <v>4565191</v>
      </c>
      <c r="C31" s="552">
        <f>SUM(C28,C18)</f>
        <v>5622463</v>
      </c>
      <c r="D31" s="552">
        <f>SUM(D28,D18)</f>
        <v>3584768</v>
      </c>
      <c r="E31" s="552">
        <v>3970289</v>
      </c>
      <c r="F31" s="552"/>
      <c r="G31" s="553" t="s">
        <v>148</v>
      </c>
      <c r="H31" s="552">
        <f>SUM(H28,H18)</f>
        <v>3983292</v>
      </c>
      <c r="I31" s="552">
        <f>SUM(I28,I18)</f>
        <v>5622463</v>
      </c>
      <c r="J31" s="552">
        <f>SUM(J28,J18)</f>
        <v>3584768</v>
      </c>
      <c r="K31" s="552">
        <v>3970289</v>
      </c>
    </row>
  </sheetData>
  <mergeCells count="2">
    <mergeCell ref="A2:J2"/>
    <mergeCell ref="A3:J3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0"/>
  <sheetViews>
    <sheetView view="pageBreakPreview" zoomScaleNormal="100" zoomScaleSheetLayoutView="100" workbookViewId="0">
      <selection activeCell="M1" sqref="M1"/>
    </sheetView>
  </sheetViews>
  <sheetFormatPr defaultRowHeight="12.75" x14ac:dyDescent="0.2"/>
  <cols>
    <col min="1" max="1" width="6.42578125" style="54" customWidth="1"/>
    <col min="2" max="2" width="30.7109375" style="76" customWidth="1"/>
    <col min="3" max="4" width="11.5703125" style="54" customWidth="1"/>
    <col min="5" max="12" width="9.85546875" style="54" bestFit="1" customWidth="1"/>
    <col min="13" max="13" width="10.7109375" style="54" customWidth="1"/>
    <col min="14" max="14" width="11.5703125" style="54" customWidth="1"/>
    <col min="15" max="16" width="11.28515625" style="55" customWidth="1"/>
    <col min="17" max="17" width="11.85546875" style="55" customWidth="1"/>
    <col min="18" max="20" width="11.28515625" style="55" customWidth="1"/>
    <col min="21" max="21" width="11.85546875" style="54" customWidth="1"/>
    <col min="22" max="256" width="9.140625" style="54"/>
    <col min="257" max="257" width="6.42578125" style="54" customWidth="1"/>
    <col min="258" max="258" width="30.7109375" style="54" customWidth="1"/>
    <col min="259" max="260" width="11.5703125" style="54" customWidth="1"/>
    <col min="261" max="262" width="8.7109375" style="54" customWidth="1"/>
    <col min="263" max="266" width="9.85546875" style="54" bestFit="1" customWidth="1"/>
    <col min="267" max="268" width="8.7109375" style="54" customWidth="1"/>
    <col min="269" max="269" width="10.7109375" style="54" customWidth="1"/>
    <col min="270" max="270" width="34.7109375" style="54" customWidth="1"/>
    <col min="271" max="272" width="11.28515625" style="54" customWidth="1"/>
    <col min="273" max="273" width="11.85546875" style="54" customWidth="1"/>
    <col min="274" max="276" width="11.28515625" style="54" customWidth="1"/>
    <col min="277" max="277" width="11.85546875" style="54" customWidth="1"/>
    <col min="278" max="512" width="9.140625" style="54"/>
    <col min="513" max="513" width="6.42578125" style="54" customWidth="1"/>
    <col min="514" max="514" width="30.7109375" style="54" customWidth="1"/>
    <col min="515" max="516" width="11.5703125" style="54" customWidth="1"/>
    <col min="517" max="518" width="8.7109375" style="54" customWidth="1"/>
    <col min="519" max="522" width="9.85546875" style="54" bestFit="1" customWidth="1"/>
    <col min="523" max="524" width="8.7109375" style="54" customWidth="1"/>
    <col min="525" max="525" width="10.7109375" style="54" customWidth="1"/>
    <col min="526" max="526" width="34.7109375" style="54" customWidth="1"/>
    <col min="527" max="528" width="11.28515625" style="54" customWidth="1"/>
    <col min="529" max="529" width="11.85546875" style="54" customWidth="1"/>
    <col min="530" max="532" width="11.28515625" style="54" customWidth="1"/>
    <col min="533" max="533" width="11.85546875" style="54" customWidth="1"/>
    <col min="534" max="768" width="9.140625" style="54"/>
    <col min="769" max="769" width="6.42578125" style="54" customWidth="1"/>
    <col min="770" max="770" width="30.7109375" style="54" customWidth="1"/>
    <col min="771" max="772" width="11.5703125" style="54" customWidth="1"/>
    <col min="773" max="774" width="8.7109375" style="54" customWidth="1"/>
    <col min="775" max="778" width="9.85546875" style="54" bestFit="1" customWidth="1"/>
    <col min="779" max="780" width="8.7109375" style="54" customWidth="1"/>
    <col min="781" max="781" width="10.7109375" style="54" customWidth="1"/>
    <col min="782" max="782" width="34.7109375" style="54" customWidth="1"/>
    <col min="783" max="784" width="11.28515625" style="54" customWidth="1"/>
    <col min="785" max="785" width="11.85546875" style="54" customWidth="1"/>
    <col min="786" max="788" width="11.28515625" style="54" customWidth="1"/>
    <col min="789" max="789" width="11.85546875" style="54" customWidth="1"/>
    <col min="790" max="1024" width="9.140625" style="54"/>
    <col min="1025" max="1025" width="6.42578125" style="54" customWidth="1"/>
    <col min="1026" max="1026" width="30.7109375" style="54" customWidth="1"/>
    <col min="1027" max="1028" width="11.5703125" style="54" customWidth="1"/>
    <col min="1029" max="1030" width="8.7109375" style="54" customWidth="1"/>
    <col min="1031" max="1034" width="9.85546875" style="54" bestFit="1" customWidth="1"/>
    <col min="1035" max="1036" width="8.7109375" style="54" customWidth="1"/>
    <col min="1037" max="1037" width="10.7109375" style="54" customWidth="1"/>
    <col min="1038" max="1038" width="34.7109375" style="54" customWidth="1"/>
    <col min="1039" max="1040" width="11.28515625" style="54" customWidth="1"/>
    <col min="1041" max="1041" width="11.85546875" style="54" customWidth="1"/>
    <col min="1042" max="1044" width="11.28515625" style="54" customWidth="1"/>
    <col min="1045" max="1045" width="11.85546875" style="54" customWidth="1"/>
    <col min="1046" max="1280" width="9.140625" style="54"/>
    <col min="1281" max="1281" width="6.42578125" style="54" customWidth="1"/>
    <col min="1282" max="1282" width="30.7109375" style="54" customWidth="1"/>
    <col min="1283" max="1284" width="11.5703125" style="54" customWidth="1"/>
    <col min="1285" max="1286" width="8.7109375" style="54" customWidth="1"/>
    <col min="1287" max="1290" width="9.85546875" style="54" bestFit="1" customWidth="1"/>
    <col min="1291" max="1292" width="8.7109375" style="54" customWidth="1"/>
    <col min="1293" max="1293" width="10.7109375" style="54" customWidth="1"/>
    <col min="1294" max="1294" width="34.7109375" style="54" customWidth="1"/>
    <col min="1295" max="1296" width="11.28515625" style="54" customWidth="1"/>
    <col min="1297" max="1297" width="11.85546875" style="54" customWidth="1"/>
    <col min="1298" max="1300" width="11.28515625" style="54" customWidth="1"/>
    <col min="1301" max="1301" width="11.85546875" style="54" customWidth="1"/>
    <col min="1302" max="1536" width="9.140625" style="54"/>
    <col min="1537" max="1537" width="6.42578125" style="54" customWidth="1"/>
    <col min="1538" max="1538" width="30.7109375" style="54" customWidth="1"/>
    <col min="1539" max="1540" width="11.5703125" style="54" customWidth="1"/>
    <col min="1541" max="1542" width="8.7109375" style="54" customWidth="1"/>
    <col min="1543" max="1546" width="9.85546875" style="54" bestFit="1" customWidth="1"/>
    <col min="1547" max="1548" width="8.7109375" style="54" customWidth="1"/>
    <col min="1549" max="1549" width="10.7109375" style="54" customWidth="1"/>
    <col min="1550" max="1550" width="34.7109375" style="54" customWidth="1"/>
    <col min="1551" max="1552" width="11.28515625" style="54" customWidth="1"/>
    <col min="1553" max="1553" width="11.85546875" style="54" customWidth="1"/>
    <col min="1554" max="1556" width="11.28515625" style="54" customWidth="1"/>
    <col min="1557" max="1557" width="11.85546875" style="54" customWidth="1"/>
    <col min="1558" max="1792" width="9.140625" style="54"/>
    <col min="1793" max="1793" width="6.42578125" style="54" customWidth="1"/>
    <col min="1794" max="1794" width="30.7109375" style="54" customWidth="1"/>
    <col min="1795" max="1796" width="11.5703125" style="54" customWidth="1"/>
    <col min="1797" max="1798" width="8.7109375" style="54" customWidth="1"/>
    <col min="1799" max="1802" width="9.85546875" style="54" bestFit="1" customWidth="1"/>
    <col min="1803" max="1804" width="8.7109375" style="54" customWidth="1"/>
    <col min="1805" max="1805" width="10.7109375" style="54" customWidth="1"/>
    <col min="1806" max="1806" width="34.7109375" style="54" customWidth="1"/>
    <col min="1807" max="1808" width="11.28515625" style="54" customWidth="1"/>
    <col min="1809" max="1809" width="11.85546875" style="54" customWidth="1"/>
    <col min="1810" max="1812" width="11.28515625" style="54" customWidth="1"/>
    <col min="1813" max="1813" width="11.85546875" style="54" customWidth="1"/>
    <col min="1814" max="2048" width="9.140625" style="54"/>
    <col min="2049" max="2049" width="6.42578125" style="54" customWidth="1"/>
    <col min="2050" max="2050" width="30.7109375" style="54" customWidth="1"/>
    <col min="2051" max="2052" width="11.5703125" style="54" customWidth="1"/>
    <col min="2053" max="2054" width="8.7109375" style="54" customWidth="1"/>
    <col min="2055" max="2058" width="9.85546875" style="54" bestFit="1" customWidth="1"/>
    <col min="2059" max="2060" width="8.7109375" style="54" customWidth="1"/>
    <col min="2061" max="2061" width="10.7109375" style="54" customWidth="1"/>
    <col min="2062" max="2062" width="34.7109375" style="54" customWidth="1"/>
    <col min="2063" max="2064" width="11.28515625" style="54" customWidth="1"/>
    <col min="2065" max="2065" width="11.85546875" style="54" customWidth="1"/>
    <col min="2066" max="2068" width="11.28515625" style="54" customWidth="1"/>
    <col min="2069" max="2069" width="11.85546875" style="54" customWidth="1"/>
    <col min="2070" max="2304" width="9.140625" style="54"/>
    <col min="2305" max="2305" width="6.42578125" style="54" customWidth="1"/>
    <col min="2306" max="2306" width="30.7109375" style="54" customWidth="1"/>
    <col min="2307" max="2308" width="11.5703125" style="54" customWidth="1"/>
    <col min="2309" max="2310" width="8.7109375" style="54" customWidth="1"/>
    <col min="2311" max="2314" width="9.85546875" style="54" bestFit="1" customWidth="1"/>
    <col min="2315" max="2316" width="8.7109375" style="54" customWidth="1"/>
    <col min="2317" max="2317" width="10.7109375" style="54" customWidth="1"/>
    <col min="2318" max="2318" width="34.7109375" style="54" customWidth="1"/>
    <col min="2319" max="2320" width="11.28515625" style="54" customWidth="1"/>
    <col min="2321" max="2321" width="11.85546875" style="54" customWidth="1"/>
    <col min="2322" max="2324" width="11.28515625" style="54" customWidth="1"/>
    <col min="2325" max="2325" width="11.85546875" style="54" customWidth="1"/>
    <col min="2326" max="2560" width="9.140625" style="54"/>
    <col min="2561" max="2561" width="6.42578125" style="54" customWidth="1"/>
    <col min="2562" max="2562" width="30.7109375" style="54" customWidth="1"/>
    <col min="2563" max="2564" width="11.5703125" style="54" customWidth="1"/>
    <col min="2565" max="2566" width="8.7109375" style="54" customWidth="1"/>
    <col min="2567" max="2570" width="9.85546875" style="54" bestFit="1" customWidth="1"/>
    <col min="2571" max="2572" width="8.7109375" style="54" customWidth="1"/>
    <col min="2573" max="2573" width="10.7109375" style="54" customWidth="1"/>
    <col min="2574" max="2574" width="34.7109375" style="54" customWidth="1"/>
    <col min="2575" max="2576" width="11.28515625" style="54" customWidth="1"/>
    <col min="2577" max="2577" width="11.85546875" style="54" customWidth="1"/>
    <col min="2578" max="2580" width="11.28515625" style="54" customWidth="1"/>
    <col min="2581" max="2581" width="11.85546875" style="54" customWidth="1"/>
    <col min="2582" max="2816" width="9.140625" style="54"/>
    <col min="2817" max="2817" width="6.42578125" style="54" customWidth="1"/>
    <col min="2818" max="2818" width="30.7109375" style="54" customWidth="1"/>
    <col min="2819" max="2820" width="11.5703125" style="54" customWidth="1"/>
    <col min="2821" max="2822" width="8.7109375" style="54" customWidth="1"/>
    <col min="2823" max="2826" width="9.85546875" style="54" bestFit="1" customWidth="1"/>
    <col min="2827" max="2828" width="8.7109375" style="54" customWidth="1"/>
    <col min="2829" max="2829" width="10.7109375" style="54" customWidth="1"/>
    <col min="2830" max="2830" width="34.7109375" style="54" customWidth="1"/>
    <col min="2831" max="2832" width="11.28515625" style="54" customWidth="1"/>
    <col min="2833" max="2833" width="11.85546875" style="54" customWidth="1"/>
    <col min="2834" max="2836" width="11.28515625" style="54" customWidth="1"/>
    <col min="2837" max="2837" width="11.85546875" style="54" customWidth="1"/>
    <col min="2838" max="3072" width="9.140625" style="54"/>
    <col min="3073" max="3073" width="6.42578125" style="54" customWidth="1"/>
    <col min="3074" max="3074" width="30.7109375" style="54" customWidth="1"/>
    <col min="3075" max="3076" width="11.5703125" style="54" customWidth="1"/>
    <col min="3077" max="3078" width="8.7109375" style="54" customWidth="1"/>
    <col min="3079" max="3082" width="9.85546875" style="54" bestFit="1" customWidth="1"/>
    <col min="3083" max="3084" width="8.7109375" style="54" customWidth="1"/>
    <col min="3085" max="3085" width="10.7109375" style="54" customWidth="1"/>
    <col min="3086" max="3086" width="34.7109375" style="54" customWidth="1"/>
    <col min="3087" max="3088" width="11.28515625" style="54" customWidth="1"/>
    <col min="3089" max="3089" width="11.85546875" style="54" customWidth="1"/>
    <col min="3090" max="3092" width="11.28515625" style="54" customWidth="1"/>
    <col min="3093" max="3093" width="11.85546875" style="54" customWidth="1"/>
    <col min="3094" max="3328" width="9.140625" style="54"/>
    <col min="3329" max="3329" width="6.42578125" style="54" customWidth="1"/>
    <col min="3330" max="3330" width="30.7109375" style="54" customWidth="1"/>
    <col min="3331" max="3332" width="11.5703125" style="54" customWidth="1"/>
    <col min="3333" max="3334" width="8.7109375" style="54" customWidth="1"/>
    <col min="3335" max="3338" width="9.85546875" style="54" bestFit="1" customWidth="1"/>
    <col min="3339" max="3340" width="8.7109375" style="54" customWidth="1"/>
    <col min="3341" max="3341" width="10.7109375" style="54" customWidth="1"/>
    <col min="3342" max="3342" width="34.7109375" style="54" customWidth="1"/>
    <col min="3343" max="3344" width="11.28515625" style="54" customWidth="1"/>
    <col min="3345" max="3345" width="11.85546875" style="54" customWidth="1"/>
    <col min="3346" max="3348" width="11.28515625" style="54" customWidth="1"/>
    <col min="3349" max="3349" width="11.85546875" style="54" customWidth="1"/>
    <col min="3350" max="3584" width="9.140625" style="54"/>
    <col min="3585" max="3585" width="6.42578125" style="54" customWidth="1"/>
    <col min="3586" max="3586" width="30.7109375" style="54" customWidth="1"/>
    <col min="3587" max="3588" width="11.5703125" style="54" customWidth="1"/>
    <col min="3589" max="3590" width="8.7109375" style="54" customWidth="1"/>
    <col min="3591" max="3594" width="9.85546875" style="54" bestFit="1" customWidth="1"/>
    <col min="3595" max="3596" width="8.7109375" style="54" customWidth="1"/>
    <col min="3597" max="3597" width="10.7109375" style="54" customWidth="1"/>
    <col min="3598" max="3598" width="34.7109375" style="54" customWidth="1"/>
    <col min="3599" max="3600" width="11.28515625" style="54" customWidth="1"/>
    <col min="3601" max="3601" width="11.85546875" style="54" customWidth="1"/>
    <col min="3602" max="3604" width="11.28515625" style="54" customWidth="1"/>
    <col min="3605" max="3605" width="11.85546875" style="54" customWidth="1"/>
    <col min="3606" max="3840" width="9.140625" style="54"/>
    <col min="3841" max="3841" width="6.42578125" style="54" customWidth="1"/>
    <col min="3842" max="3842" width="30.7109375" style="54" customWidth="1"/>
    <col min="3843" max="3844" width="11.5703125" style="54" customWidth="1"/>
    <col min="3845" max="3846" width="8.7109375" style="54" customWidth="1"/>
    <col min="3847" max="3850" width="9.85546875" style="54" bestFit="1" customWidth="1"/>
    <col min="3851" max="3852" width="8.7109375" style="54" customWidth="1"/>
    <col min="3853" max="3853" width="10.7109375" style="54" customWidth="1"/>
    <col min="3854" max="3854" width="34.7109375" style="54" customWidth="1"/>
    <col min="3855" max="3856" width="11.28515625" style="54" customWidth="1"/>
    <col min="3857" max="3857" width="11.85546875" style="54" customWidth="1"/>
    <col min="3858" max="3860" width="11.28515625" style="54" customWidth="1"/>
    <col min="3861" max="3861" width="11.85546875" style="54" customWidth="1"/>
    <col min="3862" max="4096" width="9.140625" style="54"/>
    <col min="4097" max="4097" width="6.42578125" style="54" customWidth="1"/>
    <col min="4098" max="4098" width="30.7109375" style="54" customWidth="1"/>
    <col min="4099" max="4100" width="11.5703125" style="54" customWidth="1"/>
    <col min="4101" max="4102" width="8.7109375" style="54" customWidth="1"/>
    <col min="4103" max="4106" width="9.85546875" style="54" bestFit="1" customWidth="1"/>
    <col min="4107" max="4108" width="8.7109375" style="54" customWidth="1"/>
    <col min="4109" max="4109" width="10.7109375" style="54" customWidth="1"/>
    <col min="4110" max="4110" width="34.7109375" style="54" customWidth="1"/>
    <col min="4111" max="4112" width="11.28515625" style="54" customWidth="1"/>
    <col min="4113" max="4113" width="11.85546875" style="54" customWidth="1"/>
    <col min="4114" max="4116" width="11.28515625" style="54" customWidth="1"/>
    <col min="4117" max="4117" width="11.85546875" style="54" customWidth="1"/>
    <col min="4118" max="4352" width="9.140625" style="54"/>
    <col min="4353" max="4353" width="6.42578125" style="54" customWidth="1"/>
    <col min="4354" max="4354" width="30.7109375" style="54" customWidth="1"/>
    <col min="4355" max="4356" width="11.5703125" style="54" customWidth="1"/>
    <col min="4357" max="4358" width="8.7109375" style="54" customWidth="1"/>
    <col min="4359" max="4362" width="9.85546875" style="54" bestFit="1" customWidth="1"/>
    <col min="4363" max="4364" width="8.7109375" style="54" customWidth="1"/>
    <col min="4365" max="4365" width="10.7109375" style="54" customWidth="1"/>
    <col min="4366" max="4366" width="34.7109375" style="54" customWidth="1"/>
    <col min="4367" max="4368" width="11.28515625" style="54" customWidth="1"/>
    <col min="4369" max="4369" width="11.85546875" style="54" customWidth="1"/>
    <col min="4370" max="4372" width="11.28515625" style="54" customWidth="1"/>
    <col min="4373" max="4373" width="11.85546875" style="54" customWidth="1"/>
    <col min="4374" max="4608" width="9.140625" style="54"/>
    <col min="4609" max="4609" width="6.42578125" style="54" customWidth="1"/>
    <col min="4610" max="4610" width="30.7109375" style="54" customWidth="1"/>
    <col min="4611" max="4612" width="11.5703125" style="54" customWidth="1"/>
    <col min="4613" max="4614" width="8.7109375" style="54" customWidth="1"/>
    <col min="4615" max="4618" width="9.85546875" style="54" bestFit="1" customWidth="1"/>
    <col min="4619" max="4620" width="8.7109375" style="54" customWidth="1"/>
    <col min="4621" max="4621" width="10.7109375" style="54" customWidth="1"/>
    <col min="4622" max="4622" width="34.7109375" style="54" customWidth="1"/>
    <col min="4623" max="4624" width="11.28515625" style="54" customWidth="1"/>
    <col min="4625" max="4625" width="11.85546875" style="54" customWidth="1"/>
    <col min="4626" max="4628" width="11.28515625" style="54" customWidth="1"/>
    <col min="4629" max="4629" width="11.85546875" style="54" customWidth="1"/>
    <col min="4630" max="4864" width="9.140625" style="54"/>
    <col min="4865" max="4865" width="6.42578125" style="54" customWidth="1"/>
    <col min="4866" max="4866" width="30.7109375" style="54" customWidth="1"/>
    <col min="4867" max="4868" width="11.5703125" style="54" customWidth="1"/>
    <col min="4869" max="4870" width="8.7109375" style="54" customWidth="1"/>
    <col min="4871" max="4874" width="9.85546875" style="54" bestFit="1" customWidth="1"/>
    <col min="4875" max="4876" width="8.7109375" style="54" customWidth="1"/>
    <col min="4877" max="4877" width="10.7109375" style="54" customWidth="1"/>
    <col min="4878" max="4878" width="34.7109375" style="54" customWidth="1"/>
    <col min="4879" max="4880" width="11.28515625" style="54" customWidth="1"/>
    <col min="4881" max="4881" width="11.85546875" style="54" customWidth="1"/>
    <col min="4882" max="4884" width="11.28515625" style="54" customWidth="1"/>
    <col min="4885" max="4885" width="11.85546875" style="54" customWidth="1"/>
    <col min="4886" max="5120" width="9.140625" style="54"/>
    <col min="5121" max="5121" width="6.42578125" style="54" customWidth="1"/>
    <col min="5122" max="5122" width="30.7109375" style="54" customWidth="1"/>
    <col min="5123" max="5124" width="11.5703125" style="54" customWidth="1"/>
    <col min="5125" max="5126" width="8.7109375" style="54" customWidth="1"/>
    <col min="5127" max="5130" width="9.85546875" style="54" bestFit="1" customWidth="1"/>
    <col min="5131" max="5132" width="8.7109375" style="54" customWidth="1"/>
    <col min="5133" max="5133" width="10.7109375" style="54" customWidth="1"/>
    <col min="5134" max="5134" width="34.7109375" style="54" customWidth="1"/>
    <col min="5135" max="5136" width="11.28515625" style="54" customWidth="1"/>
    <col min="5137" max="5137" width="11.85546875" style="54" customWidth="1"/>
    <col min="5138" max="5140" width="11.28515625" style="54" customWidth="1"/>
    <col min="5141" max="5141" width="11.85546875" style="54" customWidth="1"/>
    <col min="5142" max="5376" width="9.140625" style="54"/>
    <col min="5377" max="5377" width="6.42578125" style="54" customWidth="1"/>
    <col min="5378" max="5378" width="30.7109375" style="54" customWidth="1"/>
    <col min="5379" max="5380" width="11.5703125" style="54" customWidth="1"/>
    <col min="5381" max="5382" width="8.7109375" style="54" customWidth="1"/>
    <col min="5383" max="5386" width="9.85546875" style="54" bestFit="1" customWidth="1"/>
    <col min="5387" max="5388" width="8.7109375" style="54" customWidth="1"/>
    <col min="5389" max="5389" width="10.7109375" style="54" customWidth="1"/>
    <col min="5390" max="5390" width="34.7109375" style="54" customWidth="1"/>
    <col min="5391" max="5392" width="11.28515625" style="54" customWidth="1"/>
    <col min="5393" max="5393" width="11.85546875" style="54" customWidth="1"/>
    <col min="5394" max="5396" width="11.28515625" style="54" customWidth="1"/>
    <col min="5397" max="5397" width="11.85546875" style="54" customWidth="1"/>
    <col min="5398" max="5632" width="9.140625" style="54"/>
    <col min="5633" max="5633" width="6.42578125" style="54" customWidth="1"/>
    <col min="5634" max="5634" width="30.7109375" style="54" customWidth="1"/>
    <col min="5635" max="5636" width="11.5703125" style="54" customWidth="1"/>
    <col min="5637" max="5638" width="8.7109375" style="54" customWidth="1"/>
    <col min="5639" max="5642" width="9.85546875" style="54" bestFit="1" customWidth="1"/>
    <col min="5643" max="5644" width="8.7109375" style="54" customWidth="1"/>
    <col min="5645" max="5645" width="10.7109375" style="54" customWidth="1"/>
    <col min="5646" max="5646" width="34.7109375" style="54" customWidth="1"/>
    <col min="5647" max="5648" width="11.28515625" style="54" customWidth="1"/>
    <col min="5649" max="5649" width="11.85546875" style="54" customWidth="1"/>
    <col min="5650" max="5652" width="11.28515625" style="54" customWidth="1"/>
    <col min="5653" max="5653" width="11.85546875" style="54" customWidth="1"/>
    <col min="5654" max="5888" width="9.140625" style="54"/>
    <col min="5889" max="5889" width="6.42578125" style="54" customWidth="1"/>
    <col min="5890" max="5890" width="30.7109375" style="54" customWidth="1"/>
    <col min="5891" max="5892" width="11.5703125" style="54" customWidth="1"/>
    <col min="5893" max="5894" width="8.7109375" style="54" customWidth="1"/>
    <col min="5895" max="5898" width="9.85546875" style="54" bestFit="1" customWidth="1"/>
    <col min="5899" max="5900" width="8.7109375" style="54" customWidth="1"/>
    <col min="5901" max="5901" width="10.7109375" style="54" customWidth="1"/>
    <col min="5902" max="5902" width="34.7109375" style="54" customWidth="1"/>
    <col min="5903" max="5904" width="11.28515625" style="54" customWidth="1"/>
    <col min="5905" max="5905" width="11.85546875" style="54" customWidth="1"/>
    <col min="5906" max="5908" width="11.28515625" style="54" customWidth="1"/>
    <col min="5909" max="5909" width="11.85546875" style="54" customWidth="1"/>
    <col min="5910" max="6144" width="9.140625" style="54"/>
    <col min="6145" max="6145" width="6.42578125" style="54" customWidth="1"/>
    <col min="6146" max="6146" width="30.7109375" style="54" customWidth="1"/>
    <col min="6147" max="6148" width="11.5703125" style="54" customWidth="1"/>
    <col min="6149" max="6150" width="8.7109375" style="54" customWidth="1"/>
    <col min="6151" max="6154" width="9.85546875" style="54" bestFit="1" customWidth="1"/>
    <col min="6155" max="6156" width="8.7109375" style="54" customWidth="1"/>
    <col min="6157" max="6157" width="10.7109375" style="54" customWidth="1"/>
    <col min="6158" max="6158" width="34.7109375" style="54" customWidth="1"/>
    <col min="6159" max="6160" width="11.28515625" style="54" customWidth="1"/>
    <col min="6161" max="6161" width="11.85546875" style="54" customWidth="1"/>
    <col min="6162" max="6164" width="11.28515625" style="54" customWidth="1"/>
    <col min="6165" max="6165" width="11.85546875" style="54" customWidth="1"/>
    <col min="6166" max="6400" width="9.140625" style="54"/>
    <col min="6401" max="6401" width="6.42578125" style="54" customWidth="1"/>
    <col min="6402" max="6402" width="30.7109375" style="54" customWidth="1"/>
    <col min="6403" max="6404" width="11.5703125" style="54" customWidth="1"/>
    <col min="6405" max="6406" width="8.7109375" style="54" customWidth="1"/>
    <col min="6407" max="6410" width="9.85546875" style="54" bestFit="1" customWidth="1"/>
    <col min="6411" max="6412" width="8.7109375" style="54" customWidth="1"/>
    <col min="6413" max="6413" width="10.7109375" style="54" customWidth="1"/>
    <col min="6414" max="6414" width="34.7109375" style="54" customWidth="1"/>
    <col min="6415" max="6416" width="11.28515625" style="54" customWidth="1"/>
    <col min="6417" max="6417" width="11.85546875" style="54" customWidth="1"/>
    <col min="6418" max="6420" width="11.28515625" style="54" customWidth="1"/>
    <col min="6421" max="6421" width="11.85546875" style="54" customWidth="1"/>
    <col min="6422" max="6656" width="9.140625" style="54"/>
    <col min="6657" max="6657" width="6.42578125" style="54" customWidth="1"/>
    <col min="6658" max="6658" width="30.7109375" style="54" customWidth="1"/>
    <col min="6659" max="6660" width="11.5703125" style="54" customWidth="1"/>
    <col min="6661" max="6662" width="8.7109375" style="54" customWidth="1"/>
    <col min="6663" max="6666" width="9.85546875" style="54" bestFit="1" customWidth="1"/>
    <col min="6667" max="6668" width="8.7109375" style="54" customWidth="1"/>
    <col min="6669" max="6669" width="10.7109375" style="54" customWidth="1"/>
    <col min="6670" max="6670" width="34.7109375" style="54" customWidth="1"/>
    <col min="6671" max="6672" width="11.28515625" style="54" customWidth="1"/>
    <col min="6673" max="6673" width="11.85546875" style="54" customWidth="1"/>
    <col min="6674" max="6676" width="11.28515625" style="54" customWidth="1"/>
    <col min="6677" max="6677" width="11.85546875" style="54" customWidth="1"/>
    <col min="6678" max="6912" width="9.140625" style="54"/>
    <col min="6913" max="6913" width="6.42578125" style="54" customWidth="1"/>
    <col min="6914" max="6914" width="30.7109375" style="54" customWidth="1"/>
    <col min="6915" max="6916" width="11.5703125" style="54" customWidth="1"/>
    <col min="6917" max="6918" width="8.7109375" style="54" customWidth="1"/>
    <col min="6919" max="6922" width="9.85546875" style="54" bestFit="1" customWidth="1"/>
    <col min="6923" max="6924" width="8.7109375" style="54" customWidth="1"/>
    <col min="6925" max="6925" width="10.7109375" style="54" customWidth="1"/>
    <col min="6926" max="6926" width="34.7109375" style="54" customWidth="1"/>
    <col min="6927" max="6928" width="11.28515625" style="54" customWidth="1"/>
    <col min="6929" max="6929" width="11.85546875" style="54" customWidth="1"/>
    <col min="6930" max="6932" width="11.28515625" style="54" customWidth="1"/>
    <col min="6933" max="6933" width="11.85546875" style="54" customWidth="1"/>
    <col min="6934" max="7168" width="9.140625" style="54"/>
    <col min="7169" max="7169" width="6.42578125" style="54" customWidth="1"/>
    <col min="7170" max="7170" width="30.7109375" style="54" customWidth="1"/>
    <col min="7171" max="7172" width="11.5703125" style="54" customWidth="1"/>
    <col min="7173" max="7174" width="8.7109375" style="54" customWidth="1"/>
    <col min="7175" max="7178" width="9.85546875" style="54" bestFit="1" customWidth="1"/>
    <col min="7179" max="7180" width="8.7109375" style="54" customWidth="1"/>
    <col min="7181" max="7181" width="10.7109375" style="54" customWidth="1"/>
    <col min="7182" max="7182" width="34.7109375" style="54" customWidth="1"/>
    <col min="7183" max="7184" width="11.28515625" style="54" customWidth="1"/>
    <col min="7185" max="7185" width="11.85546875" style="54" customWidth="1"/>
    <col min="7186" max="7188" width="11.28515625" style="54" customWidth="1"/>
    <col min="7189" max="7189" width="11.85546875" style="54" customWidth="1"/>
    <col min="7190" max="7424" width="9.140625" style="54"/>
    <col min="7425" max="7425" width="6.42578125" style="54" customWidth="1"/>
    <col min="7426" max="7426" width="30.7109375" style="54" customWidth="1"/>
    <col min="7427" max="7428" width="11.5703125" style="54" customWidth="1"/>
    <col min="7429" max="7430" width="8.7109375" style="54" customWidth="1"/>
    <col min="7431" max="7434" width="9.85546875" style="54" bestFit="1" customWidth="1"/>
    <col min="7435" max="7436" width="8.7109375" style="54" customWidth="1"/>
    <col min="7437" max="7437" width="10.7109375" style="54" customWidth="1"/>
    <col min="7438" max="7438" width="34.7109375" style="54" customWidth="1"/>
    <col min="7439" max="7440" width="11.28515625" style="54" customWidth="1"/>
    <col min="7441" max="7441" width="11.85546875" style="54" customWidth="1"/>
    <col min="7442" max="7444" width="11.28515625" style="54" customWidth="1"/>
    <col min="7445" max="7445" width="11.85546875" style="54" customWidth="1"/>
    <col min="7446" max="7680" width="9.140625" style="54"/>
    <col min="7681" max="7681" width="6.42578125" style="54" customWidth="1"/>
    <col min="7682" max="7682" width="30.7109375" style="54" customWidth="1"/>
    <col min="7683" max="7684" width="11.5703125" style="54" customWidth="1"/>
    <col min="7685" max="7686" width="8.7109375" style="54" customWidth="1"/>
    <col min="7687" max="7690" width="9.85546875" style="54" bestFit="1" customWidth="1"/>
    <col min="7691" max="7692" width="8.7109375" style="54" customWidth="1"/>
    <col min="7693" max="7693" width="10.7109375" style="54" customWidth="1"/>
    <col min="7694" max="7694" width="34.7109375" style="54" customWidth="1"/>
    <col min="7695" max="7696" width="11.28515625" style="54" customWidth="1"/>
    <col min="7697" max="7697" width="11.85546875" style="54" customWidth="1"/>
    <col min="7698" max="7700" width="11.28515625" style="54" customWidth="1"/>
    <col min="7701" max="7701" width="11.85546875" style="54" customWidth="1"/>
    <col min="7702" max="7936" width="9.140625" style="54"/>
    <col min="7937" max="7937" width="6.42578125" style="54" customWidth="1"/>
    <col min="7938" max="7938" width="30.7109375" style="54" customWidth="1"/>
    <col min="7939" max="7940" width="11.5703125" style="54" customWidth="1"/>
    <col min="7941" max="7942" width="8.7109375" style="54" customWidth="1"/>
    <col min="7943" max="7946" width="9.85546875" style="54" bestFit="1" customWidth="1"/>
    <col min="7947" max="7948" width="8.7109375" style="54" customWidth="1"/>
    <col min="7949" max="7949" width="10.7109375" style="54" customWidth="1"/>
    <col min="7950" max="7950" width="34.7109375" style="54" customWidth="1"/>
    <col min="7951" max="7952" width="11.28515625" style="54" customWidth="1"/>
    <col min="7953" max="7953" width="11.85546875" style="54" customWidth="1"/>
    <col min="7954" max="7956" width="11.28515625" style="54" customWidth="1"/>
    <col min="7957" max="7957" width="11.85546875" style="54" customWidth="1"/>
    <col min="7958" max="8192" width="9.140625" style="54"/>
    <col min="8193" max="8193" width="6.42578125" style="54" customWidth="1"/>
    <col min="8194" max="8194" width="30.7109375" style="54" customWidth="1"/>
    <col min="8195" max="8196" width="11.5703125" style="54" customWidth="1"/>
    <col min="8197" max="8198" width="8.7109375" style="54" customWidth="1"/>
    <col min="8199" max="8202" width="9.85546875" style="54" bestFit="1" customWidth="1"/>
    <col min="8203" max="8204" width="8.7109375" style="54" customWidth="1"/>
    <col min="8205" max="8205" width="10.7109375" style="54" customWidth="1"/>
    <col min="8206" max="8206" width="34.7109375" style="54" customWidth="1"/>
    <col min="8207" max="8208" width="11.28515625" style="54" customWidth="1"/>
    <col min="8209" max="8209" width="11.85546875" style="54" customWidth="1"/>
    <col min="8210" max="8212" width="11.28515625" style="54" customWidth="1"/>
    <col min="8213" max="8213" width="11.85546875" style="54" customWidth="1"/>
    <col min="8214" max="8448" width="9.140625" style="54"/>
    <col min="8449" max="8449" width="6.42578125" style="54" customWidth="1"/>
    <col min="8450" max="8450" width="30.7109375" style="54" customWidth="1"/>
    <col min="8451" max="8452" width="11.5703125" style="54" customWidth="1"/>
    <col min="8453" max="8454" width="8.7109375" style="54" customWidth="1"/>
    <col min="8455" max="8458" width="9.85546875" style="54" bestFit="1" customWidth="1"/>
    <col min="8459" max="8460" width="8.7109375" style="54" customWidth="1"/>
    <col min="8461" max="8461" width="10.7109375" style="54" customWidth="1"/>
    <col min="8462" max="8462" width="34.7109375" style="54" customWidth="1"/>
    <col min="8463" max="8464" width="11.28515625" style="54" customWidth="1"/>
    <col min="8465" max="8465" width="11.85546875" style="54" customWidth="1"/>
    <col min="8466" max="8468" width="11.28515625" style="54" customWidth="1"/>
    <col min="8469" max="8469" width="11.85546875" style="54" customWidth="1"/>
    <col min="8470" max="8704" width="9.140625" style="54"/>
    <col min="8705" max="8705" width="6.42578125" style="54" customWidth="1"/>
    <col min="8706" max="8706" width="30.7109375" style="54" customWidth="1"/>
    <col min="8707" max="8708" width="11.5703125" style="54" customWidth="1"/>
    <col min="8709" max="8710" width="8.7109375" style="54" customWidth="1"/>
    <col min="8711" max="8714" width="9.85546875" style="54" bestFit="1" customWidth="1"/>
    <col min="8715" max="8716" width="8.7109375" style="54" customWidth="1"/>
    <col min="8717" max="8717" width="10.7109375" style="54" customWidth="1"/>
    <col min="8718" max="8718" width="34.7109375" style="54" customWidth="1"/>
    <col min="8719" max="8720" width="11.28515625" style="54" customWidth="1"/>
    <col min="8721" max="8721" width="11.85546875" style="54" customWidth="1"/>
    <col min="8722" max="8724" width="11.28515625" style="54" customWidth="1"/>
    <col min="8725" max="8725" width="11.85546875" style="54" customWidth="1"/>
    <col min="8726" max="8960" width="9.140625" style="54"/>
    <col min="8961" max="8961" width="6.42578125" style="54" customWidth="1"/>
    <col min="8962" max="8962" width="30.7109375" style="54" customWidth="1"/>
    <col min="8963" max="8964" width="11.5703125" style="54" customWidth="1"/>
    <col min="8965" max="8966" width="8.7109375" style="54" customWidth="1"/>
    <col min="8967" max="8970" width="9.85546875" style="54" bestFit="1" customWidth="1"/>
    <col min="8971" max="8972" width="8.7109375" style="54" customWidth="1"/>
    <col min="8973" max="8973" width="10.7109375" style="54" customWidth="1"/>
    <col min="8974" max="8974" width="34.7109375" style="54" customWidth="1"/>
    <col min="8975" max="8976" width="11.28515625" style="54" customWidth="1"/>
    <col min="8977" max="8977" width="11.85546875" style="54" customWidth="1"/>
    <col min="8978" max="8980" width="11.28515625" style="54" customWidth="1"/>
    <col min="8981" max="8981" width="11.85546875" style="54" customWidth="1"/>
    <col min="8982" max="9216" width="9.140625" style="54"/>
    <col min="9217" max="9217" width="6.42578125" style="54" customWidth="1"/>
    <col min="9218" max="9218" width="30.7109375" style="54" customWidth="1"/>
    <col min="9219" max="9220" width="11.5703125" style="54" customWidth="1"/>
    <col min="9221" max="9222" width="8.7109375" style="54" customWidth="1"/>
    <col min="9223" max="9226" width="9.85546875" style="54" bestFit="1" customWidth="1"/>
    <col min="9227" max="9228" width="8.7109375" style="54" customWidth="1"/>
    <col min="9229" max="9229" width="10.7109375" style="54" customWidth="1"/>
    <col min="9230" max="9230" width="34.7109375" style="54" customWidth="1"/>
    <col min="9231" max="9232" width="11.28515625" style="54" customWidth="1"/>
    <col min="9233" max="9233" width="11.85546875" style="54" customWidth="1"/>
    <col min="9234" max="9236" width="11.28515625" style="54" customWidth="1"/>
    <col min="9237" max="9237" width="11.85546875" style="54" customWidth="1"/>
    <col min="9238" max="9472" width="9.140625" style="54"/>
    <col min="9473" max="9473" width="6.42578125" style="54" customWidth="1"/>
    <col min="9474" max="9474" width="30.7109375" style="54" customWidth="1"/>
    <col min="9475" max="9476" width="11.5703125" style="54" customWidth="1"/>
    <col min="9477" max="9478" width="8.7109375" style="54" customWidth="1"/>
    <col min="9479" max="9482" width="9.85546875" style="54" bestFit="1" customWidth="1"/>
    <col min="9483" max="9484" width="8.7109375" style="54" customWidth="1"/>
    <col min="9485" max="9485" width="10.7109375" style="54" customWidth="1"/>
    <col min="9486" max="9486" width="34.7109375" style="54" customWidth="1"/>
    <col min="9487" max="9488" width="11.28515625" style="54" customWidth="1"/>
    <col min="9489" max="9489" width="11.85546875" style="54" customWidth="1"/>
    <col min="9490" max="9492" width="11.28515625" style="54" customWidth="1"/>
    <col min="9493" max="9493" width="11.85546875" style="54" customWidth="1"/>
    <col min="9494" max="9728" width="9.140625" style="54"/>
    <col min="9729" max="9729" width="6.42578125" style="54" customWidth="1"/>
    <col min="9730" max="9730" width="30.7109375" style="54" customWidth="1"/>
    <col min="9731" max="9732" width="11.5703125" style="54" customWidth="1"/>
    <col min="9733" max="9734" width="8.7109375" style="54" customWidth="1"/>
    <col min="9735" max="9738" width="9.85546875" style="54" bestFit="1" customWidth="1"/>
    <col min="9739" max="9740" width="8.7109375" style="54" customWidth="1"/>
    <col min="9741" max="9741" width="10.7109375" style="54" customWidth="1"/>
    <col min="9742" max="9742" width="34.7109375" style="54" customWidth="1"/>
    <col min="9743" max="9744" width="11.28515625" style="54" customWidth="1"/>
    <col min="9745" max="9745" width="11.85546875" style="54" customWidth="1"/>
    <col min="9746" max="9748" width="11.28515625" style="54" customWidth="1"/>
    <col min="9749" max="9749" width="11.85546875" style="54" customWidth="1"/>
    <col min="9750" max="9984" width="9.140625" style="54"/>
    <col min="9985" max="9985" width="6.42578125" style="54" customWidth="1"/>
    <col min="9986" max="9986" width="30.7109375" style="54" customWidth="1"/>
    <col min="9987" max="9988" width="11.5703125" style="54" customWidth="1"/>
    <col min="9989" max="9990" width="8.7109375" style="54" customWidth="1"/>
    <col min="9991" max="9994" width="9.85546875" style="54" bestFit="1" customWidth="1"/>
    <col min="9995" max="9996" width="8.7109375" style="54" customWidth="1"/>
    <col min="9997" max="9997" width="10.7109375" style="54" customWidth="1"/>
    <col min="9998" max="9998" width="34.7109375" style="54" customWidth="1"/>
    <col min="9999" max="10000" width="11.28515625" style="54" customWidth="1"/>
    <col min="10001" max="10001" width="11.85546875" style="54" customWidth="1"/>
    <col min="10002" max="10004" width="11.28515625" style="54" customWidth="1"/>
    <col min="10005" max="10005" width="11.85546875" style="54" customWidth="1"/>
    <col min="10006" max="10240" width="9.140625" style="54"/>
    <col min="10241" max="10241" width="6.42578125" style="54" customWidth="1"/>
    <col min="10242" max="10242" width="30.7109375" style="54" customWidth="1"/>
    <col min="10243" max="10244" width="11.5703125" style="54" customWidth="1"/>
    <col min="10245" max="10246" width="8.7109375" style="54" customWidth="1"/>
    <col min="10247" max="10250" width="9.85546875" style="54" bestFit="1" customWidth="1"/>
    <col min="10251" max="10252" width="8.7109375" style="54" customWidth="1"/>
    <col min="10253" max="10253" width="10.7109375" style="54" customWidth="1"/>
    <col min="10254" max="10254" width="34.7109375" style="54" customWidth="1"/>
    <col min="10255" max="10256" width="11.28515625" style="54" customWidth="1"/>
    <col min="10257" max="10257" width="11.85546875" style="54" customWidth="1"/>
    <col min="10258" max="10260" width="11.28515625" style="54" customWidth="1"/>
    <col min="10261" max="10261" width="11.85546875" style="54" customWidth="1"/>
    <col min="10262" max="10496" width="9.140625" style="54"/>
    <col min="10497" max="10497" width="6.42578125" style="54" customWidth="1"/>
    <col min="10498" max="10498" width="30.7109375" style="54" customWidth="1"/>
    <col min="10499" max="10500" width="11.5703125" style="54" customWidth="1"/>
    <col min="10501" max="10502" width="8.7109375" style="54" customWidth="1"/>
    <col min="10503" max="10506" width="9.85546875" style="54" bestFit="1" customWidth="1"/>
    <col min="10507" max="10508" width="8.7109375" style="54" customWidth="1"/>
    <col min="10509" max="10509" width="10.7109375" style="54" customWidth="1"/>
    <col min="10510" max="10510" width="34.7109375" style="54" customWidth="1"/>
    <col min="10511" max="10512" width="11.28515625" style="54" customWidth="1"/>
    <col min="10513" max="10513" width="11.85546875" style="54" customWidth="1"/>
    <col min="10514" max="10516" width="11.28515625" style="54" customWidth="1"/>
    <col min="10517" max="10517" width="11.85546875" style="54" customWidth="1"/>
    <col min="10518" max="10752" width="9.140625" style="54"/>
    <col min="10753" max="10753" width="6.42578125" style="54" customWidth="1"/>
    <col min="10754" max="10754" width="30.7109375" style="54" customWidth="1"/>
    <col min="10755" max="10756" width="11.5703125" style="54" customWidth="1"/>
    <col min="10757" max="10758" width="8.7109375" style="54" customWidth="1"/>
    <col min="10759" max="10762" width="9.85546875" style="54" bestFit="1" customWidth="1"/>
    <col min="10763" max="10764" width="8.7109375" style="54" customWidth="1"/>
    <col min="10765" max="10765" width="10.7109375" style="54" customWidth="1"/>
    <col min="10766" max="10766" width="34.7109375" style="54" customWidth="1"/>
    <col min="10767" max="10768" width="11.28515625" style="54" customWidth="1"/>
    <col min="10769" max="10769" width="11.85546875" style="54" customWidth="1"/>
    <col min="10770" max="10772" width="11.28515625" style="54" customWidth="1"/>
    <col min="10773" max="10773" width="11.85546875" style="54" customWidth="1"/>
    <col min="10774" max="11008" width="9.140625" style="54"/>
    <col min="11009" max="11009" width="6.42578125" style="54" customWidth="1"/>
    <col min="11010" max="11010" width="30.7109375" style="54" customWidth="1"/>
    <col min="11011" max="11012" width="11.5703125" style="54" customWidth="1"/>
    <col min="11013" max="11014" width="8.7109375" style="54" customWidth="1"/>
    <col min="11015" max="11018" width="9.85546875" style="54" bestFit="1" customWidth="1"/>
    <col min="11019" max="11020" width="8.7109375" style="54" customWidth="1"/>
    <col min="11021" max="11021" width="10.7109375" style="54" customWidth="1"/>
    <col min="11022" max="11022" width="34.7109375" style="54" customWidth="1"/>
    <col min="11023" max="11024" width="11.28515625" style="54" customWidth="1"/>
    <col min="11025" max="11025" width="11.85546875" style="54" customWidth="1"/>
    <col min="11026" max="11028" width="11.28515625" style="54" customWidth="1"/>
    <col min="11029" max="11029" width="11.85546875" style="54" customWidth="1"/>
    <col min="11030" max="11264" width="9.140625" style="54"/>
    <col min="11265" max="11265" width="6.42578125" style="54" customWidth="1"/>
    <col min="11266" max="11266" width="30.7109375" style="54" customWidth="1"/>
    <col min="11267" max="11268" width="11.5703125" style="54" customWidth="1"/>
    <col min="11269" max="11270" width="8.7109375" style="54" customWidth="1"/>
    <col min="11271" max="11274" width="9.85546875" style="54" bestFit="1" customWidth="1"/>
    <col min="11275" max="11276" width="8.7109375" style="54" customWidth="1"/>
    <col min="11277" max="11277" width="10.7109375" style="54" customWidth="1"/>
    <col min="11278" max="11278" width="34.7109375" style="54" customWidth="1"/>
    <col min="11279" max="11280" width="11.28515625" style="54" customWidth="1"/>
    <col min="11281" max="11281" width="11.85546875" style="54" customWidth="1"/>
    <col min="11282" max="11284" width="11.28515625" style="54" customWidth="1"/>
    <col min="11285" max="11285" width="11.85546875" style="54" customWidth="1"/>
    <col min="11286" max="11520" width="9.140625" style="54"/>
    <col min="11521" max="11521" width="6.42578125" style="54" customWidth="1"/>
    <col min="11522" max="11522" width="30.7109375" style="54" customWidth="1"/>
    <col min="11523" max="11524" width="11.5703125" style="54" customWidth="1"/>
    <col min="11525" max="11526" width="8.7109375" style="54" customWidth="1"/>
    <col min="11527" max="11530" width="9.85546875" style="54" bestFit="1" customWidth="1"/>
    <col min="11531" max="11532" width="8.7109375" style="54" customWidth="1"/>
    <col min="11533" max="11533" width="10.7109375" style="54" customWidth="1"/>
    <col min="11534" max="11534" width="34.7109375" style="54" customWidth="1"/>
    <col min="11535" max="11536" width="11.28515625" style="54" customWidth="1"/>
    <col min="11537" max="11537" width="11.85546875" style="54" customWidth="1"/>
    <col min="11538" max="11540" width="11.28515625" style="54" customWidth="1"/>
    <col min="11541" max="11541" width="11.85546875" style="54" customWidth="1"/>
    <col min="11542" max="11776" width="9.140625" style="54"/>
    <col min="11777" max="11777" width="6.42578125" style="54" customWidth="1"/>
    <col min="11778" max="11778" width="30.7109375" style="54" customWidth="1"/>
    <col min="11779" max="11780" width="11.5703125" style="54" customWidth="1"/>
    <col min="11781" max="11782" width="8.7109375" style="54" customWidth="1"/>
    <col min="11783" max="11786" width="9.85546875" style="54" bestFit="1" customWidth="1"/>
    <col min="11787" max="11788" width="8.7109375" style="54" customWidth="1"/>
    <col min="11789" max="11789" width="10.7109375" style="54" customWidth="1"/>
    <col min="11790" max="11790" width="34.7109375" style="54" customWidth="1"/>
    <col min="11791" max="11792" width="11.28515625" style="54" customWidth="1"/>
    <col min="11793" max="11793" width="11.85546875" style="54" customWidth="1"/>
    <col min="11794" max="11796" width="11.28515625" style="54" customWidth="1"/>
    <col min="11797" max="11797" width="11.85546875" style="54" customWidth="1"/>
    <col min="11798" max="12032" width="9.140625" style="54"/>
    <col min="12033" max="12033" width="6.42578125" style="54" customWidth="1"/>
    <col min="12034" max="12034" width="30.7109375" style="54" customWidth="1"/>
    <col min="12035" max="12036" width="11.5703125" style="54" customWidth="1"/>
    <col min="12037" max="12038" width="8.7109375" style="54" customWidth="1"/>
    <col min="12039" max="12042" width="9.85546875" style="54" bestFit="1" customWidth="1"/>
    <col min="12043" max="12044" width="8.7109375" style="54" customWidth="1"/>
    <col min="12045" max="12045" width="10.7109375" style="54" customWidth="1"/>
    <col min="12046" max="12046" width="34.7109375" style="54" customWidth="1"/>
    <col min="12047" max="12048" width="11.28515625" style="54" customWidth="1"/>
    <col min="12049" max="12049" width="11.85546875" style="54" customWidth="1"/>
    <col min="12050" max="12052" width="11.28515625" style="54" customWidth="1"/>
    <col min="12053" max="12053" width="11.85546875" style="54" customWidth="1"/>
    <col min="12054" max="12288" width="9.140625" style="54"/>
    <col min="12289" max="12289" width="6.42578125" style="54" customWidth="1"/>
    <col min="12290" max="12290" width="30.7109375" style="54" customWidth="1"/>
    <col min="12291" max="12292" width="11.5703125" style="54" customWidth="1"/>
    <col min="12293" max="12294" width="8.7109375" style="54" customWidth="1"/>
    <col min="12295" max="12298" width="9.85546875" style="54" bestFit="1" customWidth="1"/>
    <col min="12299" max="12300" width="8.7109375" style="54" customWidth="1"/>
    <col min="12301" max="12301" width="10.7109375" style="54" customWidth="1"/>
    <col min="12302" max="12302" width="34.7109375" style="54" customWidth="1"/>
    <col min="12303" max="12304" width="11.28515625" style="54" customWidth="1"/>
    <col min="12305" max="12305" width="11.85546875" style="54" customWidth="1"/>
    <col min="12306" max="12308" width="11.28515625" style="54" customWidth="1"/>
    <col min="12309" max="12309" width="11.85546875" style="54" customWidth="1"/>
    <col min="12310" max="12544" width="9.140625" style="54"/>
    <col min="12545" max="12545" width="6.42578125" style="54" customWidth="1"/>
    <col min="12546" max="12546" width="30.7109375" style="54" customWidth="1"/>
    <col min="12547" max="12548" width="11.5703125" style="54" customWidth="1"/>
    <col min="12549" max="12550" width="8.7109375" style="54" customWidth="1"/>
    <col min="12551" max="12554" width="9.85546875" style="54" bestFit="1" customWidth="1"/>
    <col min="12555" max="12556" width="8.7109375" style="54" customWidth="1"/>
    <col min="12557" max="12557" width="10.7109375" style="54" customWidth="1"/>
    <col min="12558" max="12558" width="34.7109375" style="54" customWidth="1"/>
    <col min="12559" max="12560" width="11.28515625" style="54" customWidth="1"/>
    <col min="12561" max="12561" width="11.85546875" style="54" customWidth="1"/>
    <col min="12562" max="12564" width="11.28515625" style="54" customWidth="1"/>
    <col min="12565" max="12565" width="11.85546875" style="54" customWidth="1"/>
    <col min="12566" max="12800" width="9.140625" style="54"/>
    <col min="12801" max="12801" width="6.42578125" style="54" customWidth="1"/>
    <col min="12802" max="12802" width="30.7109375" style="54" customWidth="1"/>
    <col min="12803" max="12804" width="11.5703125" style="54" customWidth="1"/>
    <col min="12805" max="12806" width="8.7109375" style="54" customWidth="1"/>
    <col min="12807" max="12810" width="9.85546875" style="54" bestFit="1" customWidth="1"/>
    <col min="12811" max="12812" width="8.7109375" style="54" customWidth="1"/>
    <col min="12813" max="12813" width="10.7109375" style="54" customWidth="1"/>
    <col min="12814" max="12814" width="34.7109375" style="54" customWidth="1"/>
    <col min="12815" max="12816" width="11.28515625" style="54" customWidth="1"/>
    <col min="12817" max="12817" width="11.85546875" style="54" customWidth="1"/>
    <col min="12818" max="12820" width="11.28515625" style="54" customWidth="1"/>
    <col min="12821" max="12821" width="11.85546875" style="54" customWidth="1"/>
    <col min="12822" max="13056" width="9.140625" style="54"/>
    <col min="13057" max="13057" width="6.42578125" style="54" customWidth="1"/>
    <col min="13058" max="13058" width="30.7109375" style="54" customWidth="1"/>
    <col min="13059" max="13060" width="11.5703125" style="54" customWidth="1"/>
    <col min="13061" max="13062" width="8.7109375" style="54" customWidth="1"/>
    <col min="13063" max="13066" width="9.85546875" style="54" bestFit="1" customWidth="1"/>
    <col min="13067" max="13068" width="8.7109375" style="54" customWidth="1"/>
    <col min="13069" max="13069" width="10.7109375" style="54" customWidth="1"/>
    <col min="13070" max="13070" width="34.7109375" style="54" customWidth="1"/>
    <col min="13071" max="13072" width="11.28515625" style="54" customWidth="1"/>
    <col min="13073" max="13073" width="11.85546875" style="54" customWidth="1"/>
    <col min="13074" max="13076" width="11.28515625" style="54" customWidth="1"/>
    <col min="13077" max="13077" width="11.85546875" style="54" customWidth="1"/>
    <col min="13078" max="13312" width="9.140625" style="54"/>
    <col min="13313" max="13313" width="6.42578125" style="54" customWidth="1"/>
    <col min="13314" max="13314" width="30.7109375" style="54" customWidth="1"/>
    <col min="13315" max="13316" width="11.5703125" style="54" customWidth="1"/>
    <col min="13317" max="13318" width="8.7109375" style="54" customWidth="1"/>
    <col min="13319" max="13322" width="9.85546875" style="54" bestFit="1" customWidth="1"/>
    <col min="13323" max="13324" width="8.7109375" style="54" customWidth="1"/>
    <col min="13325" max="13325" width="10.7109375" style="54" customWidth="1"/>
    <col min="13326" max="13326" width="34.7109375" style="54" customWidth="1"/>
    <col min="13327" max="13328" width="11.28515625" style="54" customWidth="1"/>
    <col min="13329" max="13329" width="11.85546875" style="54" customWidth="1"/>
    <col min="13330" max="13332" width="11.28515625" style="54" customWidth="1"/>
    <col min="13333" max="13333" width="11.85546875" style="54" customWidth="1"/>
    <col min="13334" max="13568" width="9.140625" style="54"/>
    <col min="13569" max="13569" width="6.42578125" style="54" customWidth="1"/>
    <col min="13570" max="13570" width="30.7109375" style="54" customWidth="1"/>
    <col min="13571" max="13572" width="11.5703125" style="54" customWidth="1"/>
    <col min="13573" max="13574" width="8.7109375" style="54" customWidth="1"/>
    <col min="13575" max="13578" width="9.85546875" style="54" bestFit="1" customWidth="1"/>
    <col min="13579" max="13580" width="8.7109375" style="54" customWidth="1"/>
    <col min="13581" max="13581" width="10.7109375" style="54" customWidth="1"/>
    <col min="13582" max="13582" width="34.7109375" style="54" customWidth="1"/>
    <col min="13583" max="13584" width="11.28515625" style="54" customWidth="1"/>
    <col min="13585" max="13585" width="11.85546875" style="54" customWidth="1"/>
    <col min="13586" max="13588" width="11.28515625" style="54" customWidth="1"/>
    <col min="13589" max="13589" width="11.85546875" style="54" customWidth="1"/>
    <col min="13590" max="13824" width="9.140625" style="54"/>
    <col min="13825" max="13825" width="6.42578125" style="54" customWidth="1"/>
    <col min="13826" max="13826" width="30.7109375" style="54" customWidth="1"/>
    <col min="13827" max="13828" width="11.5703125" style="54" customWidth="1"/>
    <col min="13829" max="13830" width="8.7109375" style="54" customWidth="1"/>
    <col min="13831" max="13834" width="9.85546875" style="54" bestFit="1" customWidth="1"/>
    <col min="13835" max="13836" width="8.7109375" style="54" customWidth="1"/>
    <col min="13837" max="13837" width="10.7109375" style="54" customWidth="1"/>
    <col min="13838" max="13838" width="34.7109375" style="54" customWidth="1"/>
    <col min="13839" max="13840" width="11.28515625" style="54" customWidth="1"/>
    <col min="13841" max="13841" width="11.85546875" style="54" customWidth="1"/>
    <col min="13842" max="13844" width="11.28515625" style="54" customWidth="1"/>
    <col min="13845" max="13845" width="11.85546875" style="54" customWidth="1"/>
    <col min="13846" max="14080" width="9.140625" style="54"/>
    <col min="14081" max="14081" width="6.42578125" style="54" customWidth="1"/>
    <col min="14082" max="14082" width="30.7109375" style="54" customWidth="1"/>
    <col min="14083" max="14084" width="11.5703125" style="54" customWidth="1"/>
    <col min="14085" max="14086" width="8.7109375" style="54" customWidth="1"/>
    <col min="14087" max="14090" width="9.85546875" style="54" bestFit="1" customWidth="1"/>
    <col min="14091" max="14092" width="8.7109375" style="54" customWidth="1"/>
    <col min="14093" max="14093" width="10.7109375" style="54" customWidth="1"/>
    <col min="14094" max="14094" width="34.7109375" style="54" customWidth="1"/>
    <col min="14095" max="14096" width="11.28515625" style="54" customWidth="1"/>
    <col min="14097" max="14097" width="11.85546875" style="54" customWidth="1"/>
    <col min="14098" max="14100" width="11.28515625" style="54" customWidth="1"/>
    <col min="14101" max="14101" width="11.85546875" style="54" customWidth="1"/>
    <col min="14102" max="14336" width="9.140625" style="54"/>
    <col min="14337" max="14337" width="6.42578125" style="54" customWidth="1"/>
    <col min="14338" max="14338" width="30.7109375" style="54" customWidth="1"/>
    <col min="14339" max="14340" width="11.5703125" style="54" customWidth="1"/>
    <col min="14341" max="14342" width="8.7109375" style="54" customWidth="1"/>
    <col min="14343" max="14346" width="9.85546875" style="54" bestFit="1" customWidth="1"/>
    <col min="14347" max="14348" width="8.7109375" style="54" customWidth="1"/>
    <col min="14349" max="14349" width="10.7109375" style="54" customWidth="1"/>
    <col min="14350" max="14350" width="34.7109375" style="54" customWidth="1"/>
    <col min="14351" max="14352" width="11.28515625" style="54" customWidth="1"/>
    <col min="14353" max="14353" width="11.85546875" style="54" customWidth="1"/>
    <col min="14354" max="14356" width="11.28515625" style="54" customWidth="1"/>
    <col min="14357" max="14357" width="11.85546875" style="54" customWidth="1"/>
    <col min="14358" max="14592" width="9.140625" style="54"/>
    <col min="14593" max="14593" width="6.42578125" style="54" customWidth="1"/>
    <col min="14594" max="14594" width="30.7109375" style="54" customWidth="1"/>
    <col min="14595" max="14596" width="11.5703125" style="54" customWidth="1"/>
    <col min="14597" max="14598" width="8.7109375" style="54" customWidth="1"/>
    <col min="14599" max="14602" width="9.85546875" style="54" bestFit="1" customWidth="1"/>
    <col min="14603" max="14604" width="8.7109375" style="54" customWidth="1"/>
    <col min="14605" max="14605" width="10.7109375" style="54" customWidth="1"/>
    <col min="14606" max="14606" width="34.7109375" style="54" customWidth="1"/>
    <col min="14607" max="14608" width="11.28515625" style="54" customWidth="1"/>
    <col min="14609" max="14609" width="11.85546875" style="54" customWidth="1"/>
    <col min="14610" max="14612" width="11.28515625" style="54" customWidth="1"/>
    <col min="14613" max="14613" width="11.85546875" style="54" customWidth="1"/>
    <col min="14614" max="14848" width="9.140625" style="54"/>
    <col min="14849" max="14849" width="6.42578125" style="54" customWidth="1"/>
    <col min="14850" max="14850" width="30.7109375" style="54" customWidth="1"/>
    <col min="14851" max="14852" width="11.5703125" style="54" customWidth="1"/>
    <col min="14853" max="14854" width="8.7109375" style="54" customWidth="1"/>
    <col min="14855" max="14858" width="9.85546875" style="54" bestFit="1" customWidth="1"/>
    <col min="14859" max="14860" width="8.7109375" style="54" customWidth="1"/>
    <col min="14861" max="14861" width="10.7109375" style="54" customWidth="1"/>
    <col min="14862" max="14862" width="34.7109375" style="54" customWidth="1"/>
    <col min="14863" max="14864" width="11.28515625" style="54" customWidth="1"/>
    <col min="14865" max="14865" width="11.85546875" style="54" customWidth="1"/>
    <col min="14866" max="14868" width="11.28515625" style="54" customWidth="1"/>
    <col min="14869" max="14869" width="11.85546875" style="54" customWidth="1"/>
    <col min="14870" max="15104" width="9.140625" style="54"/>
    <col min="15105" max="15105" width="6.42578125" style="54" customWidth="1"/>
    <col min="15106" max="15106" width="30.7109375" style="54" customWidth="1"/>
    <col min="15107" max="15108" width="11.5703125" style="54" customWidth="1"/>
    <col min="15109" max="15110" width="8.7109375" style="54" customWidth="1"/>
    <col min="15111" max="15114" width="9.85546875" style="54" bestFit="1" customWidth="1"/>
    <col min="15115" max="15116" width="8.7109375" style="54" customWidth="1"/>
    <col min="15117" max="15117" width="10.7109375" style="54" customWidth="1"/>
    <col min="15118" max="15118" width="34.7109375" style="54" customWidth="1"/>
    <col min="15119" max="15120" width="11.28515625" style="54" customWidth="1"/>
    <col min="15121" max="15121" width="11.85546875" style="54" customWidth="1"/>
    <col min="15122" max="15124" width="11.28515625" style="54" customWidth="1"/>
    <col min="15125" max="15125" width="11.85546875" style="54" customWidth="1"/>
    <col min="15126" max="15360" width="9.140625" style="54"/>
    <col min="15361" max="15361" width="6.42578125" style="54" customWidth="1"/>
    <col min="15362" max="15362" width="30.7109375" style="54" customWidth="1"/>
    <col min="15363" max="15364" width="11.5703125" style="54" customWidth="1"/>
    <col min="15365" max="15366" width="8.7109375" style="54" customWidth="1"/>
    <col min="15367" max="15370" width="9.85546875" style="54" bestFit="1" customWidth="1"/>
    <col min="15371" max="15372" width="8.7109375" style="54" customWidth="1"/>
    <col min="15373" max="15373" width="10.7109375" style="54" customWidth="1"/>
    <col min="15374" max="15374" width="34.7109375" style="54" customWidth="1"/>
    <col min="15375" max="15376" width="11.28515625" style="54" customWidth="1"/>
    <col min="15377" max="15377" width="11.85546875" style="54" customWidth="1"/>
    <col min="15378" max="15380" width="11.28515625" style="54" customWidth="1"/>
    <col min="15381" max="15381" width="11.85546875" style="54" customWidth="1"/>
    <col min="15382" max="15616" width="9.140625" style="54"/>
    <col min="15617" max="15617" width="6.42578125" style="54" customWidth="1"/>
    <col min="15618" max="15618" width="30.7109375" style="54" customWidth="1"/>
    <col min="15619" max="15620" width="11.5703125" style="54" customWidth="1"/>
    <col min="15621" max="15622" width="8.7109375" style="54" customWidth="1"/>
    <col min="15623" max="15626" width="9.85546875" style="54" bestFit="1" customWidth="1"/>
    <col min="15627" max="15628" width="8.7109375" style="54" customWidth="1"/>
    <col min="15629" max="15629" width="10.7109375" style="54" customWidth="1"/>
    <col min="15630" max="15630" width="34.7109375" style="54" customWidth="1"/>
    <col min="15631" max="15632" width="11.28515625" style="54" customWidth="1"/>
    <col min="15633" max="15633" width="11.85546875" style="54" customWidth="1"/>
    <col min="15634" max="15636" width="11.28515625" style="54" customWidth="1"/>
    <col min="15637" max="15637" width="11.85546875" style="54" customWidth="1"/>
    <col min="15638" max="15872" width="9.140625" style="54"/>
    <col min="15873" max="15873" width="6.42578125" style="54" customWidth="1"/>
    <col min="15874" max="15874" width="30.7109375" style="54" customWidth="1"/>
    <col min="15875" max="15876" width="11.5703125" style="54" customWidth="1"/>
    <col min="15877" max="15878" width="8.7109375" style="54" customWidth="1"/>
    <col min="15879" max="15882" width="9.85546875" style="54" bestFit="1" customWidth="1"/>
    <col min="15883" max="15884" width="8.7109375" style="54" customWidth="1"/>
    <col min="15885" max="15885" width="10.7109375" style="54" customWidth="1"/>
    <col min="15886" max="15886" width="34.7109375" style="54" customWidth="1"/>
    <col min="15887" max="15888" width="11.28515625" style="54" customWidth="1"/>
    <col min="15889" max="15889" width="11.85546875" style="54" customWidth="1"/>
    <col min="15890" max="15892" width="11.28515625" style="54" customWidth="1"/>
    <col min="15893" max="15893" width="11.85546875" style="54" customWidth="1"/>
    <col min="15894" max="16128" width="9.140625" style="54"/>
    <col min="16129" max="16129" width="6.42578125" style="54" customWidth="1"/>
    <col min="16130" max="16130" width="30.7109375" style="54" customWidth="1"/>
    <col min="16131" max="16132" width="11.5703125" style="54" customWidth="1"/>
    <col min="16133" max="16134" width="8.7109375" style="54" customWidth="1"/>
    <col min="16135" max="16138" width="9.85546875" style="54" bestFit="1" customWidth="1"/>
    <col min="16139" max="16140" width="8.7109375" style="54" customWidth="1"/>
    <col min="16141" max="16141" width="10.7109375" style="54" customWidth="1"/>
    <col min="16142" max="16142" width="34.7109375" style="54" customWidth="1"/>
    <col min="16143" max="16144" width="11.28515625" style="54" customWidth="1"/>
    <col min="16145" max="16145" width="11.85546875" style="54" customWidth="1"/>
    <col min="16146" max="16148" width="11.28515625" style="54" customWidth="1"/>
    <col min="16149" max="16149" width="11.85546875" style="54" customWidth="1"/>
    <col min="16150" max="16384" width="9.140625" style="54"/>
  </cols>
  <sheetData>
    <row r="1" spans="1:21" ht="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3" t="s">
        <v>1109</v>
      </c>
    </row>
    <row r="2" spans="1:21" ht="12.7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2"/>
    </row>
    <row r="3" spans="1:21" ht="12.75" customHeight="1" x14ac:dyDescent="0.2">
      <c r="A3" s="57"/>
      <c r="B3" s="58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21" ht="12.75" customHeight="1" x14ac:dyDescent="0.2">
      <c r="A4" s="638" t="s">
        <v>226</v>
      </c>
      <c r="B4" s="638"/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</row>
    <row r="5" spans="1:21" ht="12.75" customHeight="1" x14ac:dyDescent="0.2">
      <c r="A5" s="57"/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U5" s="59"/>
    </row>
    <row r="6" spans="1:21" ht="12.75" customHeight="1" x14ac:dyDescent="0.2">
      <c r="A6" s="60"/>
      <c r="B6" s="61"/>
      <c r="C6" s="62"/>
      <c r="D6" s="62"/>
      <c r="E6" s="62"/>
      <c r="F6" s="62"/>
      <c r="G6" s="62"/>
      <c r="H6" s="62"/>
      <c r="I6" s="62"/>
      <c r="J6" s="62"/>
      <c r="K6" s="63"/>
      <c r="L6" s="62"/>
      <c r="M6" s="62"/>
      <c r="N6" s="55"/>
      <c r="T6" s="54"/>
    </row>
    <row r="7" spans="1:21" ht="12.75" customHeight="1" x14ac:dyDescent="0.2">
      <c r="A7" s="639" t="s">
        <v>227</v>
      </c>
      <c r="B7" s="639"/>
      <c r="C7" s="639"/>
      <c r="D7" s="639"/>
      <c r="E7" s="639"/>
      <c r="F7" s="639"/>
      <c r="G7" s="639"/>
      <c r="H7" s="639"/>
      <c r="I7" s="639"/>
      <c r="J7" s="639"/>
      <c r="K7" s="639"/>
      <c r="L7" s="639"/>
      <c r="M7" s="639"/>
    </row>
    <row r="8" spans="1:21" ht="12.75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64" t="s">
        <v>190</v>
      </c>
    </row>
    <row r="9" spans="1:21" ht="12.75" customHeight="1" x14ac:dyDescent="0.2">
      <c r="A9" s="648" t="s">
        <v>228</v>
      </c>
      <c r="B9" s="647" t="s">
        <v>229</v>
      </c>
      <c r="C9" s="647" t="s">
        <v>740</v>
      </c>
      <c r="D9" s="647" t="s">
        <v>230</v>
      </c>
      <c r="E9" s="644" t="s">
        <v>239</v>
      </c>
      <c r="F9" s="644"/>
      <c r="G9" s="644"/>
      <c r="H9" s="644"/>
      <c r="I9" s="644"/>
      <c r="J9" s="644"/>
      <c r="K9" s="644"/>
      <c r="L9" s="644"/>
      <c r="M9" s="86"/>
    </row>
    <row r="10" spans="1:21" ht="35.25" customHeight="1" x14ac:dyDescent="0.2">
      <c r="A10" s="648"/>
      <c r="B10" s="647"/>
      <c r="C10" s="647"/>
      <c r="D10" s="647"/>
      <c r="E10" s="214" t="s">
        <v>224</v>
      </c>
      <c r="F10" s="66" t="s">
        <v>231</v>
      </c>
      <c r="G10" s="214" t="s">
        <v>232</v>
      </c>
      <c r="H10" s="66" t="s">
        <v>233</v>
      </c>
      <c r="I10" s="214" t="s">
        <v>234</v>
      </c>
      <c r="J10" s="66" t="s">
        <v>251</v>
      </c>
      <c r="K10" s="66" t="s">
        <v>741</v>
      </c>
      <c r="L10" s="65" t="s">
        <v>742</v>
      </c>
      <c r="M10" s="67" t="s">
        <v>194</v>
      </c>
      <c r="O10" s="54"/>
      <c r="P10" s="54"/>
      <c r="Q10" s="54"/>
      <c r="R10" s="54"/>
      <c r="S10" s="54"/>
      <c r="T10" s="54"/>
    </row>
    <row r="11" spans="1:21" x14ac:dyDescent="0.2">
      <c r="A11" s="81" t="s">
        <v>235</v>
      </c>
      <c r="B11" s="82"/>
      <c r="C11" s="83"/>
      <c r="D11" s="83"/>
      <c r="E11" s="83"/>
      <c r="F11" s="83"/>
      <c r="G11" s="84"/>
      <c r="H11" s="84"/>
      <c r="I11" s="84"/>
      <c r="J11" s="84"/>
      <c r="K11" s="85"/>
      <c r="L11" s="84"/>
      <c r="M11" s="83">
        <f>SUM(E11:L11)</f>
        <v>0</v>
      </c>
      <c r="O11" s="54"/>
      <c r="P11" s="54"/>
      <c r="Q11" s="54"/>
      <c r="R11" s="54"/>
      <c r="S11" s="54"/>
      <c r="T11" s="54"/>
    </row>
    <row r="12" spans="1:21" x14ac:dyDescent="0.2">
      <c r="A12" s="68" t="s">
        <v>236</v>
      </c>
      <c r="B12" s="69"/>
      <c r="C12" s="70"/>
      <c r="D12" s="70"/>
      <c r="E12" s="70"/>
      <c r="F12" s="70"/>
      <c r="G12" s="71"/>
      <c r="H12" s="71"/>
      <c r="I12" s="71"/>
      <c r="J12" s="71"/>
      <c r="K12" s="72"/>
      <c r="L12" s="71"/>
      <c r="M12" s="70">
        <f>SUM(E12:L12)</f>
        <v>0</v>
      </c>
      <c r="O12" s="54"/>
      <c r="P12" s="54"/>
      <c r="Q12" s="54"/>
      <c r="R12" s="54"/>
      <c r="S12" s="54"/>
      <c r="T12" s="54"/>
    </row>
    <row r="13" spans="1:21" x14ac:dyDescent="0.2">
      <c r="A13" s="68" t="s">
        <v>237</v>
      </c>
      <c r="B13" s="69"/>
      <c r="C13" s="70"/>
      <c r="D13" s="70"/>
      <c r="E13" s="70"/>
      <c r="F13" s="70"/>
      <c r="G13" s="71"/>
      <c r="H13" s="71"/>
      <c r="I13" s="71"/>
      <c r="J13" s="71"/>
      <c r="K13" s="72"/>
      <c r="L13" s="71"/>
      <c r="M13" s="70">
        <f>SUM(E13:L13)</f>
        <v>0</v>
      </c>
      <c r="O13" s="54"/>
      <c r="P13" s="54"/>
      <c r="Q13" s="54"/>
      <c r="R13" s="54"/>
      <c r="S13" s="54"/>
      <c r="T13" s="54"/>
    </row>
    <row r="14" spans="1:21" x14ac:dyDescent="0.2">
      <c r="A14" s="71"/>
      <c r="B14" s="73" t="s">
        <v>24</v>
      </c>
      <c r="C14" s="72">
        <f>SUM(C11:C13)</f>
        <v>0</v>
      </c>
      <c r="D14" s="72"/>
      <c r="E14" s="72">
        <f t="shared" ref="E14:M14" si="0">SUM(E11:E13)</f>
        <v>0</v>
      </c>
      <c r="F14" s="72">
        <f t="shared" si="0"/>
        <v>0</v>
      </c>
      <c r="G14" s="72">
        <f t="shared" si="0"/>
        <v>0</v>
      </c>
      <c r="H14" s="72">
        <f t="shared" si="0"/>
        <v>0</v>
      </c>
      <c r="I14" s="72">
        <f t="shared" si="0"/>
        <v>0</v>
      </c>
      <c r="J14" s="72">
        <f t="shared" si="0"/>
        <v>0</v>
      </c>
      <c r="K14" s="72">
        <f t="shared" si="0"/>
        <v>0</v>
      </c>
      <c r="L14" s="72">
        <f t="shared" si="0"/>
        <v>0</v>
      </c>
      <c r="M14" s="72">
        <f t="shared" si="0"/>
        <v>0</v>
      </c>
      <c r="O14" s="54"/>
      <c r="P14" s="54"/>
      <c r="Q14" s="54"/>
      <c r="R14" s="54"/>
      <c r="S14" s="54"/>
      <c r="T14" s="54"/>
    </row>
    <row r="15" spans="1:21" x14ac:dyDescent="0.2">
      <c r="A15" s="62"/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O15" s="54"/>
      <c r="P15" s="54"/>
      <c r="Q15" s="54"/>
      <c r="R15" s="54"/>
      <c r="S15" s="54"/>
      <c r="T15" s="54"/>
    </row>
    <row r="16" spans="1:21" ht="12.75" customHeight="1" x14ac:dyDescent="0.2">
      <c r="A16" s="638" t="s">
        <v>238</v>
      </c>
      <c r="B16" s="638"/>
      <c r="C16" s="638"/>
      <c r="D16" s="638"/>
      <c r="E16" s="638"/>
      <c r="F16" s="638"/>
      <c r="G16" s="638"/>
      <c r="H16" s="638"/>
      <c r="I16" s="638"/>
      <c r="J16" s="638"/>
      <c r="K16" s="638"/>
      <c r="L16" s="638"/>
      <c r="M16" s="638"/>
    </row>
    <row r="17" spans="1:20" ht="12.75" customHeight="1" x14ac:dyDescent="0.2">
      <c r="L17" s="77"/>
      <c r="M17" s="78" t="s">
        <v>190</v>
      </c>
    </row>
    <row r="18" spans="1:20" ht="12.75" customHeight="1" x14ac:dyDescent="0.2">
      <c r="A18" s="640" t="s">
        <v>228</v>
      </c>
      <c r="B18" s="642" t="s">
        <v>229</v>
      </c>
      <c r="C18" s="642" t="s">
        <v>740</v>
      </c>
      <c r="D18" s="642" t="s">
        <v>230</v>
      </c>
      <c r="E18" s="644" t="s">
        <v>239</v>
      </c>
      <c r="F18" s="644"/>
      <c r="G18" s="644"/>
      <c r="H18" s="644"/>
      <c r="I18" s="644"/>
      <c r="J18" s="644"/>
      <c r="K18" s="644"/>
      <c r="L18" s="644"/>
      <c r="M18" s="645" t="s">
        <v>303</v>
      </c>
    </row>
    <row r="19" spans="1:20" ht="35.25" customHeight="1" x14ac:dyDescent="0.2">
      <c r="A19" s="641"/>
      <c r="B19" s="643"/>
      <c r="C19" s="643"/>
      <c r="D19" s="643"/>
      <c r="E19" s="214" t="s">
        <v>224</v>
      </c>
      <c r="F19" s="66" t="s">
        <v>231</v>
      </c>
      <c r="G19" s="214" t="s">
        <v>232</v>
      </c>
      <c r="H19" s="66" t="s">
        <v>233</v>
      </c>
      <c r="I19" s="214" t="s">
        <v>234</v>
      </c>
      <c r="J19" s="66" t="s">
        <v>251</v>
      </c>
      <c r="K19" s="66" t="s">
        <v>741</v>
      </c>
      <c r="L19" s="214" t="s">
        <v>742</v>
      </c>
      <c r="M19" s="646"/>
      <c r="O19" s="54"/>
      <c r="P19" s="54"/>
      <c r="Q19" s="54"/>
      <c r="R19" s="54"/>
      <c r="S19" s="54"/>
      <c r="T19" s="54"/>
    </row>
    <row r="20" spans="1:20" ht="12.75" customHeight="1" x14ac:dyDescent="0.2">
      <c r="A20" s="68" t="s">
        <v>235</v>
      </c>
      <c r="B20" s="69" t="s">
        <v>240</v>
      </c>
      <c r="C20" s="70">
        <v>3785000</v>
      </c>
      <c r="D20" s="70">
        <v>0</v>
      </c>
      <c r="E20" s="70">
        <v>2172000</v>
      </c>
      <c r="F20" s="87">
        <v>1613000</v>
      </c>
      <c r="G20" s="87"/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9">
        <f t="shared" ref="M20:M26" si="1">SUM(E20:L20)</f>
        <v>3785000</v>
      </c>
      <c r="O20" s="54"/>
      <c r="P20" s="54"/>
      <c r="Q20" s="54"/>
      <c r="R20" s="54"/>
      <c r="S20" s="54"/>
      <c r="T20" s="54"/>
    </row>
    <row r="21" spans="1:20" ht="12.75" customHeight="1" x14ac:dyDescent="0.2">
      <c r="A21" s="68" t="s">
        <v>236</v>
      </c>
      <c r="B21" s="69" t="s">
        <v>241</v>
      </c>
      <c r="C21" s="70">
        <v>1698984</v>
      </c>
      <c r="D21" s="70">
        <v>0</v>
      </c>
      <c r="E21" s="70">
        <v>1120000</v>
      </c>
      <c r="F21" s="87">
        <v>578984</v>
      </c>
      <c r="G21" s="87"/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9">
        <f t="shared" si="1"/>
        <v>1698984</v>
      </c>
      <c r="O21" s="54"/>
      <c r="P21" s="54"/>
      <c r="Q21" s="54"/>
      <c r="R21" s="54"/>
      <c r="S21" s="54"/>
      <c r="T21" s="54"/>
    </row>
    <row r="22" spans="1:20" ht="12.75" customHeight="1" x14ac:dyDescent="0.2">
      <c r="A22" s="68" t="s">
        <v>237</v>
      </c>
      <c r="B22" s="69" t="s">
        <v>242</v>
      </c>
      <c r="C22" s="70">
        <v>3900000</v>
      </c>
      <c r="D22" s="70">
        <v>0</v>
      </c>
      <c r="E22" s="70">
        <v>2240000</v>
      </c>
      <c r="F22" s="87">
        <v>1660000</v>
      </c>
      <c r="G22" s="87"/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9">
        <f t="shared" si="1"/>
        <v>3900000</v>
      </c>
      <c r="O22" s="54"/>
      <c r="P22" s="54"/>
      <c r="Q22" s="54"/>
      <c r="R22" s="54"/>
      <c r="S22" s="54"/>
      <c r="T22" s="54"/>
    </row>
    <row r="23" spans="1:20" ht="12.75" customHeight="1" x14ac:dyDescent="0.2">
      <c r="A23" s="68" t="s">
        <v>243</v>
      </c>
      <c r="B23" s="69" t="s">
        <v>244</v>
      </c>
      <c r="C23" s="70">
        <v>2350000</v>
      </c>
      <c r="D23" s="70">
        <v>0</v>
      </c>
      <c r="E23" s="70">
        <v>1340000</v>
      </c>
      <c r="F23" s="87">
        <v>1010000</v>
      </c>
      <c r="G23" s="87"/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9">
        <f t="shared" si="1"/>
        <v>2350000</v>
      </c>
      <c r="O23" s="54"/>
      <c r="P23" s="54"/>
      <c r="Q23" s="54"/>
      <c r="R23" s="54"/>
      <c r="S23" s="54"/>
      <c r="T23" s="54"/>
    </row>
    <row r="24" spans="1:20" ht="12.75" customHeight="1" x14ac:dyDescent="0.2">
      <c r="A24" s="68" t="s">
        <v>245</v>
      </c>
      <c r="B24" s="69" t="s">
        <v>246</v>
      </c>
      <c r="C24" s="70">
        <v>975000</v>
      </c>
      <c r="D24" s="70">
        <v>0</v>
      </c>
      <c r="E24" s="70">
        <v>560000</v>
      </c>
      <c r="F24" s="87">
        <v>415000</v>
      </c>
      <c r="G24" s="87"/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9">
        <f t="shared" si="1"/>
        <v>975000</v>
      </c>
      <c r="O24" s="54"/>
      <c r="P24" s="54"/>
      <c r="Q24" s="54"/>
      <c r="R24" s="54"/>
      <c r="S24" s="54"/>
      <c r="T24" s="54"/>
    </row>
    <row r="25" spans="1:20" ht="12.75" customHeight="1" x14ac:dyDescent="0.2">
      <c r="A25" s="68" t="s">
        <v>247</v>
      </c>
      <c r="B25" s="69" t="s">
        <v>248</v>
      </c>
      <c r="C25" s="70">
        <v>25880540</v>
      </c>
      <c r="D25" s="70">
        <v>0</v>
      </c>
      <c r="E25" s="70">
        <v>13236000</v>
      </c>
      <c r="F25" s="87">
        <v>12644540</v>
      </c>
      <c r="G25" s="87"/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9">
        <f t="shared" si="1"/>
        <v>25880540</v>
      </c>
      <c r="O25" s="54"/>
      <c r="P25" s="54"/>
      <c r="Q25" s="54"/>
      <c r="R25" s="54"/>
      <c r="S25" s="54"/>
      <c r="T25" s="54"/>
    </row>
    <row r="26" spans="1:20" ht="25.5" x14ac:dyDescent="0.2">
      <c r="A26" s="68" t="s">
        <v>249</v>
      </c>
      <c r="B26" s="69" t="s">
        <v>250</v>
      </c>
      <c r="C26" s="70">
        <v>209241198</v>
      </c>
      <c r="D26" s="70">
        <v>28258802</v>
      </c>
      <c r="E26" s="70">
        <v>26388888</v>
      </c>
      <c r="F26" s="70">
        <v>26388888</v>
      </c>
      <c r="G26" s="70">
        <v>26388888</v>
      </c>
      <c r="H26" s="70">
        <v>26388888</v>
      </c>
      <c r="I26" s="70">
        <v>26388888</v>
      </c>
      <c r="J26" s="70">
        <v>26388888</v>
      </c>
      <c r="K26" s="70">
        <v>26388888</v>
      </c>
      <c r="L26" s="70">
        <v>52777784</v>
      </c>
      <c r="M26" s="79">
        <f t="shared" si="1"/>
        <v>237500000</v>
      </c>
      <c r="O26" s="54"/>
      <c r="P26" s="54"/>
      <c r="Q26" s="54"/>
      <c r="R26" s="54"/>
      <c r="S26" s="54"/>
      <c r="T26" s="54"/>
    </row>
    <row r="27" spans="1:20" ht="12.75" customHeight="1" x14ac:dyDescent="0.2">
      <c r="A27" s="68"/>
      <c r="B27" s="73" t="s">
        <v>24</v>
      </c>
      <c r="C27" s="79">
        <f>SUM(C20:C26)</f>
        <v>247830722</v>
      </c>
      <c r="D27" s="79">
        <f t="shared" ref="D27:M27" si="2">SUM(D20:D26)</f>
        <v>28258802</v>
      </c>
      <c r="E27" s="79">
        <f t="shared" si="2"/>
        <v>47056888</v>
      </c>
      <c r="F27" s="79">
        <f t="shared" si="2"/>
        <v>44310412</v>
      </c>
      <c r="G27" s="79">
        <f t="shared" si="2"/>
        <v>26388888</v>
      </c>
      <c r="H27" s="79">
        <f t="shared" si="2"/>
        <v>26388888</v>
      </c>
      <c r="I27" s="79">
        <f t="shared" si="2"/>
        <v>26388888</v>
      </c>
      <c r="J27" s="79">
        <f t="shared" si="2"/>
        <v>26388888</v>
      </c>
      <c r="K27" s="79">
        <f t="shared" si="2"/>
        <v>26388888</v>
      </c>
      <c r="L27" s="79">
        <f t="shared" si="2"/>
        <v>52777784</v>
      </c>
      <c r="M27" s="79">
        <f t="shared" si="2"/>
        <v>276089524</v>
      </c>
      <c r="O27" s="54"/>
      <c r="P27" s="54"/>
      <c r="Q27" s="54"/>
      <c r="R27" s="54"/>
      <c r="S27" s="54"/>
      <c r="T27" s="54"/>
    </row>
    <row r="30" spans="1:20" x14ac:dyDescent="0.2">
      <c r="F30" s="55"/>
      <c r="G30" s="55"/>
      <c r="H30" s="55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view="pageBreakPreview" zoomScaleNormal="100" zoomScaleSheetLayoutView="100" workbookViewId="0">
      <selection sqref="A1:K1"/>
    </sheetView>
  </sheetViews>
  <sheetFormatPr defaultRowHeight="12.75" x14ac:dyDescent="0.2"/>
  <cols>
    <col min="1" max="1" width="2.42578125" style="97" customWidth="1"/>
    <col min="2" max="2" width="24.42578125" style="98" customWidth="1"/>
    <col min="3" max="3" width="15.42578125" style="97" customWidth="1"/>
    <col min="4" max="4" width="17.85546875" style="97" customWidth="1"/>
    <col min="5" max="5" width="14.140625" style="97" customWidth="1"/>
    <col min="6" max="6" width="14.42578125" style="99" customWidth="1"/>
    <col min="7" max="7" width="10.42578125" style="97" bestFit="1" customWidth="1"/>
    <col min="8" max="8" width="10.42578125" style="97" customWidth="1"/>
    <col min="9" max="9" width="10.140625" style="97" customWidth="1"/>
    <col min="10" max="10" width="10.5703125" style="97" customWidth="1"/>
    <col min="11" max="11" width="10.42578125" style="97" bestFit="1" customWidth="1"/>
    <col min="12" max="256" width="9.140625" style="97"/>
    <col min="257" max="257" width="2.42578125" style="97" customWidth="1"/>
    <col min="258" max="258" width="24.42578125" style="97" customWidth="1"/>
    <col min="259" max="259" width="15.42578125" style="97" customWidth="1"/>
    <col min="260" max="260" width="17.85546875" style="97" customWidth="1"/>
    <col min="261" max="261" width="14.140625" style="97" customWidth="1"/>
    <col min="262" max="262" width="14.42578125" style="97" customWidth="1"/>
    <col min="263" max="263" width="10.42578125" style="97" bestFit="1" customWidth="1"/>
    <col min="264" max="264" width="10.42578125" style="97" customWidth="1"/>
    <col min="265" max="265" width="10.140625" style="97" customWidth="1"/>
    <col min="266" max="266" width="10.5703125" style="97" customWidth="1"/>
    <col min="267" max="267" width="10.42578125" style="97" bestFit="1" customWidth="1"/>
    <col min="268" max="512" width="9.140625" style="97"/>
    <col min="513" max="513" width="2.42578125" style="97" customWidth="1"/>
    <col min="514" max="514" width="24.42578125" style="97" customWidth="1"/>
    <col min="515" max="515" width="15.42578125" style="97" customWidth="1"/>
    <col min="516" max="516" width="17.85546875" style="97" customWidth="1"/>
    <col min="517" max="517" width="14.140625" style="97" customWidth="1"/>
    <col min="518" max="518" width="14.42578125" style="97" customWidth="1"/>
    <col min="519" max="519" width="10.42578125" style="97" bestFit="1" customWidth="1"/>
    <col min="520" max="520" width="10.42578125" style="97" customWidth="1"/>
    <col min="521" max="521" width="10.140625" style="97" customWidth="1"/>
    <col min="522" max="522" width="10.5703125" style="97" customWidth="1"/>
    <col min="523" max="523" width="10.42578125" style="97" bestFit="1" customWidth="1"/>
    <col min="524" max="768" width="9.140625" style="97"/>
    <col min="769" max="769" width="2.42578125" style="97" customWidth="1"/>
    <col min="770" max="770" width="24.42578125" style="97" customWidth="1"/>
    <col min="771" max="771" width="15.42578125" style="97" customWidth="1"/>
    <col min="772" max="772" width="17.85546875" style="97" customWidth="1"/>
    <col min="773" max="773" width="14.140625" style="97" customWidth="1"/>
    <col min="774" max="774" width="14.42578125" style="97" customWidth="1"/>
    <col min="775" max="775" width="10.42578125" style="97" bestFit="1" customWidth="1"/>
    <col min="776" max="776" width="10.42578125" style="97" customWidth="1"/>
    <col min="777" max="777" width="10.140625" style="97" customWidth="1"/>
    <col min="778" max="778" width="10.5703125" style="97" customWidth="1"/>
    <col min="779" max="779" width="10.42578125" style="97" bestFit="1" customWidth="1"/>
    <col min="780" max="1024" width="9.140625" style="97"/>
    <col min="1025" max="1025" width="2.42578125" style="97" customWidth="1"/>
    <col min="1026" max="1026" width="24.42578125" style="97" customWidth="1"/>
    <col min="1027" max="1027" width="15.42578125" style="97" customWidth="1"/>
    <col min="1028" max="1028" width="17.85546875" style="97" customWidth="1"/>
    <col min="1029" max="1029" width="14.140625" style="97" customWidth="1"/>
    <col min="1030" max="1030" width="14.42578125" style="97" customWidth="1"/>
    <col min="1031" max="1031" width="10.42578125" style="97" bestFit="1" customWidth="1"/>
    <col min="1032" max="1032" width="10.42578125" style="97" customWidth="1"/>
    <col min="1033" max="1033" width="10.140625" style="97" customWidth="1"/>
    <col min="1034" max="1034" width="10.5703125" style="97" customWidth="1"/>
    <col min="1035" max="1035" width="10.42578125" style="97" bestFit="1" customWidth="1"/>
    <col min="1036" max="1280" width="9.140625" style="97"/>
    <col min="1281" max="1281" width="2.42578125" style="97" customWidth="1"/>
    <col min="1282" max="1282" width="24.42578125" style="97" customWidth="1"/>
    <col min="1283" max="1283" width="15.42578125" style="97" customWidth="1"/>
    <col min="1284" max="1284" width="17.85546875" style="97" customWidth="1"/>
    <col min="1285" max="1285" width="14.140625" style="97" customWidth="1"/>
    <col min="1286" max="1286" width="14.42578125" style="97" customWidth="1"/>
    <col min="1287" max="1287" width="10.42578125" style="97" bestFit="1" customWidth="1"/>
    <col min="1288" max="1288" width="10.42578125" style="97" customWidth="1"/>
    <col min="1289" max="1289" width="10.140625" style="97" customWidth="1"/>
    <col min="1290" max="1290" width="10.5703125" style="97" customWidth="1"/>
    <col min="1291" max="1291" width="10.42578125" style="97" bestFit="1" customWidth="1"/>
    <col min="1292" max="1536" width="9.140625" style="97"/>
    <col min="1537" max="1537" width="2.42578125" style="97" customWidth="1"/>
    <col min="1538" max="1538" width="24.42578125" style="97" customWidth="1"/>
    <col min="1539" max="1539" width="15.42578125" style="97" customWidth="1"/>
    <col min="1540" max="1540" width="17.85546875" style="97" customWidth="1"/>
    <col min="1541" max="1541" width="14.140625" style="97" customWidth="1"/>
    <col min="1542" max="1542" width="14.42578125" style="97" customWidth="1"/>
    <col min="1543" max="1543" width="10.42578125" style="97" bestFit="1" customWidth="1"/>
    <col min="1544" max="1544" width="10.42578125" style="97" customWidth="1"/>
    <col min="1545" max="1545" width="10.140625" style="97" customWidth="1"/>
    <col min="1546" max="1546" width="10.5703125" style="97" customWidth="1"/>
    <col min="1547" max="1547" width="10.42578125" style="97" bestFit="1" customWidth="1"/>
    <col min="1548" max="1792" width="9.140625" style="97"/>
    <col min="1793" max="1793" width="2.42578125" style="97" customWidth="1"/>
    <col min="1794" max="1794" width="24.42578125" style="97" customWidth="1"/>
    <col min="1795" max="1795" width="15.42578125" style="97" customWidth="1"/>
    <col min="1796" max="1796" width="17.85546875" style="97" customWidth="1"/>
    <col min="1797" max="1797" width="14.140625" style="97" customWidth="1"/>
    <col min="1798" max="1798" width="14.42578125" style="97" customWidth="1"/>
    <col min="1799" max="1799" width="10.42578125" style="97" bestFit="1" customWidth="1"/>
    <col min="1800" max="1800" width="10.42578125" style="97" customWidth="1"/>
    <col min="1801" max="1801" width="10.140625" style="97" customWidth="1"/>
    <col min="1802" max="1802" width="10.5703125" style="97" customWidth="1"/>
    <col min="1803" max="1803" width="10.42578125" style="97" bestFit="1" customWidth="1"/>
    <col min="1804" max="2048" width="9.140625" style="97"/>
    <col min="2049" max="2049" width="2.42578125" style="97" customWidth="1"/>
    <col min="2050" max="2050" width="24.42578125" style="97" customWidth="1"/>
    <col min="2051" max="2051" width="15.42578125" style="97" customWidth="1"/>
    <col min="2052" max="2052" width="17.85546875" style="97" customWidth="1"/>
    <col min="2053" max="2053" width="14.140625" style="97" customWidth="1"/>
    <col min="2054" max="2054" width="14.42578125" style="97" customWidth="1"/>
    <col min="2055" max="2055" width="10.42578125" style="97" bestFit="1" customWidth="1"/>
    <col min="2056" max="2056" width="10.42578125" style="97" customWidth="1"/>
    <col min="2057" max="2057" width="10.140625" style="97" customWidth="1"/>
    <col min="2058" max="2058" width="10.5703125" style="97" customWidth="1"/>
    <col min="2059" max="2059" width="10.42578125" style="97" bestFit="1" customWidth="1"/>
    <col min="2060" max="2304" width="9.140625" style="97"/>
    <col min="2305" max="2305" width="2.42578125" style="97" customWidth="1"/>
    <col min="2306" max="2306" width="24.42578125" style="97" customWidth="1"/>
    <col min="2307" max="2307" width="15.42578125" style="97" customWidth="1"/>
    <col min="2308" max="2308" width="17.85546875" style="97" customWidth="1"/>
    <col min="2309" max="2309" width="14.140625" style="97" customWidth="1"/>
    <col min="2310" max="2310" width="14.42578125" style="97" customWidth="1"/>
    <col min="2311" max="2311" width="10.42578125" style="97" bestFit="1" customWidth="1"/>
    <col min="2312" max="2312" width="10.42578125" style="97" customWidth="1"/>
    <col min="2313" max="2313" width="10.140625" style="97" customWidth="1"/>
    <col min="2314" max="2314" width="10.5703125" style="97" customWidth="1"/>
    <col min="2315" max="2315" width="10.42578125" style="97" bestFit="1" customWidth="1"/>
    <col min="2316" max="2560" width="9.140625" style="97"/>
    <col min="2561" max="2561" width="2.42578125" style="97" customWidth="1"/>
    <col min="2562" max="2562" width="24.42578125" style="97" customWidth="1"/>
    <col min="2563" max="2563" width="15.42578125" style="97" customWidth="1"/>
    <col min="2564" max="2564" width="17.85546875" style="97" customWidth="1"/>
    <col min="2565" max="2565" width="14.140625" style="97" customWidth="1"/>
    <col min="2566" max="2566" width="14.42578125" style="97" customWidth="1"/>
    <col min="2567" max="2567" width="10.42578125" style="97" bestFit="1" customWidth="1"/>
    <col min="2568" max="2568" width="10.42578125" style="97" customWidth="1"/>
    <col min="2569" max="2569" width="10.140625" style="97" customWidth="1"/>
    <col min="2570" max="2570" width="10.5703125" style="97" customWidth="1"/>
    <col min="2571" max="2571" width="10.42578125" style="97" bestFit="1" customWidth="1"/>
    <col min="2572" max="2816" width="9.140625" style="97"/>
    <col min="2817" max="2817" width="2.42578125" style="97" customWidth="1"/>
    <col min="2818" max="2818" width="24.42578125" style="97" customWidth="1"/>
    <col min="2819" max="2819" width="15.42578125" style="97" customWidth="1"/>
    <col min="2820" max="2820" width="17.85546875" style="97" customWidth="1"/>
    <col min="2821" max="2821" width="14.140625" style="97" customWidth="1"/>
    <col min="2822" max="2822" width="14.42578125" style="97" customWidth="1"/>
    <col min="2823" max="2823" width="10.42578125" style="97" bestFit="1" customWidth="1"/>
    <col min="2824" max="2824" width="10.42578125" style="97" customWidth="1"/>
    <col min="2825" max="2825" width="10.140625" style="97" customWidth="1"/>
    <col min="2826" max="2826" width="10.5703125" style="97" customWidth="1"/>
    <col min="2827" max="2827" width="10.42578125" style="97" bestFit="1" customWidth="1"/>
    <col min="2828" max="3072" width="9.140625" style="97"/>
    <col min="3073" max="3073" width="2.42578125" style="97" customWidth="1"/>
    <col min="3074" max="3074" width="24.42578125" style="97" customWidth="1"/>
    <col min="3075" max="3075" width="15.42578125" style="97" customWidth="1"/>
    <col min="3076" max="3076" width="17.85546875" style="97" customWidth="1"/>
    <col min="3077" max="3077" width="14.140625" style="97" customWidth="1"/>
    <col min="3078" max="3078" width="14.42578125" style="97" customWidth="1"/>
    <col min="3079" max="3079" width="10.42578125" style="97" bestFit="1" customWidth="1"/>
    <col min="3080" max="3080" width="10.42578125" style="97" customWidth="1"/>
    <col min="3081" max="3081" width="10.140625" style="97" customWidth="1"/>
    <col min="3082" max="3082" width="10.5703125" style="97" customWidth="1"/>
    <col min="3083" max="3083" width="10.42578125" style="97" bestFit="1" customWidth="1"/>
    <col min="3084" max="3328" width="9.140625" style="97"/>
    <col min="3329" max="3329" width="2.42578125" style="97" customWidth="1"/>
    <col min="3330" max="3330" width="24.42578125" style="97" customWidth="1"/>
    <col min="3331" max="3331" width="15.42578125" style="97" customWidth="1"/>
    <col min="3332" max="3332" width="17.85546875" style="97" customWidth="1"/>
    <col min="3333" max="3333" width="14.140625" style="97" customWidth="1"/>
    <col min="3334" max="3334" width="14.42578125" style="97" customWidth="1"/>
    <col min="3335" max="3335" width="10.42578125" style="97" bestFit="1" customWidth="1"/>
    <col min="3336" max="3336" width="10.42578125" style="97" customWidth="1"/>
    <col min="3337" max="3337" width="10.140625" style="97" customWidth="1"/>
    <col min="3338" max="3338" width="10.5703125" style="97" customWidth="1"/>
    <col min="3339" max="3339" width="10.42578125" style="97" bestFit="1" customWidth="1"/>
    <col min="3340" max="3584" width="9.140625" style="97"/>
    <col min="3585" max="3585" width="2.42578125" style="97" customWidth="1"/>
    <col min="3586" max="3586" width="24.42578125" style="97" customWidth="1"/>
    <col min="3587" max="3587" width="15.42578125" style="97" customWidth="1"/>
    <col min="3588" max="3588" width="17.85546875" style="97" customWidth="1"/>
    <col min="3589" max="3589" width="14.140625" style="97" customWidth="1"/>
    <col min="3590" max="3590" width="14.42578125" style="97" customWidth="1"/>
    <col min="3591" max="3591" width="10.42578125" style="97" bestFit="1" customWidth="1"/>
    <col min="3592" max="3592" width="10.42578125" style="97" customWidth="1"/>
    <col min="3593" max="3593" width="10.140625" style="97" customWidth="1"/>
    <col min="3594" max="3594" width="10.5703125" style="97" customWidth="1"/>
    <col min="3595" max="3595" width="10.42578125" style="97" bestFit="1" customWidth="1"/>
    <col min="3596" max="3840" width="9.140625" style="97"/>
    <col min="3841" max="3841" width="2.42578125" style="97" customWidth="1"/>
    <col min="3842" max="3842" width="24.42578125" style="97" customWidth="1"/>
    <col min="3843" max="3843" width="15.42578125" style="97" customWidth="1"/>
    <col min="3844" max="3844" width="17.85546875" style="97" customWidth="1"/>
    <col min="3845" max="3845" width="14.140625" style="97" customWidth="1"/>
    <col min="3846" max="3846" width="14.42578125" style="97" customWidth="1"/>
    <col min="3847" max="3847" width="10.42578125" style="97" bestFit="1" customWidth="1"/>
    <col min="3848" max="3848" width="10.42578125" style="97" customWidth="1"/>
    <col min="3849" max="3849" width="10.140625" style="97" customWidth="1"/>
    <col min="3850" max="3850" width="10.5703125" style="97" customWidth="1"/>
    <col min="3851" max="3851" width="10.42578125" style="97" bestFit="1" customWidth="1"/>
    <col min="3852" max="4096" width="9.140625" style="97"/>
    <col min="4097" max="4097" width="2.42578125" style="97" customWidth="1"/>
    <col min="4098" max="4098" width="24.42578125" style="97" customWidth="1"/>
    <col min="4099" max="4099" width="15.42578125" style="97" customWidth="1"/>
    <col min="4100" max="4100" width="17.85546875" style="97" customWidth="1"/>
    <col min="4101" max="4101" width="14.140625" style="97" customWidth="1"/>
    <col min="4102" max="4102" width="14.42578125" style="97" customWidth="1"/>
    <col min="4103" max="4103" width="10.42578125" style="97" bestFit="1" customWidth="1"/>
    <col min="4104" max="4104" width="10.42578125" style="97" customWidth="1"/>
    <col min="4105" max="4105" width="10.140625" style="97" customWidth="1"/>
    <col min="4106" max="4106" width="10.5703125" style="97" customWidth="1"/>
    <col min="4107" max="4107" width="10.42578125" style="97" bestFit="1" customWidth="1"/>
    <col min="4108" max="4352" width="9.140625" style="97"/>
    <col min="4353" max="4353" width="2.42578125" style="97" customWidth="1"/>
    <col min="4354" max="4354" width="24.42578125" style="97" customWidth="1"/>
    <col min="4355" max="4355" width="15.42578125" style="97" customWidth="1"/>
    <col min="4356" max="4356" width="17.85546875" style="97" customWidth="1"/>
    <col min="4357" max="4357" width="14.140625" style="97" customWidth="1"/>
    <col min="4358" max="4358" width="14.42578125" style="97" customWidth="1"/>
    <col min="4359" max="4359" width="10.42578125" style="97" bestFit="1" customWidth="1"/>
    <col min="4360" max="4360" width="10.42578125" style="97" customWidth="1"/>
    <col min="4361" max="4361" width="10.140625" style="97" customWidth="1"/>
    <col min="4362" max="4362" width="10.5703125" style="97" customWidth="1"/>
    <col min="4363" max="4363" width="10.42578125" style="97" bestFit="1" customWidth="1"/>
    <col min="4364" max="4608" width="9.140625" style="97"/>
    <col min="4609" max="4609" width="2.42578125" style="97" customWidth="1"/>
    <col min="4610" max="4610" width="24.42578125" style="97" customWidth="1"/>
    <col min="4611" max="4611" width="15.42578125" style="97" customWidth="1"/>
    <col min="4612" max="4612" width="17.85546875" style="97" customWidth="1"/>
    <col min="4613" max="4613" width="14.140625" style="97" customWidth="1"/>
    <col min="4614" max="4614" width="14.42578125" style="97" customWidth="1"/>
    <col min="4615" max="4615" width="10.42578125" style="97" bestFit="1" customWidth="1"/>
    <col min="4616" max="4616" width="10.42578125" style="97" customWidth="1"/>
    <col min="4617" max="4617" width="10.140625" style="97" customWidth="1"/>
    <col min="4618" max="4618" width="10.5703125" style="97" customWidth="1"/>
    <col min="4619" max="4619" width="10.42578125" style="97" bestFit="1" customWidth="1"/>
    <col min="4620" max="4864" width="9.140625" style="97"/>
    <col min="4865" max="4865" width="2.42578125" style="97" customWidth="1"/>
    <col min="4866" max="4866" width="24.42578125" style="97" customWidth="1"/>
    <col min="4867" max="4867" width="15.42578125" style="97" customWidth="1"/>
    <col min="4868" max="4868" width="17.85546875" style="97" customWidth="1"/>
    <col min="4869" max="4869" width="14.140625" style="97" customWidth="1"/>
    <col min="4870" max="4870" width="14.42578125" style="97" customWidth="1"/>
    <col min="4871" max="4871" width="10.42578125" style="97" bestFit="1" customWidth="1"/>
    <col min="4872" max="4872" width="10.42578125" style="97" customWidth="1"/>
    <col min="4873" max="4873" width="10.140625" style="97" customWidth="1"/>
    <col min="4874" max="4874" width="10.5703125" style="97" customWidth="1"/>
    <col min="4875" max="4875" width="10.42578125" style="97" bestFit="1" customWidth="1"/>
    <col min="4876" max="5120" width="9.140625" style="97"/>
    <col min="5121" max="5121" width="2.42578125" style="97" customWidth="1"/>
    <col min="5122" max="5122" width="24.42578125" style="97" customWidth="1"/>
    <col min="5123" max="5123" width="15.42578125" style="97" customWidth="1"/>
    <col min="5124" max="5124" width="17.85546875" style="97" customWidth="1"/>
    <col min="5125" max="5125" width="14.140625" style="97" customWidth="1"/>
    <col min="5126" max="5126" width="14.42578125" style="97" customWidth="1"/>
    <col min="5127" max="5127" width="10.42578125" style="97" bestFit="1" customWidth="1"/>
    <col min="5128" max="5128" width="10.42578125" style="97" customWidth="1"/>
    <col min="5129" max="5129" width="10.140625" style="97" customWidth="1"/>
    <col min="5130" max="5130" width="10.5703125" style="97" customWidth="1"/>
    <col min="5131" max="5131" width="10.42578125" style="97" bestFit="1" customWidth="1"/>
    <col min="5132" max="5376" width="9.140625" style="97"/>
    <col min="5377" max="5377" width="2.42578125" style="97" customWidth="1"/>
    <col min="5378" max="5378" width="24.42578125" style="97" customWidth="1"/>
    <col min="5379" max="5379" width="15.42578125" style="97" customWidth="1"/>
    <col min="5380" max="5380" width="17.85546875" style="97" customWidth="1"/>
    <col min="5381" max="5381" width="14.140625" style="97" customWidth="1"/>
    <col min="5382" max="5382" width="14.42578125" style="97" customWidth="1"/>
    <col min="5383" max="5383" width="10.42578125" style="97" bestFit="1" customWidth="1"/>
    <col min="5384" max="5384" width="10.42578125" style="97" customWidth="1"/>
    <col min="5385" max="5385" width="10.140625" style="97" customWidth="1"/>
    <col min="5386" max="5386" width="10.5703125" style="97" customWidth="1"/>
    <col min="5387" max="5387" width="10.42578125" style="97" bestFit="1" customWidth="1"/>
    <col min="5388" max="5632" width="9.140625" style="97"/>
    <col min="5633" max="5633" width="2.42578125" style="97" customWidth="1"/>
    <col min="5634" max="5634" width="24.42578125" style="97" customWidth="1"/>
    <col min="5635" max="5635" width="15.42578125" style="97" customWidth="1"/>
    <col min="5636" max="5636" width="17.85546875" style="97" customWidth="1"/>
    <col min="5637" max="5637" width="14.140625" style="97" customWidth="1"/>
    <col min="5638" max="5638" width="14.42578125" style="97" customWidth="1"/>
    <col min="5639" max="5639" width="10.42578125" style="97" bestFit="1" customWidth="1"/>
    <col min="5640" max="5640" width="10.42578125" style="97" customWidth="1"/>
    <col min="5641" max="5641" width="10.140625" style="97" customWidth="1"/>
    <col min="5642" max="5642" width="10.5703125" style="97" customWidth="1"/>
    <col min="5643" max="5643" width="10.42578125" style="97" bestFit="1" customWidth="1"/>
    <col min="5644" max="5888" width="9.140625" style="97"/>
    <col min="5889" max="5889" width="2.42578125" style="97" customWidth="1"/>
    <col min="5890" max="5890" width="24.42578125" style="97" customWidth="1"/>
    <col min="5891" max="5891" width="15.42578125" style="97" customWidth="1"/>
    <col min="5892" max="5892" width="17.85546875" style="97" customWidth="1"/>
    <col min="5893" max="5893" width="14.140625" style="97" customWidth="1"/>
    <col min="5894" max="5894" width="14.42578125" style="97" customWidth="1"/>
    <col min="5895" max="5895" width="10.42578125" style="97" bestFit="1" customWidth="1"/>
    <col min="5896" max="5896" width="10.42578125" style="97" customWidth="1"/>
    <col min="5897" max="5897" width="10.140625" style="97" customWidth="1"/>
    <col min="5898" max="5898" width="10.5703125" style="97" customWidth="1"/>
    <col min="5899" max="5899" width="10.42578125" style="97" bestFit="1" customWidth="1"/>
    <col min="5900" max="6144" width="9.140625" style="97"/>
    <col min="6145" max="6145" width="2.42578125" style="97" customWidth="1"/>
    <col min="6146" max="6146" width="24.42578125" style="97" customWidth="1"/>
    <col min="6147" max="6147" width="15.42578125" style="97" customWidth="1"/>
    <col min="6148" max="6148" width="17.85546875" style="97" customWidth="1"/>
    <col min="6149" max="6149" width="14.140625" style="97" customWidth="1"/>
    <col min="6150" max="6150" width="14.42578125" style="97" customWidth="1"/>
    <col min="6151" max="6151" width="10.42578125" style="97" bestFit="1" customWidth="1"/>
    <col min="6152" max="6152" width="10.42578125" style="97" customWidth="1"/>
    <col min="6153" max="6153" width="10.140625" style="97" customWidth="1"/>
    <col min="6154" max="6154" width="10.5703125" style="97" customWidth="1"/>
    <col min="6155" max="6155" width="10.42578125" style="97" bestFit="1" customWidth="1"/>
    <col min="6156" max="6400" width="9.140625" style="97"/>
    <col min="6401" max="6401" width="2.42578125" style="97" customWidth="1"/>
    <col min="6402" max="6402" width="24.42578125" style="97" customWidth="1"/>
    <col min="6403" max="6403" width="15.42578125" style="97" customWidth="1"/>
    <col min="6404" max="6404" width="17.85546875" style="97" customWidth="1"/>
    <col min="6405" max="6405" width="14.140625" style="97" customWidth="1"/>
    <col min="6406" max="6406" width="14.42578125" style="97" customWidth="1"/>
    <col min="6407" max="6407" width="10.42578125" style="97" bestFit="1" customWidth="1"/>
    <col min="6408" max="6408" width="10.42578125" style="97" customWidth="1"/>
    <col min="6409" max="6409" width="10.140625" style="97" customWidth="1"/>
    <col min="6410" max="6410" width="10.5703125" style="97" customWidth="1"/>
    <col min="6411" max="6411" width="10.42578125" style="97" bestFit="1" customWidth="1"/>
    <col min="6412" max="6656" width="9.140625" style="97"/>
    <col min="6657" max="6657" width="2.42578125" style="97" customWidth="1"/>
    <col min="6658" max="6658" width="24.42578125" style="97" customWidth="1"/>
    <col min="6659" max="6659" width="15.42578125" style="97" customWidth="1"/>
    <col min="6660" max="6660" width="17.85546875" style="97" customWidth="1"/>
    <col min="6661" max="6661" width="14.140625" style="97" customWidth="1"/>
    <col min="6662" max="6662" width="14.42578125" style="97" customWidth="1"/>
    <col min="6663" max="6663" width="10.42578125" style="97" bestFit="1" customWidth="1"/>
    <col min="6664" max="6664" width="10.42578125" style="97" customWidth="1"/>
    <col min="6665" max="6665" width="10.140625" style="97" customWidth="1"/>
    <col min="6666" max="6666" width="10.5703125" style="97" customWidth="1"/>
    <col min="6667" max="6667" width="10.42578125" style="97" bestFit="1" customWidth="1"/>
    <col min="6668" max="6912" width="9.140625" style="97"/>
    <col min="6913" max="6913" width="2.42578125" style="97" customWidth="1"/>
    <col min="6914" max="6914" width="24.42578125" style="97" customWidth="1"/>
    <col min="6915" max="6915" width="15.42578125" style="97" customWidth="1"/>
    <col min="6916" max="6916" width="17.85546875" style="97" customWidth="1"/>
    <col min="6917" max="6917" width="14.140625" style="97" customWidth="1"/>
    <col min="6918" max="6918" width="14.42578125" style="97" customWidth="1"/>
    <col min="6919" max="6919" width="10.42578125" style="97" bestFit="1" customWidth="1"/>
    <col min="6920" max="6920" width="10.42578125" style="97" customWidth="1"/>
    <col min="6921" max="6921" width="10.140625" style="97" customWidth="1"/>
    <col min="6922" max="6922" width="10.5703125" style="97" customWidth="1"/>
    <col min="6923" max="6923" width="10.42578125" style="97" bestFit="1" customWidth="1"/>
    <col min="6924" max="7168" width="9.140625" style="97"/>
    <col min="7169" max="7169" width="2.42578125" style="97" customWidth="1"/>
    <col min="7170" max="7170" width="24.42578125" style="97" customWidth="1"/>
    <col min="7171" max="7171" width="15.42578125" style="97" customWidth="1"/>
    <col min="7172" max="7172" width="17.85546875" style="97" customWidth="1"/>
    <col min="7173" max="7173" width="14.140625" style="97" customWidth="1"/>
    <col min="7174" max="7174" width="14.42578125" style="97" customWidth="1"/>
    <col min="7175" max="7175" width="10.42578125" style="97" bestFit="1" customWidth="1"/>
    <col min="7176" max="7176" width="10.42578125" style="97" customWidth="1"/>
    <col min="7177" max="7177" width="10.140625" style="97" customWidth="1"/>
    <col min="7178" max="7178" width="10.5703125" style="97" customWidth="1"/>
    <col min="7179" max="7179" width="10.42578125" style="97" bestFit="1" customWidth="1"/>
    <col min="7180" max="7424" width="9.140625" style="97"/>
    <col min="7425" max="7425" width="2.42578125" style="97" customWidth="1"/>
    <col min="7426" max="7426" width="24.42578125" style="97" customWidth="1"/>
    <col min="7427" max="7427" width="15.42578125" style="97" customWidth="1"/>
    <col min="7428" max="7428" width="17.85546875" style="97" customWidth="1"/>
    <col min="7429" max="7429" width="14.140625" style="97" customWidth="1"/>
    <col min="7430" max="7430" width="14.42578125" style="97" customWidth="1"/>
    <col min="7431" max="7431" width="10.42578125" style="97" bestFit="1" customWidth="1"/>
    <col min="7432" max="7432" width="10.42578125" style="97" customWidth="1"/>
    <col min="7433" max="7433" width="10.140625" style="97" customWidth="1"/>
    <col min="7434" max="7434" width="10.5703125" style="97" customWidth="1"/>
    <col min="7435" max="7435" width="10.42578125" style="97" bestFit="1" customWidth="1"/>
    <col min="7436" max="7680" width="9.140625" style="97"/>
    <col min="7681" max="7681" width="2.42578125" style="97" customWidth="1"/>
    <col min="7682" max="7682" width="24.42578125" style="97" customWidth="1"/>
    <col min="7683" max="7683" width="15.42578125" style="97" customWidth="1"/>
    <col min="7684" max="7684" width="17.85546875" style="97" customWidth="1"/>
    <col min="7685" max="7685" width="14.140625" style="97" customWidth="1"/>
    <col min="7686" max="7686" width="14.42578125" style="97" customWidth="1"/>
    <col min="7687" max="7687" width="10.42578125" style="97" bestFit="1" customWidth="1"/>
    <col min="7688" max="7688" width="10.42578125" style="97" customWidth="1"/>
    <col min="7689" max="7689" width="10.140625" style="97" customWidth="1"/>
    <col min="7690" max="7690" width="10.5703125" style="97" customWidth="1"/>
    <col min="7691" max="7691" width="10.42578125" style="97" bestFit="1" customWidth="1"/>
    <col min="7692" max="7936" width="9.140625" style="97"/>
    <col min="7937" max="7937" width="2.42578125" style="97" customWidth="1"/>
    <col min="7938" max="7938" width="24.42578125" style="97" customWidth="1"/>
    <col min="7939" max="7939" width="15.42578125" style="97" customWidth="1"/>
    <col min="7940" max="7940" width="17.85546875" style="97" customWidth="1"/>
    <col min="7941" max="7941" width="14.140625" style="97" customWidth="1"/>
    <col min="7942" max="7942" width="14.42578125" style="97" customWidth="1"/>
    <col min="7943" max="7943" width="10.42578125" style="97" bestFit="1" customWidth="1"/>
    <col min="7944" max="7944" width="10.42578125" style="97" customWidth="1"/>
    <col min="7945" max="7945" width="10.140625" style="97" customWidth="1"/>
    <col min="7946" max="7946" width="10.5703125" style="97" customWidth="1"/>
    <col min="7947" max="7947" width="10.42578125" style="97" bestFit="1" customWidth="1"/>
    <col min="7948" max="8192" width="9.140625" style="97"/>
    <col min="8193" max="8193" width="2.42578125" style="97" customWidth="1"/>
    <col min="8194" max="8194" width="24.42578125" style="97" customWidth="1"/>
    <col min="8195" max="8195" width="15.42578125" style="97" customWidth="1"/>
    <col min="8196" max="8196" width="17.85546875" style="97" customWidth="1"/>
    <col min="8197" max="8197" width="14.140625" style="97" customWidth="1"/>
    <col min="8198" max="8198" width="14.42578125" style="97" customWidth="1"/>
    <col min="8199" max="8199" width="10.42578125" style="97" bestFit="1" customWidth="1"/>
    <col min="8200" max="8200" width="10.42578125" style="97" customWidth="1"/>
    <col min="8201" max="8201" width="10.140625" style="97" customWidth="1"/>
    <col min="8202" max="8202" width="10.5703125" style="97" customWidth="1"/>
    <col min="8203" max="8203" width="10.42578125" style="97" bestFit="1" customWidth="1"/>
    <col min="8204" max="8448" width="9.140625" style="97"/>
    <col min="8449" max="8449" width="2.42578125" style="97" customWidth="1"/>
    <col min="8450" max="8450" width="24.42578125" style="97" customWidth="1"/>
    <col min="8451" max="8451" width="15.42578125" style="97" customWidth="1"/>
    <col min="8452" max="8452" width="17.85546875" style="97" customWidth="1"/>
    <col min="8453" max="8453" width="14.140625" style="97" customWidth="1"/>
    <col min="8454" max="8454" width="14.42578125" style="97" customWidth="1"/>
    <col min="8455" max="8455" width="10.42578125" style="97" bestFit="1" customWidth="1"/>
    <col min="8456" max="8456" width="10.42578125" style="97" customWidth="1"/>
    <col min="8457" max="8457" width="10.140625" style="97" customWidth="1"/>
    <col min="8458" max="8458" width="10.5703125" style="97" customWidth="1"/>
    <col min="8459" max="8459" width="10.42578125" style="97" bestFit="1" customWidth="1"/>
    <col min="8460" max="8704" width="9.140625" style="97"/>
    <col min="8705" max="8705" width="2.42578125" style="97" customWidth="1"/>
    <col min="8706" max="8706" width="24.42578125" style="97" customWidth="1"/>
    <col min="8707" max="8707" width="15.42578125" style="97" customWidth="1"/>
    <col min="8708" max="8708" width="17.85546875" style="97" customWidth="1"/>
    <col min="8709" max="8709" width="14.140625" style="97" customWidth="1"/>
    <col min="8710" max="8710" width="14.42578125" style="97" customWidth="1"/>
    <col min="8711" max="8711" width="10.42578125" style="97" bestFit="1" customWidth="1"/>
    <col min="8712" max="8712" width="10.42578125" style="97" customWidth="1"/>
    <col min="8713" max="8713" width="10.140625" style="97" customWidth="1"/>
    <col min="8714" max="8714" width="10.5703125" style="97" customWidth="1"/>
    <col min="8715" max="8715" width="10.42578125" style="97" bestFit="1" customWidth="1"/>
    <col min="8716" max="8960" width="9.140625" style="97"/>
    <col min="8961" max="8961" width="2.42578125" style="97" customWidth="1"/>
    <col min="8962" max="8962" width="24.42578125" style="97" customWidth="1"/>
    <col min="8963" max="8963" width="15.42578125" style="97" customWidth="1"/>
    <col min="8964" max="8964" width="17.85546875" style="97" customWidth="1"/>
    <col min="8965" max="8965" width="14.140625" style="97" customWidth="1"/>
    <col min="8966" max="8966" width="14.42578125" style="97" customWidth="1"/>
    <col min="8967" max="8967" width="10.42578125" style="97" bestFit="1" customWidth="1"/>
    <col min="8968" max="8968" width="10.42578125" style="97" customWidth="1"/>
    <col min="8969" max="8969" width="10.140625" style="97" customWidth="1"/>
    <col min="8970" max="8970" width="10.5703125" style="97" customWidth="1"/>
    <col min="8971" max="8971" width="10.42578125" style="97" bestFit="1" customWidth="1"/>
    <col min="8972" max="9216" width="9.140625" style="97"/>
    <col min="9217" max="9217" width="2.42578125" style="97" customWidth="1"/>
    <col min="9218" max="9218" width="24.42578125" style="97" customWidth="1"/>
    <col min="9219" max="9219" width="15.42578125" style="97" customWidth="1"/>
    <col min="9220" max="9220" width="17.85546875" style="97" customWidth="1"/>
    <col min="9221" max="9221" width="14.140625" style="97" customWidth="1"/>
    <col min="9222" max="9222" width="14.42578125" style="97" customWidth="1"/>
    <col min="9223" max="9223" width="10.42578125" style="97" bestFit="1" customWidth="1"/>
    <col min="9224" max="9224" width="10.42578125" style="97" customWidth="1"/>
    <col min="9225" max="9225" width="10.140625" style="97" customWidth="1"/>
    <col min="9226" max="9226" width="10.5703125" style="97" customWidth="1"/>
    <col min="9227" max="9227" width="10.42578125" style="97" bestFit="1" customWidth="1"/>
    <col min="9228" max="9472" width="9.140625" style="97"/>
    <col min="9473" max="9473" width="2.42578125" style="97" customWidth="1"/>
    <col min="9474" max="9474" width="24.42578125" style="97" customWidth="1"/>
    <col min="9475" max="9475" width="15.42578125" style="97" customWidth="1"/>
    <col min="9476" max="9476" width="17.85546875" style="97" customWidth="1"/>
    <col min="9477" max="9477" width="14.140625" style="97" customWidth="1"/>
    <col min="9478" max="9478" width="14.42578125" style="97" customWidth="1"/>
    <col min="9479" max="9479" width="10.42578125" style="97" bestFit="1" customWidth="1"/>
    <col min="9480" max="9480" width="10.42578125" style="97" customWidth="1"/>
    <col min="9481" max="9481" width="10.140625" style="97" customWidth="1"/>
    <col min="9482" max="9482" width="10.5703125" style="97" customWidth="1"/>
    <col min="9483" max="9483" width="10.42578125" style="97" bestFit="1" customWidth="1"/>
    <col min="9484" max="9728" width="9.140625" style="97"/>
    <col min="9729" max="9729" width="2.42578125" style="97" customWidth="1"/>
    <col min="9730" max="9730" width="24.42578125" style="97" customWidth="1"/>
    <col min="9731" max="9731" width="15.42578125" style="97" customWidth="1"/>
    <col min="9732" max="9732" width="17.85546875" style="97" customWidth="1"/>
    <col min="9733" max="9733" width="14.140625" style="97" customWidth="1"/>
    <col min="9734" max="9734" width="14.42578125" style="97" customWidth="1"/>
    <col min="9735" max="9735" width="10.42578125" style="97" bestFit="1" customWidth="1"/>
    <col min="9736" max="9736" width="10.42578125" style="97" customWidth="1"/>
    <col min="9737" max="9737" width="10.140625" style="97" customWidth="1"/>
    <col min="9738" max="9738" width="10.5703125" style="97" customWidth="1"/>
    <col min="9739" max="9739" width="10.42578125" style="97" bestFit="1" customWidth="1"/>
    <col min="9740" max="9984" width="9.140625" style="97"/>
    <col min="9985" max="9985" width="2.42578125" style="97" customWidth="1"/>
    <col min="9986" max="9986" width="24.42578125" style="97" customWidth="1"/>
    <col min="9987" max="9987" width="15.42578125" style="97" customWidth="1"/>
    <col min="9988" max="9988" width="17.85546875" style="97" customWidth="1"/>
    <col min="9989" max="9989" width="14.140625" style="97" customWidth="1"/>
    <col min="9990" max="9990" width="14.42578125" style="97" customWidth="1"/>
    <col min="9991" max="9991" width="10.42578125" style="97" bestFit="1" customWidth="1"/>
    <col min="9992" max="9992" width="10.42578125" style="97" customWidth="1"/>
    <col min="9993" max="9993" width="10.140625" style="97" customWidth="1"/>
    <col min="9994" max="9994" width="10.5703125" style="97" customWidth="1"/>
    <col min="9995" max="9995" width="10.42578125" style="97" bestFit="1" customWidth="1"/>
    <col min="9996" max="10240" width="9.140625" style="97"/>
    <col min="10241" max="10241" width="2.42578125" style="97" customWidth="1"/>
    <col min="10242" max="10242" width="24.42578125" style="97" customWidth="1"/>
    <col min="10243" max="10243" width="15.42578125" style="97" customWidth="1"/>
    <col min="10244" max="10244" width="17.85546875" style="97" customWidth="1"/>
    <col min="10245" max="10245" width="14.140625" style="97" customWidth="1"/>
    <col min="10246" max="10246" width="14.42578125" style="97" customWidth="1"/>
    <col min="10247" max="10247" width="10.42578125" style="97" bestFit="1" customWidth="1"/>
    <col min="10248" max="10248" width="10.42578125" style="97" customWidth="1"/>
    <col min="10249" max="10249" width="10.140625" style="97" customWidth="1"/>
    <col min="10250" max="10250" width="10.5703125" style="97" customWidth="1"/>
    <col min="10251" max="10251" width="10.42578125" style="97" bestFit="1" customWidth="1"/>
    <col min="10252" max="10496" width="9.140625" style="97"/>
    <col min="10497" max="10497" width="2.42578125" style="97" customWidth="1"/>
    <col min="10498" max="10498" width="24.42578125" style="97" customWidth="1"/>
    <col min="10499" max="10499" width="15.42578125" style="97" customWidth="1"/>
    <col min="10500" max="10500" width="17.85546875" style="97" customWidth="1"/>
    <col min="10501" max="10501" width="14.140625" style="97" customWidth="1"/>
    <col min="10502" max="10502" width="14.42578125" style="97" customWidth="1"/>
    <col min="10503" max="10503" width="10.42578125" style="97" bestFit="1" customWidth="1"/>
    <col min="10504" max="10504" width="10.42578125" style="97" customWidth="1"/>
    <col min="10505" max="10505" width="10.140625" style="97" customWidth="1"/>
    <col min="10506" max="10506" width="10.5703125" style="97" customWidth="1"/>
    <col min="10507" max="10507" width="10.42578125" style="97" bestFit="1" customWidth="1"/>
    <col min="10508" max="10752" width="9.140625" style="97"/>
    <col min="10753" max="10753" width="2.42578125" style="97" customWidth="1"/>
    <col min="10754" max="10754" width="24.42578125" style="97" customWidth="1"/>
    <col min="10755" max="10755" width="15.42578125" style="97" customWidth="1"/>
    <col min="10756" max="10756" width="17.85546875" style="97" customWidth="1"/>
    <col min="10757" max="10757" width="14.140625" style="97" customWidth="1"/>
    <col min="10758" max="10758" width="14.42578125" style="97" customWidth="1"/>
    <col min="10759" max="10759" width="10.42578125" style="97" bestFit="1" customWidth="1"/>
    <col min="10760" max="10760" width="10.42578125" style="97" customWidth="1"/>
    <col min="10761" max="10761" width="10.140625" style="97" customWidth="1"/>
    <col min="10762" max="10762" width="10.5703125" style="97" customWidth="1"/>
    <col min="10763" max="10763" width="10.42578125" style="97" bestFit="1" customWidth="1"/>
    <col min="10764" max="11008" width="9.140625" style="97"/>
    <col min="11009" max="11009" width="2.42578125" style="97" customWidth="1"/>
    <col min="11010" max="11010" width="24.42578125" style="97" customWidth="1"/>
    <col min="11011" max="11011" width="15.42578125" style="97" customWidth="1"/>
    <col min="11012" max="11012" width="17.85546875" style="97" customWidth="1"/>
    <col min="11013" max="11013" width="14.140625" style="97" customWidth="1"/>
    <col min="11014" max="11014" width="14.42578125" style="97" customWidth="1"/>
    <col min="11015" max="11015" width="10.42578125" style="97" bestFit="1" customWidth="1"/>
    <col min="11016" max="11016" width="10.42578125" style="97" customWidth="1"/>
    <col min="11017" max="11017" width="10.140625" style="97" customWidth="1"/>
    <col min="11018" max="11018" width="10.5703125" style="97" customWidth="1"/>
    <col min="11019" max="11019" width="10.42578125" style="97" bestFit="1" customWidth="1"/>
    <col min="11020" max="11264" width="9.140625" style="97"/>
    <col min="11265" max="11265" width="2.42578125" style="97" customWidth="1"/>
    <col min="11266" max="11266" width="24.42578125" style="97" customWidth="1"/>
    <col min="11267" max="11267" width="15.42578125" style="97" customWidth="1"/>
    <col min="11268" max="11268" width="17.85546875" style="97" customWidth="1"/>
    <col min="11269" max="11269" width="14.140625" style="97" customWidth="1"/>
    <col min="11270" max="11270" width="14.42578125" style="97" customWidth="1"/>
    <col min="11271" max="11271" width="10.42578125" style="97" bestFit="1" customWidth="1"/>
    <col min="11272" max="11272" width="10.42578125" style="97" customWidth="1"/>
    <col min="11273" max="11273" width="10.140625" style="97" customWidth="1"/>
    <col min="11274" max="11274" width="10.5703125" style="97" customWidth="1"/>
    <col min="11275" max="11275" width="10.42578125" style="97" bestFit="1" customWidth="1"/>
    <col min="11276" max="11520" width="9.140625" style="97"/>
    <col min="11521" max="11521" width="2.42578125" style="97" customWidth="1"/>
    <col min="11522" max="11522" width="24.42578125" style="97" customWidth="1"/>
    <col min="11523" max="11523" width="15.42578125" style="97" customWidth="1"/>
    <col min="11524" max="11524" width="17.85546875" style="97" customWidth="1"/>
    <col min="11525" max="11525" width="14.140625" style="97" customWidth="1"/>
    <col min="11526" max="11526" width="14.42578125" style="97" customWidth="1"/>
    <col min="11527" max="11527" width="10.42578125" style="97" bestFit="1" customWidth="1"/>
    <col min="11528" max="11528" width="10.42578125" style="97" customWidth="1"/>
    <col min="11529" max="11529" width="10.140625" style="97" customWidth="1"/>
    <col min="11530" max="11530" width="10.5703125" style="97" customWidth="1"/>
    <col min="11531" max="11531" width="10.42578125" style="97" bestFit="1" customWidth="1"/>
    <col min="11532" max="11776" width="9.140625" style="97"/>
    <col min="11777" max="11777" width="2.42578125" style="97" customWidth="1"/>
    <col min="11778" max="11778" width="24.42578125" style="97" customWidth="1"/>
    <col min="11779" max="11779" width="15.42578125" style="97" customWidth="1"/>
    <col min="11780" max="11780" width="17.85546875" style="97" customWidth="1"/>
    <col min="11781" max="11781" width="14.140625" style="97" customWidth="1"/>
    <col min="11782" max="11782" width="14.42578125" style="97" customWidth="1"/>
    <col min="11783" max="11783" width="10.42578125" style="97" bestFit="1" customWidth="1"/>
    <col min="11784" max="11784" width="10.42578125" style="97" customWidth="1"/>
    <col min="11785" max="11785" width="10.140625" style="97" customWidth="1"/>
    <col min="11786" max="11786" width="10.5703125" style="97" customWidth="1"/>
    <col min="11787" max="11787" width="10.42578125" style="97" bestFit="1" customWidth="1"/>
    <col min="11788" max="12032" width="9.140625" style="97"/>
    <col min="12033" max="12033" width="2.42578125" style="97" customWidth="1"/>
    <col min="12034" max="12034" width="24.42578125" style="97" customWidth="1"/>
    <col min="12035" max="12035" width="15.42578125" style="97" customWidth="1"/>
    <col min="12036" max="12036" width="17.85546875" style="97" customWidth="1"/>
    <col min="12037" max="12037" width="14.140625" style="97" customWidth="1"/>
    <col min="12038" max="12038" width="14.42578125" style="97" customWidth="1"/>
    <col min="12039" max="12039" width="10.42578125" style="97" bestFit="1" customWidth="1"/>
    <col min="12040" max="12040" width="10.42578125" style="97" customWidth="1"/>
    <col min="12041" max="12041" width="10.140625" style="97" customWidth="1"/>
    <col min="12042" max="12042" width="10.5703125" style="97" customWidth="1"/>
    <col min="12043" max="12043" width="10.42578125" style="97" bestFit="1" customWidth="1"/>
    <col min="12044" max="12288" width="9.140625" style="97"/>
    <col min="12289" max="12289" width="2.42578125" style="97" customWidth="1"/>
    <col min="12290" max="12290" width="24.42578125" style="97" customWidth="1"/>
    <col min="12291" max="12291" width="15.42578125" style="97" customWidth="1"/>
    <col min="12292" max="12292" width="17.85546875" style="97" customWidth="1"/>
    <col min="12293" max="12293" width="14.140625" style="97" customWidth="1"/>
    <col min="12294" max="12294" width="14.42578125" style="97" customWidth="1"/>
    <col min="12295" max="12295" width="10.42578125" style="97" bestFit="1" customWidth="1"/>
    <col min="12296" max="12296" width="10.42578125" style="97" customWidth="1"/>
    <col min="12297" max="12297" width="10.140625" style="97" customWidth="1"/>
    <col min="12298" max="12298" width="10.5703125" style="97" customWidth="1"/>
    <col min="12299" max="12299" width="10.42578125" style="97" bestFit="1" customWidth="1"/>
    <col min="12300" max="12544" width="9.140625" style="97"/>
    <col min="12545" max="12545" width="2.42578125" style="97" customWidth="1"/>
    <col min="12546" max="12546" width="24.42578125" style="97" customWidth="1"/>
    <col min="12547" max="12547" width="15.42578125" style="97" customWidth="1"/>
    <col min="12548" max="12548" width="17.85546875" style="97" customWidth="1"/>
    <col min="12549" max="12549" width="14.140625" style="97" customWidth="1"/>
    <col min="12550" max="12550" width="14.42578125" style="97" customWidth="1"/>
    <col min="12551" max="12551" width="10.42578125" style="97" bestFit="1" customWidth="1"/>
    <col min="12552" max="12552" width="10.42578125" style="97" customWidth="1"/>
    <col min="12553" max="12553" width="10.140625" style="97" customWidth="1"/>
    <col min="12554" max="12554" width="10.5703125" style="97" customWidth="1"/>
    <col min="12555" max="12555" width="10.42578125" style="97" bestFit="1" customWidth="1"/>
    <col min="12556" max="12800" width="9.140625" style="97"/>
    <col min="12801" max="12801" width="2.42578125" style="97" customWidth="1"/>
    <col min="12802" max="12802" width="24.42578125" style="97" customWidth="1"/>
    <col min="12803" max="12803" width="15.42578125" style="97" customWidth="1"/>
    <col min="12804" max="12804" width="17.85546875" style="97" customWidth="1"/>
    <col min="12805" max="12805" width="14.140625" style="97" customWidth="1"/>
    <col min="12806" max="12806" width="14.42578125" style="97" customWidth="1"/>
    <col min="12807" max="12807" width="10.42578125" style="97" bestFit="1" customWidth="1"/>
    <col min="12808" max="12808" width="10.42578125" style="97" customWidth="1"/>
    <col min="12809" max="12809" width="10.140625" style="97" customWidth="1"/>
    <col min="12810" max="12810" width="10.5703125" style="97" customWidth="1"/>
    <col min="12811" max="12811" width="10.42578125" style="97" bestFit="1" customWidth="1"/>
    <col min="12812" max="13056" width="9.140625" style="97"/>
    <col min="13057" max="13057" width="2.42578125" style="97" customWidth="1"/>
    <col min="13058" max="13058" width="24.42578125" style="97" customWidth="1"/>
    <col min="13059" max="13059" width="15.42578125" style="97" customWidth="1"/>
    <col min="13060" max="13060" width="17.85546875" style="97" customWidth="1"/>
    <col min="13061" max="13061" width="14.140625" style="97" customWidth="1"/>
    <col min="13062" max="13062" width="14.42578125" style="97" customWidth="1"/>
    <col min="13063" max="13063" width="10.42578125" style="97" bestFit="1" customWidth="1"/>
    <col min="13064" max="13064" width="10.42578125" style="97" customWidth="1"/>
    <col min="13065" max="13065" width="10.140625" style="97" customWidth="1"/>
    <col min="13066" max="13066" width="10.5703125" style="97" customWidth="1"/>
    <col min="13067" max="13067" width="10.42578125" style="97" bestFit="1" customWidth="1"/>
    <col min="13068" max="13312" width="9.140625" style="97"/>
    <col min="13313" max="13313" width="2.42578125" style="97" customWidth="1"/>
    <col min="13314" max="13314" width="24.42578125" style="97" customWidth="1"/>
    <col min="13315" max="13315" width="15.42578125" style="97" customWidth="1"/>
    <col min="13316" max="13316" width="17.85546875" style="97" customWidth="1"/>
    <col min="13317" max="13317" width="14.140625" style="97" customWidth="1"/>
    <col min="13318" max="13318" width="14.42578125" style="97" customWidth="1"/>
    <col min="13319" max="13319" width="10.42578125" style="97" bestFit="1" customWidth="1"/>
    <col min="13320" max="13320" width="10.42578125" style="97" customWidth="1"/>
    <col min="13321" max="13321" width="10.140625" style="97" customWidth="1"/>
    <col min="13322" max="13322" width="10.5703125" style="97" customWidth="1"/>
    <col min="13323" max="13323" width="10.42578125" style="97" bestFit="1" customWidth="1"/>
    <col min="13324" max="13568" width="9.140625" style="97"/>
    <col min="13569" max="13569" width="2.42578125" style="97" customWidth="1"/>
    <col min="13570" max="13570" width="24.42578125" style="97" customWidth="1"/>
    <col min="13571" max="13571" width="15.42578125" style="97" customWidth="1"/>
    <col min="13572" max="13572" width="17.85546875" style="97" customWidth="1"/>
    <col min="13573" max="13573" width="14.140625" style="97" customWidth="1"/>
    <col min="13574" max="13574" width="14.42578125" style="97" customWidth="1"/>
    <col min="13575" max="13575" width="10.42578125" style="97" bestFit="1" customWidth="1"/>
    <col min="13576" max="13576" width="10.42578125" style="97" customWidth="1"/>
    <col min="13577" max="13577" width="10.140625" style="97" customWidth="1"/>
    <col min="13578" max="13578" width="10.5703125" style="97" customWidth="1"/>
    <col min="13579" max="13579" width="10.42578125" style="97" bestFit="1" customWidth="1"/>
    <col min="13580" max="13824" width="9.140625" style="97"/>
    <col min="13825" max="13825" width="2.42578125" style="97" customWidth="1"/>
    <col min="13826" max="13826" width="24.42578125" style="97" customWidth="1"/>
    <col min="13827" max="13827" width="15.42578125" style="97" customWidth="1"/>
    <col min="13828" max="13828" width="17.85546875" style="97" customWidth="1"/>
    <col min="13829" max="13829" width="14.140625" style="97" customWidth="1"/>
    <col min="13830" max="13830" width="14.42578125" style="97" customWidth="1"/>
    <col min="13831" max="13831" width="10.42578125" style="97" bestFit="1" customWidth="1"/>
    <col min="13832" max="13832" width="10.42578125" style="97" customWidth="1"/>
    <col min="13833" max="13833" width="10.140625" style="97" customWidth="1"/>
    <col min="13834" max="13834" width="10.5703125" style="97" customWidth="1"/>
    <col min="13835" max="13835" width="10.42578125" style="97" bestFit="1" customWidth="1"/>
    <col min="13836" max="14080" width="9.140625" style="97"/>
    <col min="14081" max="14081" width="2.42578125" style="97" customWidth="1"/>
    <col min="14082" max="14082" width="24.42578125" style="97" customWidth="1"/>
    <col min="14083" max="14083" width="15.42578125" style="97" customWidth="1"/>
    <col min="14084" max="14084" width="17.85546875" style="97" customWidth="1"/>
    <col min="14085" max="14085" width="14.140625" style="97" customWidth="1"/>
    <col min="14086" max="14086" width="14.42578125" style="97" customWidth="1"/>
    <col min="14087" max="14087" width="10.42578125" style="97" bestFit="1" customWidth="1"/>
    <col min="14088" max="14088" width="10.42578125" style="97" customWidth="1"/>
    <col min="14089" max="14089" width="10.140625" style="97" customWidth="1"/>
    <col min="14090" max="14090" width="10.5703125" style="97" customWidth="1"/>
    <col min="14091" max="14091" width="10.42578125" style="97" bestFit="1" customWidth="1"/>
    <col min="14092" max="14336" width="9.140625" style="97"/>
    <col min="14337" max="14337" width="2.42578125" style="97" customWidth="1"/>
    <col min="14338" max="14338" width="24.42578125" style="97" customWidth="1"/>
    <col min="14339" max="14339" width="15.42578125" style="97" customWidth="1"/>
    <col min="14340" max="14340" width="17.85546875" style="97" customWidth="1"/>
    <col min="14341" max="14341" width="14.140625" style="97" customWidth="1"/>
    <col min="14342" max="14342" width="14.42578125" style="97" customWidth="1"/>
    <col min="14343" max="14343" width="10.42578125" style="97" bestFit="1" customWidth="1"/>
    <col min="14344" max="14344" width="10.42578125" style="97" customWidth="1"/>
    <col min="14345" max="14345" width="10.140625" style="97" customWidth="1"/>
    <col min="14346" max="14346" width="10.5703125" style="97" customWidth="1"/>
    <col min="14347" max="14347" width="10.42578125" style="97" bestFit="1" customWidth="1"/>
    <col min="14348" max="14592" width="9.140625" style="97"/>
    <col min="14593" max="14593" width="2.42578125" style="97" customWidth="1"/>
    <col min="14594" max="14594" width="24.42578125" style="97" customWidth="1"/>
    <col min="14595" max="14595" width="15.42578125" style="97" customWidth="1"/>
    <col min="14596" max="14596" width="17.85546875" style="97" customWidth="1"/>
    <col min="14597" max="14597" width="14.140625" style="97" customWidth="1"/>
    <col min="14598" max="14598" width="14.42578125" style="97" customWidth="1"/>
    <col min="14599" max="14599" width="10.42578125" style="97" bestFit="1" customWidth="1"/>
    <col min="14600" max="14600" width="10.42578125" style="97" customWidth="1"/>
    <col min="14601" max="14601" width="10.140625" style="97" customWidth="1"/>
    <col min="14602" max="14602" width="10.5703125" style="97" customWidth="1"/>
    <col min="14603" max="14603" width="10.42578125" style="97" bestFit="1" customWidth="1"/>
    <col min="14604" max="14848" width="9.140625" style="97"/>
    <col min="14849" max="14849" width="2.42578125" style="97" customWidth="1"/>
    <col min="14850" max="14850" width="24.42578125" style="97" customWidth="1"/>
    <col min="14851" max="14851" width="15.42578125" style="97" customWidth="1"/>
    <col min="14852" max="14852" width="17.85546875" style="97" customWidth="1"/>
    <col min="14853" max="14853" width="14.140625" style="97" customWidth="1"/>
    <col min="14854" max="14854" width="14.42578125" style="97" customWidth="1"/>
    <col min="14855" max="14855" width="10.42578125" style="97" bestFit="1" customWidth="1"/>
    <col min="14856" max="14856" width="10.42578125" style="97" customWidth="1"/>
    <col min="14857" max="14857" width="10.140625" style="97" customWidth="1"/>
    <col min="14858" max="14858" width="10.5703125" style="97" customWidth="1"/>
    <col min="14859" max="14859" width="10.42578125" style="97" bestFit="1" customWidth="1"/>
    <col min="14860" max="15104" width="9.140625" style="97"/>
    <col min="15105" max="15105" width="2.42578125" style="97" customWidth="1"/>
    <col min="15106" max="15106" width="24.42578125" style="97" customWidth="1"/>
    <col min="15107" max="15107" width="15.42578125" style="97" customWidth="1"/>
    <col min="15108" max="15108" width="17.85546875" style="97" customWidth="1"/>
    <col min="15109" max="15109" width="14.140625" style="97" customWidth="1"/>
    <col min="15110" max="15110" width="14.42578125" style="97" customWidth="1"/>
    <col min="15111" max="15111" width="10.42578125" style="97" bestFit="1" customWidth="1"/>
    <col min="15112" max="15112" width="10.42578125" style="97" customWidth="1"/>
    <col min="15113" max="15113" width="10.140625" style="97" customWidth="1"/>
    <col min="15114" max="15114" width="10.5703125" style="97" customWidth="1"/>
    <col min="15115" max="15115" width="10.42578125" style="97" bestFit="1" customWidth="1"/>
    <col min="15116" max="15360" width="9.140625" style="97"/>
    <col min="15361" max="15361" width="2.42578125" style="97" customWidth="1"/>
    <col min="15362" max="15362" width="24.42578125" style="97" customWidth="1"/>
    <col min="15363" max="15363" width="15.42578125" style="97" customWidth="1"/>
    <col min="15364" max="15364" width="17.85546875" style="97" customWidth="1"/>
    <col min="15365" max="15365" width="14.140625" style="97" customWidth="1"/>
    <col min="15366" max="15366" width="14.42578125" style="97" customWidth="1"/>
    <col min="15367" max="15367" width="10.42578125" style="97" bestFit="1" customWidth="1"/>
    <col min="15368" max="15368" width="10.42578125" style="97" customWidth="1"/>
    <col min="15369" max="15369" width="10.140625" style="97" customWidth="1"/>
    <col min="15370" max="15370" width="10.5703125" style="97" customWidth="1"/>
    <col min="15371" max="15371" width="10.42578125" style="97" bestFit="1" customWidth="1"/>
    <col min="15372" max="15616" width="9.140625" style="97"/>
    <col min="15617" max="15617" width="2.42578125" style="97" customWidth="1"/>
    <col min="15618" max="15618" width="24.42578125" style="97" customWidth="1"/>
    <col min="15619" max="15619" width="15.42578125" style="97" customWidth="1"/>
    <col min="15620" max="15620" width="17.85546875" style="97" customWidth="1"/>
    <col min="15621" max="15621" width="14.140625" style="97" customWidth="1"/>
    <col min="15622" max="15622" width="14.42578125" style="97" customWidth="1"/>
    <col min="15623" max="15623" width="10.42578125" style="97" bestFit="1" customWidth="1"/>
    <col min="15624" max="15624" width="10.42578125" style="97" customWidth="1"/>
    <col min="15625" max="15625" width="10.140625" style="97" customWidth="1"/>
    <col min="15626" max="15626" width="10.5703125" style="97" customWidth="1"/>
    <col min="15627" max="15627" width="10.42578125" style="97" bestFit="1" customWidth="1"/>
    <col min="15628" max="15872" width="9.140625" style="97"/>
    <col min="15873" max="15873" width="2.42578125" style="97" customWidth="1"/>
    <col min="15874" max="15874" width="24.42578125" style="97" customWidth="1"/>
    <col min="15875" max="15875" width="15.42578125" style="97" customWidth="1"/>
    <col min="15876" max="15876" width="17.85546875" style="97" customWidth="1"/>
    <col min="15877" max="15877" width="14.140625" style="97" customWidth="1"/>
    <col min="15878" max="15878" width="14.42578125" style="97" customWidth="1"/>
    <col min="15879" max="15879" width="10.42578125" style="97" bestFit="1" customWidth="1"/>
    <col min="15880" max="15880" width="10.42578125" style="97" customWidth="1"/>
    <col min="15881" max="15881" width="10.140625" style="97" customWidth="1"/>
    <col min="15882" max="15882" width="10.5703125" style="97" customWidth="1"/>
    <col min="15883" max="15883" width="10.42578125" style="97" bestFit="1" customWidth="1"/>
    <col min="15884" max="16128" width="9.140625" style="97"/>
    <col min="16129" max="16129" width="2.42578125" style="97" customWidth="1"/>
    <col min="16130" max="16130" width="24.42578125" style="97" customWidth="1"/>
    <col min="16131" max="16131" width="15.42578125" style="97" customWidth="1"/>
    <col min="16132" max="16132" width="17.85546875" style="97" customWidth="1"/>
    <col min="16133" max="16133" width="14.140625" style="97" customWidth="1"/>
    <col min="16134" max="16134" width="14.42578125" style="97" customWidth="1"/>
    <col min="16135" max="16135" width="10.42578125" style="97" bestFit="1" customWidth="1"/>
    <col min="16136" max="16136" width="10.42578125" style="97" customWidth="1"/>
    <col min="16137" max="16137" width="10.140625" style="97" customWidth="1"/>
    <col min="16138" max="16138" width="10.5703125" style="97" customWidth="1"/>
    <col min="16139" max="16139" width="10.42578125" style="97" bestFit="1" customWidth="1"/>
    <col min="16140" max="16384" width="9.140625" style="97"/>
  </cols>
  <sheetData>
    <row r="1" spans="1:12" ht="12.75" customHeight="1" x14ac:dyDescent="0.25">
      <c r="A1" s="649" t="s">
        <v>1110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</row>
    <row r="2" spans="1:12" ht="15" x14ac:dyDescent="0.25">
      <c r="G2" s="100"/>
      <c r="H2" s="100"/>
      <c r="I2" s="100"/>
      <c r="J2" s="100"/>
      <c r="K2" s="52"/>
    </row>
    <row r="3" spans="1:12" x14ac:dyDescent="0.2">
      <c r="B3" s="650" t="s">
        <v>265</v>
      </c>
      <c r="C3" s="650"/>
      <c r="D3" s="650"/>
      <c r="E3" s="650"/>
      <c r="F3" s="650"/>
      <c r="G3" s="650"/>
      <c r="H3" s="650"/>
      <c r="I3" s="650"/>
      <c r="J3" s="101"/>
    </row>
    <row r="4" spans="1:12" x14ac:dyDescent="0.2">
      <c r="B4" s="102"/>
      <c r="C4" s="103"/>
      <c r="D4" s="103"/>
      <c r="E4" s="103"/>
      <c r="F4" s="104"/>
      <c r="K4" s="105" t="s">
        <v>25</v>
      </c>
    </row>
    <row r="5" spans="1:12" s="98" customFormat="1" ht="38.25" x14ac:dyDescent="0.2">
      <c r="A5" s="106"/>
      <c r="B5" s="107" t="s">
        <v>229</v>
      </c>
      <c r="C5" s="107" t="s">
        <v>266</v>
      </c>
      <c r="D5" s="107" t="s">
        <v>267</v>
      </c>
      <c r="E5" s="107" t="s">
        <v>268</v>
      </c>
      <c r="F5" s="108" t="s">
        <v>269</v>
      </c>
      <c r="G5" s="109" t="s">
        <v>1098</v>
      </c>
      <c r="H5" s="109" t="s">
        <v>1099</v>
      </c>
      <c r="I5" s="107" t="s">
        <v>270</v>
      </c>
      <c r="J5" s="107" t="s">
        <v>271</v>
      </c>
      <c r="K5" s="107" t="s">
        <v>1100</v>
      </c>
    </row>
    <row r="6" spans="1:12" x14ac:dyDescent="0.2">
      <c r="A6" s="110" t="s">
        <v>235</v>
      </c>
      <c r="B6" s="111"/>
      <c r="C6" s="112"/>
      <c r="D6" s="113"/>
      <c r="E6" s="114"/>
      <c r="F6" s="114"/>
      <c r="G6" s="115"/>
      <c r="H6" s="115"/>
      <c r="I6" s="116"/>
      <c r="J6" s="116"/>
      <c r="K6" s="110"/>
      <c r="L6" s="117"/>
    </row>
    <row r="7" spans="1:12" x14ac:dyDescent="0.2">
      <c r="A7" s="110" t="s">
        <v>236</v>
      </c>
      <c r="B7" s="111"/>
      <c r="C7" s="112"/>
      <c r="D7" s="113"/>
      <c r="E7" s="114"/>
      <c r="F7" s="114"/>
      <c r="G7" s="115"/>
      <c r="H7" s="115"/>
      <c r="I7" s="116"/>
      <c r="J7" s="116"/>
      <c r="K7" s="110"/>
      <c r="L7" s="117"/>
    </row>
    <row r="8" spans="1:12" x14ac:dyDescent="0.2">
      <c r="A8" s="110" t="s">
        <v>237</v>
      </c>
      <c r="B8" s="111"/>
      <c r="C8" s="112"/>
      <c r="D8" s="113"/>
      <c r="E8" s="114"/>
      <c r="F8" s="114"/>
      <c r="G8" s="118"/>
      <c r="H8" s="118"/>
      <c r="I8" s="119"/>
      <c r="J8" s="119"/>
      <c r="K8" s="119"/>
      <c r="L8" s="117"/>
    </row>
    <row r="9" spans="1:12" x14ac:dyDescent="0.2">
      <c r="L9" s="117"/>
    </row>
    <row r="10" spans="1:12" x14ac:dyDescent="0.2">
      <c r="A10" s="120"/>
      <c r="C10" s="120"/>
      <c r="D10" s="121"/>
      <c r="E10" s="121"/>
      <c r="F10" s="121"/>
      <c r="G10" s="122"/>
      <c r="H10" s="122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8"/>
  <sheetViews>
    <sheetView zoomScaleNormal="100" workbookViewId="0">
      <selection activeCell="E1" sqref="E1"/>
    </sheetView>
  </sheetViews>
  <sheetFormatPr defaultRowHeight="12.75" x14ac:dyDescent="0.2"/>
  <cols>
    <col min="1" max="1" width="37.85546875" style="178" customWidth="1"/>
    <col min="2" max="2" width="43.140625" style="179" customWidth="1"/>
    <col min="3" max="3" width="14.5703125" style="236" customWidth="1"/>
    <col min="4" max="4" width="18" style="180" bestFit="1" customWidth="1"/>
    <col min="5" max="5" width="14" style="182" customWidth="1"/>
    <col min="6" max="6" width="39.5703125" style="10" customWidth="1"/>
    <col min="7" max="7" width="24.140625" style="10" customWidth="1"/>
    <col min="8" max="8" width="21.7109375" style="10" customWidth="1"/>
    <col min="9" max="256" width="9.140625" style="10"/>
    <col min="257" max="257" width="37.85546875" style="10" customWidth="1"/>
    <col min="258" max="258" width="40.7109375" style="10" customWidth="1"/>
    <col min="259" max="259" width="14.5703125" style="10" customWidth="1"/>
    <col min="260" max="260" width="18" style="10" bestFit="1" customWidth="1"/>
    <col min="261" max="261" width="14" style="10" customWidth="1"/>
    <col min="262" max="262" width="17.28515625" style="10" customWidth="1"/>
    <col min="263" max="263" width="24.140625" style="10" customWidth="1"/>
    <col min="264" max="264" width="21.7109375" style="10" customWidth="1"/>
    <col min="265" max="512" width="9.140625" style="10"/>
    <col min="513" max="513" width="37.85546875" style="10" customWidth="1"/>
    <col min="514" max="514" width="40.7109375" style="10" customWidth="1"/>
    <col min="515" max="515" width="14.5703125" style="10" customWidth="1"/>
    <col min="516" max="516" width="18" style="10" bestFit="1" customWidth="1"/>
    <col min="517" max="517" width="14" style="10" customWidth="1"/>
    <col min="518" max="518" width="17.28515625" style="10" customWidth="1"/>
    <col min="519" max="519" width="24.140625" style="10" customWidth="1"/>
    <col min="520" max="520" width="21.7109375" style="10" customWidth="1"/>
    <col min="521" max="768" width="9.140625" style="10"/>
    <col min="769" max="769" width="37.85546875" style="10" customWidth="1"/>
    <col min="770" max="770" width="40.7109375" style="10" customWidth="1"/>
    <col min="771" max="771" width="14.5703125" style="10" customWidth="1"/>
    <col min="772" max="772" width="18" style="10" bestFit="1" customWidth="1"/>
    <col min="773" max="773" width="14" style="10" customWidth="1"/>
    <col min="774" max="774" width="17.28515625" style="10" customWidth="1"/>
    <col min="775" max="775" width="24.140625" style="10" customWidth="1"/>
    <col min="776" max="776" width="21.7109375" style="10" customWidth="1"/>
    <col min="777" max="1024" width="9.140625" style="10"/>
    <col min="1025" max="1025" width="37.85546875" style="10" customWidth="1"/>
    <col min="1026" max="1026" width="40.7109375" style="10" customWidth="1"/>
    <col min="1027" max="1027" width="14.5703125" style="10" customWidth="1"/>
    <col min="1028" max="1028" width="18" style="10" bestFit="1" customWidth="1"/>
    <col min="1029" max="1029" width="14" style="10" customWidth="1"/>
    <col min="1030" max="1030" width="17.28515625" style="10" customWidth="1"/>
    <col min="1031" max="1031" width="24.140625" style="10" customWidth="1"/>
    <col min="1032" max="1032" width="21.7109375" style="10" customWidth="1"/>
    <col min="1033" max="1280" width="9.140625" style="10"/>
    <col min="1281" max="1281" width="37.85546875" style="10" customWidth="1"/>
    <col min="1282" max="1282" width="40.7109375" style="10" customWidth="1"/>
    <col min="1283" max="1283" width="14.5703125" style="10" customWidth="1"/>
    <col min="1284" max="1284" width="18" style="10" bestFit="1" customWidth="1"/>
    <col min="1285" max="1285" width="14" style="10" customWidth="1"/>
    <col min="1286" max="1286" width="17.28515625" style="10" customWidth="1"/>
    <col min="1287" max="1287" width="24.140625" style="10" customWidth="1"/>
    <col min="1288" max="1288" width="21.7109375" style="10" customWidth="1"/>
    <col min="1289" max="1536" width="9.140625" style="10"/>
    <col min="1537" max="1537" width="37.85546875" style="10" customWidth="1"/>
    <col min="1538" max="1538" width="40.7109375" style="10" customWidth="1"/>
    <col min="1539" max="1539" width="14.5703125" style="10" customWidth="1"/>
    <col min="1540" max="1540" width="18" style="10" bestFit="1" customWidth="1"/>
    <col min="1541" max="1541" width="14" style="10" customWidth="1"/>
    <col min="1542" max="1542" width="17.28515625" style="10" customWidth="1"/>
    <col min="1543" max="1543" width="24.140625" style="10" customWidth="1"/>
    <col min="1544" max="1544" width="21.7109375" style="10" customWidth="1"/>
    <col min="1545" max="1792" width="9.140625" style="10"/>
    <col min="1793" max="1793" width="37.85546875" style="10" customWidth="1"/>
    <col min="1794" max="1794" width="40.7109375" style="10" customWidth="1"/>
    <col min="1795" max="1795" width="14.5703125" style="10" customWidth="1"/>
    <col min="1796" max="1796" width="18" style="10" bestFit="1" customWidth="1"/>
    <col min="1797" max="1797" width="14" style="10" customWidth="1"/>
    <col min="1798" max="1798" width="17.28515625" style="10" customWidth="1"/>
    <col min="1799" max="1799" width="24.140625" style="10" customWidth="1"/>
    <col min="1800" max="1800" width="21.7109375" style="10" customWidth="1"/>
    <col min="1801" max="2048" width="9.140625" style="10"/>
    <col min="2049" max="2049" width="37.85546875" style="10" customWidth="1"/>
    <col min="2050" max="2050" width="40.7109375" style="10" customWidth="1"/>
    <col min="2051" max="2051" width="14.5703125" style="10" customWidth="1"/>
    <col min="2052" max="2052" width="18" style="10" bestFit="1" customWidth="1"/>
    <col min="2053" max="2053" width="14" style="10" customWidth="1"/>
    <col min="2054" max="2054" width="17.28515625" style="10" customWidth="1"/>
    <col min="2055" max="2055" width="24.140625" style="10" customWidth="1"/>
    <col min="2056" max="2056" width="21.7109375" style="10" customWidth="1"/>
    <col min="2057" max="2304" width="9.140625" style="10"/>
    <col min="2305" max="2305" width="37.85546875" style="10" customWidth="1"/>
    <col min="2306" max="2306" width="40.7109375" style="10" customWidth="1"/>
    <col min="2307" max="2307" width="14.5703125" style="10" customWidth="1"/>
    <col min="2308" max="2308" width="18" style="10" bestFit="1" customWidth="1"/>
    <col min="2309" max="2309" width="14" style="10" customWidth="1"/>
    <col min="2310" max="2310" width="17.28515625" style="10" customWidth="1"/>
    <col min="2311" max="2311" width="24.140625" style="10" customWidth="1"/>
    <col min="2312" max="2312" width="21.7109375" style="10" customWidth="1"/>
    <col min="2313" max="2560" width="9.140625" style="10"/>
    <col min="2561" max="2561" width="37.85546875" style="10" customWidth="1"/>
    <col min="2562" max="2562" width="40.7109375" style="10" customWidth="1"/>
    <col min="2563" max="2563" width="14.5703125" style="10" customWidth="1"/>
    <col min="2564" max="2564" width="18" style="10" bestFit="1" customWidth="1"/>
    <col min="2565" max="2565" width="14" style="10" customWidth="1"/>
    <col min="2566" max="2566" width="17.28515625" style="10" customWidth="1"/>
    <col min="2567" max="2567" width="24.140625" style="10" customWidth="1"/>
    <col min="2568" max="2568" width="21.7109375" style="10" customWidth="1"/>
    <col min="2569" max="2816" width="9.140625" style="10"/>
    <col min="2817" max="2817" width="37.85546875" style="10" customWidth="1"/>
    <col min="2818" max="2818" width="40.7109375" style="10" customWidth="1"/>
    <col min="2819" max="2819" width="14.5703125" style="10" customWidth="1"/>
    <col min="2820" max="2820" width="18" style="10" bestFit="1" customWidth="1"/>
    <col min="2821" max="2821" width="14" style="10" customWidth="1"/>
    <col min="2822" max="2822" width="17.28515625" style="10" customWidth="1"/>
    <col min="2823" max="2823" width="24.140625" style="10" customWidth="1"/>
    <col min="2824" max="2824" width="21.7109375" style="10" customWidth="1"/>
    <col min="2825" max="3072" width="9.140625" style="10"/>
    <col min="3073" max="3073" width="37.85546875" style="10" customWidth="1"/>
    <col min="3074" max="3074" width="40.7109375" style="10" customWidth="1"/>
    <col min="3075" max="3075" width="14.5703125" style="10" customWidth="1"/>
    <col min="3076" max="3076" width="18" style="10" bestFit="1" customWidth="1"/>
    <col min="3077" max="3077" width="14" style="10" customWidth="1"/>
    <col min="3078" max="3078" width="17.28515625" style="10" customWidth="1"/>
    <col min="3079" max="3079" width="24.140625" style="10" customWidth="1"/>
    <col min="3080" max="3080" width="21.7109375" style="10" customWidth="1"/>
    <col min="3081" max="3328" width="9.140625" style="10"/>
    <col min="3329" max="3329" width="37.85546875" style="10" customWidth="1"/>
    <col min="3330" max="3330" width="40.7109375" style="10" customWidth="1"/>
    <col min="3331" max="3331" width="14.5703125" style="10" customWidth="1"/>
    <col min="3332" max="3332" width="18" style="10" bestFit="1" customWidth="1"/>
    <col min="3333" max="3333" width="14" style="10" customWidth="1"/>
    <col min="3334" max="3334" width="17.28515625" style="10" customWidth="1"/>
    <col min="3335" max="3335" width="24.140625" style="10" customWidth="1"/>
    <col min="3336" max="3336" width="21.7109375" style="10" customWidth="1"/>
    <col min="3337" max="3584" width="9.140625" style="10"/>
    <col min="3585" max="3585" width="37.85546875" style="10" customWidth="1"/>
    <col min="3586" max="3586" width="40.7109375" style="10" customWidth="1"/>
    <col min="3587" max="3587" width="14.5703125" style="10" customWidth="1"/>
    <col min="3588" max="3588" width="18" style="10" bestFit="1" customWidth="1"/>
    <col min="3589" max="3589" width="14" style="10" customWidth="1"/>
    <col min="3590" max="3590" width="17.28515625" style="10" customWidth="1"/>
    <col min="3591" max="3591" width="24.140625" style="10" customWidth="1"/>
    <col min="3592" max="3592" width="21.7109375" style="10" customWidth="1"/>
    <col min="3593" max="3840" width="9.140625" style="10"/>
    <col min="3841" max="3841" width="37.85546875" style="10" customWidth="1"/>
    <col min="3842" max="3842" width="40.7109375" style="10" customWidth="1"/>
    <col min="3843" max="3843" width="14.5703125" style="10" customWidth="1"/>
    <col min="3844" max="3844" width="18" style="10" bestFit="1" customWidth="1"/>
    <col min="3845" max="3845" width="14" style="10" customWidth="1"/>
    <col min="3846" max="3846" width="17.28515625" style="10" customWidth="1"/>
    <col min="3847" max="3847" width="24.140625" style="10" customWidth="1"/>
    <col min="3848" max="3848" width="21.7109375" style="10" customWidth="1"/>
    <col min="3849" max="4096" width="9.140625" style="10"/>
    <col min="4097" max="4097" width="37.85546875" style="10" customWidth="1"/>
    <col min="4098" max="4098" width="40.7109375" style="10" customWidth="1"/>
    <col min="4099" max="4099" width="14.5703125" style="10" customWidth="1"/>
    <col min="4100" max="4100" width="18" style="10" bestFit="1" customWidth="1"/>
    <col min="4101" max="4101" width="14" style="10" customWidth="1"/>
    <col min="4102" max="4102" width="17.28515625" style="10" customWidth="1"/>
    <col min="4103" max="4103" width="24.140625" style="10" customWidth="1"/>
    <col min="4104" max="4104" width="21.7109375" style="10" customWidth="1"/>
    <col min="4105" max="4352" width="9.140625" style="10"/>
    <col min="4353" max="4353" width="37.85546875" style="10" customWidth="1"/>
    <col min="4354" max="4354" width="40.7109375" style="10" customWidth="1"/>
    <col min="4355" max="4355" width="14.5703125" style="10" customWidth="1"/>
    <col min="4356" max="4356" width="18" style="10" bestFit="1" customWidth="1"/>
    <col min="4357" max="4357" width="14" style="10" customWidth="1"/>
    <col min="4358" max="4358" width="17.28515625" style="10" customWidth="1"/>
    <col min="4359" max="4359" width="24.140625" style="10" customWidth="1"/>
    <col min="4360" max="4360" width="21.7109375" style="10" customWidth="1"/>
    <col min="4361" max="4608" width="9.140625" style="10"/>
    <col min="4609" max="4609" width="37.85546875" style="10" customWidth="1"/>
    <col min="4610" max="4610" width="40.7109375" style="10" customWidth="1"/>
    <col min="4611" max="4611" width="14.5703125" style="10" customWidth="1"/>
    <col min="4612" max="4612" width="18" style="10" bestFit="1" customWidth="1"/>
    <col min="4613" max="4613" width="14" style="10" customWidth="1"/>
    <col min="4614" max="4614" width="17.28515625" style="10" customWidth="1"/>
    <col min="4615" max="4615" width="24.140625" style="10" customWidth="1"/>
    <col min="4616" max="4616" width="21.7109375" style="10" customWidth="1"/>
    <col min="4617" max="4864" width="9.140625" style="10"/>
    <col min="4865" max="4865" width="37.85546875" style="10" customWidth="1"/>
    <col min="4866" max="4866" width="40.7109375" style="10" customWidth="1"/>
    <col min="4867" max="4867" width="14.5703125" style="10" customWidth="1"/>
    <col min="4868" max="4868" width="18" style="10" bestFit="1" customWidth="1"/>
    <col min="4869" max="4869" width="14" style="10" customWidth="1"/>
    <col min="4870" max="4870" width="17.28515625" style="10" customWidth="1"/>
    <col min="4871" max="4871" width="24.140625" style="10" customWidth="1"/>
    <col min="4872" max="4872" width="21.7109375" style="10" customWidth="1"/>
    <col min="4873" max="5120" width="9.140625" style="10"/>
    <col min="5121" max="5121" width="37.85546875" style="10" customWidth="1"/>
    <col min="5122" max="5122" width="40.7109375" style="10" customWidth="1"/>
    <col min="5123" max="5123" width="14.5703125" style="10" customWidth="1"/>
    <col min="5124" max="5124" width="18" style="10" bestFit="1" customWidth="1"/>
    <col min="5125" max="5125" width="14" style="10" customWidth="1"/>
    <col min="5126" max="5126" width="17.28515625" style="10" customWidth="1"/>
    <col min="5127" max="5127" width="24.140625" style="10" customWidth="1"/>
    <col min="5128" max="5128" width="21.7109375" style="10" customWidth="1"/>
    <col min="5129" max="5376" width="9.140625" style="10"/>
    <col min="5377" max="5377" width="37.85546875" style="10" customWidth="1"/>
    <col min="5378" max="5378" width="40.7109375" style="10" customWidth="1"/>
    <col min="5379" max="5379" width="14.5703125" style="10" customWidth="1"/>
    <col min="5380" max="5380" width="18" style="10" bestFit="1" customWidth="1"/>
    <col min="5381" max="5381" width="14" style="10" customWidth="1"/>
    <col min="5382" max="5382" width="17.28515625" style="10" customWidth="1"/>
    <col min="5383" max="5383" width="24.140625" style="10" customWidth="1"/>
    <col min="5384" max="5384" width="21.7109375" style="10" customWidth="1"/>
    <col min="5385" max="5632" width="9.140625" style="10"/>
    <col min="5633" max="5633" width="37.85546875" style="10" customWidth="1"/>
    <col min="5634" max="5634" width="40.7109375" style="10" customWidth="1"/>
    <col min="5635" max="5635" width="14.5703125" style="10" customWidth="1"/>
    <col min="5636" max="5636" width="18" style="10" bestFit="1" customWidth="1"/>
    <col min="5637" max="5637" width="14" style="10" customWidth="1"/>
    <col min="5638" max="5638" width="17.28515625" style="10" customWidth="1"/>
    <col min="5639" max="5639" width="24.140625" style="10" customWidth="1"/>
    <col min="5640" max="5640" width="21.7109375" style="10" customWidth="1"/>
    <col min="5641" max="5888" width="9.140625" style="10"/>
    <col min="5889" max="5889" width="37.85546875" style="10" customWidth="1"/>
    <col min="5890" max="5890" width="40.7109375" style="10" customWidth="1"/>
    <col min="5891" max="5891" width="14.5703125" style="10" customWidth="1"/>
    <col min="5892" max="5892" width="18" style="10" bestFit="1" customWidth="1"/>
    <col min="5893" max="5893" width="14" style="10" customWidth="1"/>
    <col min="5894" max="5894" width="17.28515625" style="10" customWidth="1"/>
    <col min="5895" max="5895" width="24.140625" style="10" customWidth="1"/>
    <col min="5896" max="5896" width="21.7109375" style="10" customWidth="1"/>
    <col min="5897" max="6144" width="9.140625" style="10"/>
    <col min="6145" max="6145" width="37.85546875" style="10" customWidth="1"/>
    <col min="6146" max="6146" width="40.7109375" style="10" customWidth="1"/>
    <col min="6147" max="6147" width="14.5703125" style="10" customWidth="1"/>
    <col min="6148" max="6148" width="18" style="10" bestFit="1" customWidth="1"/>
    <col min="6149" max="6149" width="14" style="10" customWidth="1"/>
    <col min="6150" max="6150" width="17.28515625" style="10" customWidth="1"/>
    <col min="6151" max="6151" width="24.140625" style="10" customWidth="1"/>
    <col min="6152" max="6152" width="21.7109375" style="10" customWidth="1"/>
    <col min="6153" max="6400" width="9.140625" style="10"/>
    <col min="6401" max="6401" width="37.85546875" style="10" customWidth="1"/>
    <col min="6402" max="6402" width="40.7109375" style="10" customWidth="1"/>
    <col min="6403" max="6403" width="14.5703125" style="10" customWidth="1"/>
    <col min="6404" max="6404" width="18" style="10" bestFit="1" customWidth="1"/>
    <col min="6405" max="6405" width="14" style="10" customWidth="1"/>
    <col min="6406" max="6406" width="17.28515625" style="10" customWidth="1"/>
    <col min="6407" max="6407" width="24.140625" style="10" customWidth="1"/>
    <col min="6408" max="6408" width="21.7109375" style="10" customWidth="1"/>
    <col min="6409" max="6656" width="9.140625" style="10"/>
    <col min="6657" max="6657" width="37.85546875" style="10" customWidth="1"/>
    <col min="6658" max="6658" width="40.7109375" style="10" customWidth="1"/>
    <col min="6659" max="6659" width="14.5703125" style="10" customWidth="1"/>
    <col min="6660" max="6660" width="18" style="10" bestFit="1" customWidth="1"/>
    <col min="6661" max="6661" width="14" style="10" customWidth="1"/>
    <col min="6662" max="6662" width="17.28515625" style="10" customWidth="1"/>
    <col min="6663" max="6663" width="24.140625" style="10" customWidth="1"/>
    <col min="6664" max="6664" width="21.7109375" style="10" customWidth="1"/>
    <col min="6665" max="6912" width="9.140625" style="10"/>
    <col min="6913" max="6913" width="37.85546875" style="10" customWidth="1"/>
    <col min="6914" max="6914" width="40.7109375" style="10" customWidth="1"/>
    <col min="6915" max="6915" width="14.5703125" style="10" customWidth="1"/>
    <col min="6916" max="6916" width="18" style="10" bestFit="1" customWidth="1"/>
    <col min="6917" max="6917" width="14" style="10" customWidth="1"/>
    <col min="6918" max="6918" width="17.28515625" style="10" customWidth="1"/>
    <col min="6919" max="6919" width="24.140625" style="10" customWidth="1"/>
    <col min="6920" max="6920" width="21.7109375" style="10" customWidth="1"/>
    <col min="6921" max="7168" width="9.140625" style="10"/>
    <col min="7169" max="7169" width="37.85546875" style="10" customWidth="1"/>
    <col min="7170" max="7170" width="40.7109375" style="10" customWidth="1"/>
    <col min="7171" max="7171" width="14.5703125" style="10" customWidth="1"/>
    <col min="7172" max="7172" width="18" style="10" bestFit="1" customWidth="1"/>
    <col min="7173" max="7173" width="14" style="10" customWidth="1"/>
    <col min="7174" max="7174" width="17.28515625" style="10" customWidth="1"/>
    <col min="7175" max="7175" width="24.140625" style="10" customWidth="1"/>
    <col min="7176" max="7176" width="21.7109375" style="10" customWidth="1"/>
    <col min="7177" max="7424" width="9.140625" style="10"/>
    <col min="7425" max="7425" width="37.85546875" style="10" customWidth="1"/>
    <col min="7426" max="7426" width="40.7109375" style="10" customWidth="1"/>
    <col min="7427" max="7427" width="14.5703125" style="10" customWidth="1"/>
    <col min="7428" max="7428" width="18" style="10" bestFit="1" customWidth="1"/>
    <col min="7429" max="7429" width="14" style="10" customWidth="1"/>
    <col min="7430" max="7430" width="17.28515625" style="10" customWidth="1"/>
    <col min="7431" max="7431" width="24.140625" style="10" customWidth="1"/>
    <col min="7432" max="7432" width="21.7109375" style="10" customWidth="1"/>
    <col min="7433" max="7680" width="9.140625" style="10"/>
    <col min="7681" max="7681" width="37.85546875" style="10" customWidth="1"/>
    <col min="7682" max="7682" width="40.7109375" style="10" customWidth="1"/>
    <col min="7683" max="7683" width="14.5703125" style="10" customWidth="1"/>
    <col min="7684" max="7684" width="18" style="10" bestFit="1" customWidth="1"/>
    <col min="7685" max="7685" width="14" style="10" customWidth="1"/>
    <col min="7686" max="7686" width="17.28515625" style="10" customWidth="1"/>
    <col min="7687" max="7687" width="24.140625" style="10" customWidth="1"/>
    <col min="7688" max="7688" width="21.7109375" style="10" customWidth="1"/>
    <col min="7689" max="7936" width="9.140625" style="10"/>
    <col min="7937" max="7937" width="37.85546875" style="10" customWidth="1"/>
    <col min="7938" max="7938" width="40.7109375" style="10" customWidth="1"/>
    <col min="7939" max="7939" width="14.5703125" style="10" customWidth="1"/>
    <col min="7940" max="7940" width="18" style="10" bestFit="1" customWidth="1"/>
    <col min="7941" max="7941" width="14" style="10" customWidth="1"/>
    <col min="7942" max="7942" width="17.28515625" style="10" customWidth="1"/>
    <col min="7943" max="7943" width="24.140625" style="10" customWidth="1"/>
    <col min="7944" max="7944" width="21.7109375" style="10" customWidth="1"/>
    <col min="7945" max="8192" width="9.140625" style="10"/>
    <col min="8193" max="8193" width="37.85546875" style="10" customWidth="1"/>
    <col min="8194" max="8194" width="40.7109375" style="10" customWidth="1"/>
    <col min="8195" max="8195" width="14.5703125" style="10" customWidth="1"/>
    <col min="8196" max="8196" width="18" style="10" bestFit="1" customWidth="1"/>
    <col min="8197" max="8197" width="14" style="10" customWidth="1"/>
    <col min="8198" max="8198" width="17.28515625" style="10" customWidth="1"/>
    <col min="8199" max="8199" width="24.140625" style="10" customWidth="1"/>
    <col min="8200" max="8200" width="21.7109375" style="10" customWidth="1"/>
    <col min="8201" max="8448" width="9.140625" style="10"/>
    <col min="8449" max="8449" width="37.85546875" style="10" customWidth="1"/>
    <col min="8450" max="8450" width="40.7109375" style="10" customWidth="1"/>
    <col min="8451" max="8451" width="14.5703125" style="10" customWidth="1"/>
    <col min="8452" max="8452" width="18" style="10" bestFit="1" customWidth="1"/>
    <col min="8453" max="8453" width="14" style="10" customWidth="1"/>
    <col min="8454" max="8454" width="17.28515625" style="10" customWidth="1"/>
    <col min="8455" max="8455" width="24.140625" style="10" customWidth="1"/>
    <col min="8456" max="8456" width="21.7109375" style="10" customWidth="1"/>
    <col min="8457" max="8704" width="9.140625" style="10"/>
    <col min="8705" max="8705" width="37.85546875" style="10" customWidth="1"/>
    <col min="8706" max="8706" width="40.7109375" style="10" customWidth="1"/>
    <col min="8707" max="8707" width="14.5703125" style="10" customWidth="1"/>
    <col min="8708" max="8708" width="18" style="10" bestFit="1" customWidth="1"/>
    <col min="8709" max="8709" width="14" style="10" customWidth="1"/>
    <col min="8710" max="8710" width="17.28515625" style="10" customWidth="1"/>
    <col min="8711" max="8711" width="24.140625" style="10" customWidth="1"/>
    <col min="8712" max="8712" width="21.7109375" style="10" customWidth="1"/>
    <col min="8713" max="8960" width="9.140625" style="10"/>
    <col min="8961" max="8961" width="37.85546875" style="10" customWidth="1"/>
    <col min="8962" max="8962" width="40.7109375" style="10" customWidth="1"/>
    <col min="8963" max="8963" width="14.5703125" style="10" customWidth="1"/>
    <col min="8964" max="8964" width="18" style="10" bestFit="1" customWidth="1"/>
    <col min="8965" max="8965" width="14" style="10" customWidth="1"/>
    <col min="8966" max="8966" width="17.28515625" style="10" customWidth="1"/>
    <col min="8967" max="8967" width="24.140625" style="10" customWidth="1"/>
    <col min="8968" max="8968" width="21.7109375" style="10" customWidth="1"/>
    <col min="8969" max="9216" width="9.140625" style="10"/>
    <col min="9217" max="9217" width="37.85546875" style="10" customWidth="1"/>
    <col min="9218" max="9218" width="40.7109375" style="10" customWidth="1"/>
    <col min="9219" max="9219" width="14.5703125" style="10" customWidth="1"/>
    <col min="9220" max="9220" width="18" style="10" bestFit="1" customWidth="1"/>
    <col min="9221" max="9221" width="14" style="10" customWidth="1"/>
    <col min="9222" max="9222" width="17.28515625" style="10" customWidth="1"/>
    <col min="9223" max="9223" width="24.140625" style="10" customWidth="1"/>
    <col min="9224" max="9224" width="21.7109375" style="10" customWidth="1"/>
    <col min="9225" max="9472" width="9.140625" style="10"/>
    <col min="9473" max="9473" width="37.85546875" style="10" customWidth="1"/>
    <col min="9474" max="9474" width="40.7109375" style="10" customWidth="1"/>
    <col min="9475" max="9475" width="14.5703125" style="10" customWidth="1"/>
    <col min="9476" max="9476" width="18" style="10" bestFit="1" customWidth="1"/>
    <col min="9477" max="9477" width="14" style="10" customWidth="1"/>
    <col min="9478" max="9478" width="17.28515625" style="10" customWidth="1"/>
    <col min="9479" max="9479" width="24.140625" style="10" customWidth="1"/>
    <col min="9480" max="9480" width="21.7109375" style="10" customWidth="1"/>
    <col min="9481" max="9728" width="9.140625" style="10"/>
    <col min="9729" max="9729" width="37.85546875" style="10" customWidth="1"/>
    <col min="9730" max="9730" width="40.7109375" style="10" customWidth="1"/>
    <col min="9731" max="9731" width="14.5703125" style="10" customWidth="1"/>
    <col min="9732" max="9732" width="18" style="10" bestFit="1" customWidth="1"/>
    <col min="9733" max="9733" width="14" style="10" customWidth="1"/>
    <col min="9734" max="9734" width="17.28515625" style="10" customWidth="1"/>
    <col min="9735" max="9735" width="24.140625" style="10" customWidth="1"/>
    <col min="9736" max="9736" width="21.7109375" style="10" customWidth="1"/>
    <col min="9737" max="9984" width="9.140625" style="10"/>
    <col min="9985" max="9985" width="37.85546875" style="10" customWidth="1"/>
    <col min="9986" max="9986" width="40.7109375" style="10" customWidth="1"/>
    <col min="9987" max="9987" width="14.5703125" style="10" customWidth="1"/>
    <col min="9988" max="9988" width="18" style="10" bestFit="1" customWidth="1"/>
    <col min="9989" max="9989" width="14" style="10" customWidth="1"/>
    <col min="9990" max="9990" width="17.28515625" style="10" customWidth="1"/>
    <col min="9991" max="9991" width="24.140625" style="10" customWidth="1"/>
    <col min="9992" max="9992" width="21.7109375" style="10" customWidth="1"/>
    <col min="9993" max="10240" width="9.140625" style="10"/>
    <col min="10241" max="10241" width="37.85546875" style="10" customWidth="1"/>
    <col min="10242" max="10242" width="40.7109375" style="10" customWidth="1"/>
    <col min="10243" max="10243" width="14.5703125" style="10" customWidth="1"/>
    <col min="10244" max="10244" width="18" style="10" bestFit="1" customWidth="1"/>
    <col min="10245" max="10245" width="14" style="10" customWidth="1"/>
    <col min="10246" max="10246" width="17.28515625" style="10" customWidth="1"/>
    <col min="10247" max="10247" width="24.140625" style="10" customWidth="1"/>
    <col min="10248" max="10248" width="21.7109375" style="10" customWidth="1"/>
    <col min="10249" max="10496" width="9.140625" style="10"/>
    <col min="10497" max="10497" width="37.85546875" style="10" customWidth="1"/>
    <col min="10498" max="10498" width="40.7109375" style="10" customWidth="1"/>
    <col min="10499" max="10499" width="14.5703125" style="10" customWidth="1"/>
    <col min="10500" max="10500" width="18" style="10" bestFit="1" customWidth="1"/>
    <col min="10501" max="10501" width="14" style="10" customWidth="1"/>
    <col min="10502" max="10502" width="17.28515625" style="10" customWidth="1"/>
    <col min="10503" max="10503" width="24.140625" style="10" customWidth="1"/>
    <col min="10504" max="10504" width="21.7109375" style="10" customWidth="1"/>
    <col min="10505" max="10752" width="9.140625" style="10"/>
    <col min="10753" max="10753" width="37.85546875" style="10" customWidth="1"/>
    <col min="10754" max="10754" width="40.7109375" style="10" customWidth="1"/>
    <col min="10755" max="10755" width="14.5703125" style="10" customWidth="1"/>
    <col min="10756" max="10756" width="18" style="10" bestFit="1" customWidth="1"/>
    <col min="10757" max="10757" width="14" style="10" customWidth="1"/>
    <col min="10758" max="10758" width="17.28515625" style="10" customWidth="1"/>
    <col min="10759" max="10759" width="24.140625" style="10" customWidth="1"/>
    <col min="10760" max="10760" width="21.7109375" style="10" customWidth="1"/>
    <col min="10761" max="11008" width="9.140625" style="10"/>
    <col min="11009" max="11009" width="37.85546875" style="10" customWidth="1"/>
    <col min="11010" max="11010" width="40.7109375" style="10" customWidth="1"/>
    <col min="11011" max="11011" width="14.5703125" style="10" customWidth="1"/>
    <col min="11012" max="11012" width="18" style="10" bestFit="1" customWidth="1"/>
    <col min="11013" max="11013" width="14" style="10" customWidth="1"/>
    <col min="11014" max="11014" width="17.28515625" style="10" customWidth="1"/>
    <col min="11015" max="11015" width="24.140625" style="10" customWidth="1"/>
    <col min="11016" max="11016" width="21.7109375" style="10" customWidth="1"/>
    <col min="11017" max="11264" width="9.140625" style="10"/>
    <col min="11265" max="11265" width="37.85546875" style="10" customWidth="1"/>
    <col min="11266" max="11266" width="40.7109375" style="10" customWidth="1"/>
    <col min="11267" max="11267" width="14.5703125" style="10" customWidth="1"/>
    <col min="11268" max="11268" width="18" style="10" bestFit="1" customWidth="1"/>
    <col min="11269" max="11269" width="14" style="10" customWidth="1"/>
    <col min="11270" max="11270" width="17.28515625" style="10" customWidth="1"/>
    <col min="11271" max="11271" width="24.140625" style="10" customWidth="1"/>
    <col min="11272" max="11272" width="21.7109375" style="10" customWidth="1"/>
    <col min="11273" max="11520" width="9.140625" style="10"/>
    <col min="11521" max="11521" width="37.85546875" style="10" customWidth="1"/>
    <col min="11522" max="11522" width="40.7109375" style="10" customWidth="1"/>
    <col min="11523" max="11523" width="14.5703125" style="10" customWidth="1"/>
    <col min="11524" max="11524" width="18" style="10" bestFit="1" customWidth="1"/>
    <col min="11525" max="11525" width="14" style="10" customWidth="1"/>
    <col min="11526" max="11526" width="17.28515625" style="10" customWidth="1"/>
    <col min="11527" max="11527" width="24.140625" style="10" customWidth="1"/>
    <col min="11528" max="11528" width="21.7109375" style="10" customWidth="1"/>
    <col min="11529" max="11776" width="9.140625" style="10"/>
    <col min="11777" max="11777" width="37.85546875" style="10" customWidth="1"/>
    <col min="11778" max="11778" width="40.7109375" style="10" customWidth="1"/>
    <col min="11779" max="11779" width="14.5703125" style="10" customWidth="1"/>
    <col min="11780" max="11780" width="18" style="10" bestFit="1" customWidth="1"/>
    <col min="11781" max="11781" width="14" style="10" customWidth="1"/>
    <col min="11782" max="11782" width="17.28515625" style="10" customWidth="1"/>
    <col min="11783" max="11783" width="24.140625" style="10" customWidth="1"/>
    <col min="11784" max="11784" width="21.7109375" style="10" customWidth="1"/>
    <col min="11785" max="12032" width="9.140625" style="10"/>
    <col min="12033" max="12033" width="37.85546875" style="10" customWidth="1"/>
    <col min="12034" max="12034" width="40.7109375" style="10" customWidth="1"/>
    <col min="12035" max="12035" width="14.5703125" style="10" customWidth="1"/>
    <col min="12036" max="12036" width="18" style="10" bestFit="1" customWidth="1"/>
    <col min="12037" max="12037" width="14" style="10" customWidth="1"/>
    <col min="12038" max="12038" width="17.28515625" style="10" customWidth="1"/>
    <col min="12039" max="12039" width="24.140625" style="10" customWidth="1"/>
    <col min="12040" max="12040" width="21.7109375" style="10" customWidth="1"/>
    <col min="12041" max="12288" width="9.140625" style="10"/>
    <col min="12289" max="12289" width="37.85546875" style="10" customWidth="1"/>
    <col min="12290" max="12290" width="40.7109375" style="10" customWidth="1"/>
    <col min="12291" max="12291" width="14.5703125" style="10" customWidth="1"/>
    <col min="12292" max="12292" width="18" style="10" bestFit="1" customWidth="1"/>
    <col min="12293" max="12293" width="14" style="10" customWidth="1"/>
    <col min="12294" max="12294" width="17.28515625" style="10" customWidth="1"/>
    <col min="12295" max="12295" width="24.140625" style="10" customWidth="1"/>
    <col min="12296" max="12296" width="21.7109375" style="10" customWidth="1"/>
    <col min="12297" max="12544" width="9.140625" style="10"/>
    <col min="12545" max="12545" width="37.85546875" style="10" customWidth="1"/>
    <col min="12546" max="12546" width="40.7109375" style="10" customWidth="1"/>
    <col min="12547" max="12547" width="14.5703125" style="10" customWidth="1"/>
    <col min="12548" max="12548" width="18" style="10" bestFit="1" customWidth="1"/>
    <col min="12549" max="12549" width="14" style="10" customWidth="1"/>
    <col min="12550" max="12550" width="17.28515625" style="10" customWidth="1"/>
    <col min="12551" max="12551" width="24.140625" style="10" customWidth="1"/>
    <col min="12552" max="12552" width="21.7109375" style="10" customWidth="1"/>
    <col min="12553" max="12800" width="9.140625" style="10"/>
    <col min="12801" max="12801" width="37.85546875" style="10" customWidth="1"/>
    <col min="12802" max="12802" width="40.7109375" style="10" customWidth="1"/>
    <col min="12803" max="12803" width="14.5703125" style="10" customWidth="1"/>
    <col min="12804" max="12804" width="18" style="10" bestFit="1" customWidth="1"/>
    <col min="12805" max="12805" width="14" style="10" customWidth="1"/>
    <col min="12806" max="12806" width="17.28515625" style="10" customWidth="1"/>
    <col min="12807" max="12807" width="24.140625" style="10" customWidth="1"/>
    <col min="12808" max="12808" width="21.7109375" style="10" customWidth="1"/>
    <col min="12809" max="13056" width="9.140625" style="10"/>
    <col min="13057" max="13057" width="37.85546875" style="10" customWidth="1"/>
    <col min="13058" max="13058" width="40.7109375" style="10" customWidth="1"/>
    <col min="13059" max="13059" width="14.5703125" style="10" customWidth="1"/>
    <col min="13060" max="13060" width="18" style="10" bestFit="1" customWidth="1"/>
    <col min="13061" max="13061" width="14" style="10" customWidth="1"/>
    <col min="13062" max="13062" width="17.28515625" style="10" customWidth="1"/>
    <col min="13063" max="13063" width="24.140625" style="10" customWidth="1"/>
    <col min="13064" max="13064" width="21.7109375" style="10" customWidth="1"/>
    <col min="13065" max="13312" width="9.140625" style="10"/>
    <col min="13313" max="13313" width="37.85546875" style="10" customWidth="1"/>
    <col min="13314" max="13314" width="40.7109375" style="10" customWidth="1"/>
    <col min="13315" max="13315" width="14.5703125" style="10" customWidth="1"/>
    <col min="13316" max="13316" width="18" style="10" bestFit="1" customWidth="1"/>
    <col min="13317" max="13317" width="14" style="10" customWidth="1"/>
    <col min="13318" max="13318" width="17.28515625" style="10" customWidth="1"/>
    <col min="13319" max="13319" width="24.140625" style="10" customWidth="1"/>
    <col min="13320" max="13320" width="21.7109375" style="10" customWidth="1"/>
    <col min="13321" max="13568" width="9.140625" style="10"/>
    <col min="13569" max="13569" width="37.85546875" style="10" customWidth="1"/>
    <col min="13570" max="13570" width="40.7109375" style="10" customWidth="1"/>
    <col min="13571" max="13571" width="14.5703125" style="10" customWidth="1"/>
    <col min="13572" max="13572" width="18" style="10" bestFit="1" customWidth="1"/>
    <col min="13573" max="13573" width="14" style="10" customWidth="1"/>
    <col min="13574" max="13574" width="17.28515625" style="10" customWidth="1"/>
    <col min="13575" max="13575" width="24.140625" style="10" customWidth="1"/>
    <col min="13576" max="13576" width="21.7109375" style="10" customWidth="1"/>
    <col min="13577" max="13824" width="9.140625" style="10"/>
    <col min="13825" max="13825" width="37.85546875" style="10" customWidth="1"/>
    <col min="13826" max="13826" width="40.7109375" style="10" customWidth="1"/>
    <col min="13827" max="13827" width="14.5703125" style="10" customWidth="1"/>
    <col min="13828" max="13828" width="18" style="10" bestFit="1" customWidth="1"/>
    <col min="13829" max="13829" width="14" style="10" customWidth="1"/>
    <col min="13830" max="13830" width="17.28515625" style="10" customWidth="1"/>
    <col min="13831" max="13831" width="24.140625" style="10" customWidth="1"/>
    <col min="13832" max="13832" width="21.7109375" style="10" customWidth="1"/>
    <col min="13833" max="14080" width="9.140625" style="10"/>
    <col min="14081" max="14081" width="37.85546875" style="10" customWidth="1"/>
    <col min="14082" max="14082" width="40.7109375" style="10" customWidth="1"/>
    <col min="14083" max="14083" width="14.5703125" style="10" customWidth="1"/>
    <col min="14084" max="14084" width="18" style="10" bestFit="1" customWidth="1"/>
    <col min="14085" max="14085" width="14" style="10" customWidth="1"/>
    <col min="14086" max="14086" width="17.28515625" style="10" customWidth="1"/>
    <col min="14087" max="14087" width="24.140625" style="10" customWidth="1"/>
    <col min="14088" max="14088" width="21.7109375" style="10" customWidth="1"/>
    <col min="14089" max="14336" width="9.140625" style="10"/>
    <col min="14337" max="14337" width="37.85546875" style="10" customWidth="1"/>
    <col min="14338" max="14338" width="40.7109375" style="10" customWidth="1"/>
    <col min="14339" max="14339" width="14.5703125" style="10" customWidth="1"/>
    <col min="14340" max="14340" width="18" style="10" bestFit="1" customWidth="1"/>
    <col min="14341" max="14341" width="14" style="10" customWidth="1"/>
    <col min="14342" max="14342" width="17.28515625" style="10" customWidth="1"/>
    <col min="14343" max="14343" width="24.140625" style="10" customWidth="1"/>
    <col min="14344" max="14344" width="21.7109375" style="10" customWidth="1"/>
    <col min="14345" max="14592" width="9.140625" style="10"/>
    <col min="14593" max="14593" width="37.85546875" style="10" customWidth="1"/>
    <col min="14594" max="14594" width="40.7109375" style="10" customWidth="1"/>
    <col min="14595" max="14595" width="14.5703125" style="10" customWidth="1"/>
    <col min="14596" max="14596" width="18" style="10" bestFit="1" customWidth="1"/>
    <col min="14597" max="14597" width="14" style="10" customWidth="1"/>
    <col min="14598" max="14598" width="17.28515625" style="10" customWidth="1"/>
    <col min="14599" max="14599" width="24.140625" style="10" customWidth="1"/>
    <col min="14600" max="14600" width="21.7109375" style="10" customWidth="1"/>
    <col min="14601" max="14848" width="9.140625" style="10"/>
    <col min="14849" max="14849" width="37.85546875" style="10" customWidth="1"/>
    <col min="14850" max="14850" width="40.7109375" style="10" customWidth="1"/>
    <col min="14851" max="14851" width="14.5703125" style="10" customWidth="1"/>
    <col min="14852" max="14852" width="18" style="10" bestFit="1" customWidth="1"/>
    <col min="14853" max="14853" width="14" style="10" customWidth="1"/>
    <col min="14854" max="14854" width="17.28515625" style="10" customWidth="1"/>
    <col min="14855" max="14855" width="24.140625" style="10" customWidth="1"/>
    <col min="14856" max="14856" width="21.7109375" style="10" customWidth="1"/>
    <col min="14857" max="15104" width="9.140625" style="10"/>
    <col min="15105" max="15105" width="37.85546875" style="10" customWidth="1"/>
    <col min="15106" max="15106" width="40.7109375" style="10" customWidth="1"/>
    <col min="15107" max="15107" width="14.5703125" style="10" customWidth="1"/>
    <col min="15108" max="15108" width="18" style="10" bestFit="1" customWidth="1"/>
    <col min="15109" max="15109" width="14" style="10" customWidth="1"/>
    <col min="15110" max="15110" width="17.28515625" style="10" customWidth="1"/>
    <col min="15111" max="15111" width="24.140625" style="10" customWidth="1"/>
    <col min="15112" max="15112" width="21.7109375" style="10" customWidth="1"/>
    <col min="15113" max="15360" width="9.140625" style="10"/>
    <col min="15361" max="15361" width="37.85546875" style="10" customWidth="1"/>
    <col min="15362" max="15362" width="40.7109375" style="10" customWidth="1"/>
    <col min="15363" max="15363" width="14.5703125" style="10" customWidth="1"/>
    <col min="15364" max="15364" width="18" style="10" bestFit="1" customWidth="1"/>
    <col min="15365" max="15365" width="14" style="10" customWidth="1"/>
    <col min="15366" max="15366" width="17.28515625" style="10" customWidth="1"/>
    <col min="15367" max="15367" width="24.140625" style="10" customWidth="1"/>
    <col min="15368" max="15368" width="21.7109375" style="10" customWidth="1"/>
    <col min="15369" max="15616" width="9.140625" style="10"/>
    <col min="15617" max="15617" width="37.85546875" style="10" customWidth="1"/>
    <col min="15618" max="15618" width="40.7109375" style="10" customWidth="1"/>
    <col min="15619" max="15619" width="14.5703125" style="10" customWidth="1"/>
    <col min="15620" max="15620" width="18" style="10" bestFit="1" customWidth="1"/>
    <col min="15621" max="15621" width="14" style="10" customWidth="1"/>
    <col min="15622" max="15622" width="17.28515625" style="10" customWidth="1"/>
    <col min="15623" max="15623" width="24.140625" style="10" customWidth="1"/>
    <col min="15624" max="15624" width="21.7109375" style="10" customWidth="1"/>
    <col min="15625" max="15872" width="9.140625" style="10"/>
    <col min="15873" max="15873" width="37.85546875" style="10" customWidth="1"/>
    <col min="15874" max="15874" width="40.7109375" style="10" customWidth="1"/>
    <col min="15875" max="15875" width="14.5703125" style="10" customWidth="1"/>
    <col min="15876" max="15876" width="18" style="10" bestFit="1" customWidth="1"/>
    <col min="15877" max="15877" width="14" style="10" customWidth="1"/>
    <col min="15878" max="15878" width="17.28515625" style="10" customWidth="1"/>
    <col min="15879" max="15879" width="24.140625" style="10" customWidth="1"/>
    <col min="15880" max="15880" width="21.7109375" style="10" customWidth="1"/>
    <col min="15881" max="16128" width="9.140625" style="10"/>
    <col min="16129" max="16129" width="37.85546875" style="10" customWidth="1"/>
    <col min="16130" max="16130" width="40.7109375" style="10" customWidth="1"/>
    <col min="16131" max="16131" width="14.5703125" style="10" customWidth="1"/>
    <col min="16132" max="16132" width="18" style="10" bestFit="1" customWidth="1"/>
    <col min="16133" max="16133" width="14" style="10" customWidth="1"/>
    <col min="16134" max="16134" width="17.28515625" style="10" customWidth="1"/>
    <col min="16135" max="16135" width="24.140625" style="10" customWidth="1"/>
    <col min="16136" max="16136" width="21.7109375" style="10" customWidth="1"/>
    <col min="16137" max="16384" width="9.140625" style="10"/>
  </cols>
  <sheetData>
    <row r="1" spans="1:8" ht="15.75" x14ac:dyDescent="0.25">
      <c r="A1" s="244"/>
      <c r="B1" s="245"/>
      <c r="C1" s="246"/>
      <c r="D1" s="243"/>
      <c r="E1" s="243" t="s">
        <v>1111</v>
      </c>
    </row>
    <row r="2" spans="1:8" ht="15.75" x14ac:dyDescent="0.25">
      <c r="A2" s="244"/>
      <c r="B2" s="245"/>
      <c r="C2" s="246"/>
      <c r="D2" s="243"/>
      <c r="E2" s="243"/>
    </row>
    <row r="3" spans="1:8" ht="15.75" x14ac:dyDescent="0.25">
      <c r="A3" s="652" t="s">
        <v>1035</v>
      </c>
      <c r="B3" s="652"/>
      <c r="C3" s="652"/>
      <c r="D3" s="652"/>
      <c r="E3" s="652"/>
    </row>
    <row r="4" spans="1:8" ht="15.75" x14ac:dyDescent="0.25">
      <c r="A4" s="244"/>
      <c r="B4" s="245"/>
      <c r="C4" s="246"/>
      <c r="D4" s="243"/>
      <c r="E4" s="243"/>
    </row>
    <row r="5" spans="1:8" s="9" customFormat="1" ht="15.75" x14ac:dyDescent="0.25">
      <c r="A5" s="244"/>
      <c r="B5" s="245"/>
      <c r="C5" s="246"/>
      <c r="D5" s="243"/>
      <c r="E5" s="243" t="s">
        <v>396</v>
      </c>
    </row>
    <row r="6" spans="1:8" s="9" customFormat="1" ht="16.5" thickBot="1" x14ac:dyDescent="0.3">
      <c r="A6" s="245"/>
      <c r="B6" s="247"/>
      <c r="C6" s="248"/>
      <c r="D6" s="249"/>
      <c r="E6" s="250">
        <v>1</v>
      </c>
    </row>
    <row r="7" spans="1:8" s="9" customFormat="1" ht="12.75" customHeight="1" x14ac:dyDescent="0.2">
      <c r="A7" s="653" t="s">
        <v>397</v>
      </c>
      <c r="B7" s="655" t="s">
        <v>398</v>
      </c>
      <c r="C7" s="657" t="s">
        <v>399</v>
      </c>
      <c r="D7" s="659" t="s">
        <v>760</v>
      </c>
      <c r="E7" s="659" t="s">
        <v>1036</v>
      </c>
      <c r="G7" s="651"/>
    </row>
    <row r="8" spans="1:8" s="9" customFormat="1" ht="16.5" customHeight="1" x14ac:dyDescent="0.2">
      <c r="A8" s="654"/>
      <c r="B8" s="656"/>
      <c r="C8" s="658"/>
      <c r="D8" s="660"/>
      <c r="E8" s="660"/>
      <c r="G8" s="651"/>
    </row>
    <row r="9" spans="1:8" s="9" customFormat="1" ht="15.75" x14ac:dyDescent="0.25">
      <c r="A9" s="317" t="s">
        <v>400</v>
      </c>
      <c r="B9" s="318" t="s">
        <v>401</v>
      </c>
      <c r="C9" s="319" t="s">
        <v>402</v>
      </c>
      <c r="D9" s="320">
        <v>219456</v>
      </c>
      <c r="E9" s="321">
        <v>217932</v>
      </c>
    </row>
    <row r="10" spans="1:8" s="9" customFormat="1" ht="31.5" x14ac:dyDescent="0.25">
      <c r="A10" s="317" t="s">
        <v>1037</v>
      </c>
      <c r="B10" s="334" t="s">
        <v>1038</v>
      </c>
      <c r="C10" s="322">
        <v>43862</v>
      </c>
      <c r="D10" s="320">
        <v>86360</v>
      </c>
      <c r="E10" s="321">
        <v>431800</v>
      </c>
    </row>
    <row r="11" spans="1:8" s="9" customFormat="1" ht="47.25" x14ac:dyDescent="0.25">
      <c r="A11" s="317" t="s">
        <v>403</v>
      </c>
      <c r="B11" s="318" t="s">
        <v>1039</v>
      </c>
      <c r="C11" s="322" t="s">
        <v>402</v>
      </c>
      <c r="D11" s="320">
        <v>267791</v>
      </c>
      <c r="E11" s="321">
        <v>393295</v>
      </c>
    </row>
    <row r="12" spans="1:8" s="9" customFormat="1" ht="31.5" x14ac:dyDescent="0.25">
      <c r="A12" s="323" t="s">
        <v>404</v>
      </c>
      <c r="B12" s="324" t="s">
        <v>405</v>
      </c>
      <c r="C12" s="325" t="s">
        <v>406</v>
      </c>
      <c r="D12" s="320">
        <v>190800</v>
      </c>
      <c r="E12" s="321">
        <v>190800</v>
      </c>
      <c r="H12" s="48"/>
    </row>
    <row r="13" spans="1:8" s="9" customFormat="1" ht="31.5" x14ac:dyDescent="0.25">
      <c r="A13" s="323" t="s">
        <v>404</v>
      </c>
      <c r="B13" s="324" t="s">
        <v>407</v>
      </c>
      <c r="C13" s="325" t="s">
        <v>406</v>
      </c>
      <c r="D13" s="320">
        <v>76400</v>
      </c>
      <c r="E13" s="321">
        <v>76400</v>
      </c>
      <c r="H13" s="48"/>
    </row>
    <row r="14" spans="1:8" s="9" customFormat="1" ht="15.75" x14ac:dyDescent="0.25">
      <c r="A14" s="323" t="s">
        <v>1040</v>
      </c>
      <c r="B14" s="324" t="s">
        <v>1041</v>
      </c>
      <c r="C14" s="325">
        <v>43921</v>
      </c>
      <c r="D14" s="320">
        <v>550000</v>
      </c>
      <c r="E14" s="321">
        <v>1000000</v>
      </c>
      <c r="H14" s="48"/>
    </row>
    <row r="15" spans="1:8" s="9" customFormat="1" ht="15.75" x14ac:dyDescent="0.25">
      <c r="A15" s="317" t="s">
        <v>408</v>
      </c>
      <c r="B15" s="318" t="s">
        <v>409</v>
      </c>
      <c r="C15" s="319" t="s">
        <v>402</v>
      </c>
      <c r="D15" s="320">
        <v>762000</v>
      </c>
      <c r="E15" s="321">
        <v>762000</v>
      </c>
      <c r="F15" s="48"/>
      <c r="H15" s="48"/>
    </row>
    <row r="16" spans="1:8" s="9" customFormat="1" ht="15.75" x14ac:dyDescent="0.25">
      <c r="A16" s="317" t="s">
        <v>408</v>
      </c>
      <c r="B16" s="318" t="s">
        <v>410</v>
      </c>
      <c r="C16" s="319" t="s">
        <v>402</v>
      </c>
      <c r="D16" s="320">
        <v>532511</v>
      </c>
      <c r="E16" s="321">
        <v>532511</v>
      </c>
      <c r="F16" s="241"/>
    </row>
    <row r="17" spans="1:8" s="9" customFormat="1" ht="31.5" x14ac:dyDescent="0.25">
      <c r="A17" s="317" t="s">
        <v>411</v>
      </c>
      <c r="B17" s="318" t="s">
        <v>412</v>
      </c>
      <c r="C17" s="322">
        <v>43830</v>
      </c>
      <c r="D17" s="320" t="s">
        <v>1042</v>
      </c>
      <c r="E17" s="321">
        <v>144744</v>
      </c>
    </row>
    <row r="18" spans="1:8" s="9" customFormat="1" ht="15.75" x14ac:dyDescent="0.25">
      <c r="A18" s="317" t="s">
        <v>1043</v>
      </c>
      <c r="B18" s="318" t="s">
        <v>504</v>
      </c>
      <c r="C18" s="319" t="s">
        <v>402</v>
      </c>
      <c r="D18" s="320">
        <v>2882835</v>
      </c>
      <c r="E18" s="321">
        <v>2882835</v>
      </c>
      <c r="F18" s="48"/>
      <c r="H18" s="48"/>
    </row>
    <row r="19" spans="1:8" s="9" customFormat="1" ht="31.5" x14ac:dyDescent="0.25">
      <c r="A19" s="317" t="s">
        <v>413</v>
      </c>
      <c r="B19" s="318" t="s">
        <v>414</v>
      </c>
      <c r="C19" s="322" t="s">
        <v>402</v>
      </c>
      <c r="D19" s="320">
        <v>42000</v>
      </c>
      <c r="E19" s="321">
        <v>42000</v>
      </c>
      <c r="F19" s="48"/>
      <c r="H19" s="48"/>
    </row>
    <row r="20" spans="1:8" s="9" customFormat="1" ht="15.75" x14ac:dyDescent="0.25">
      <c r="A20" s="326" t="s">
        <v>264</v>
      </c>
      <c r="B20" s="327" t="s">
        <v>415</v>
      </c>
      <c r="C20" s="319" t="s">
        <v>402</v>
      </c>
      <c r="D20" s="320">
        <v>710893</v>
      </c>
      <c r="E20" s="321">
        <v>710893</v>
      </c>
    </row>
    <row r="21" spans="1:8" s="9" customFormat="1" ht="15.75" x14ac:dyDescent="0.25">
      <c r="A21" s="323" t="s">
        <v>416</v>
      </c>
      <c r="B21" s="324" t="s">
        <v>417</v>
      </c>
      <c r="C21" s="328" t="s">
        <v>402</v>
      </c>
      <c r="D21" s="320">
        <v>1330000</v>
      </c>
      <c r="E21" s="321">
        <v>1172893</v>
      </c>
    </row>
    <row r="22" spans="1:8" s="9" customFormat="1" ht="15.75" x14ac:dyDescent="0.25">
      <c r="A22" s="323" t="s">
        <v>416</v>
      </c>
      <c r="B22" s="324" t="s">
        <v>418</v>
      </c>
      <c r="C22" s="328" t="s">
        <v>402</v>
      </c>
      <c r="D22" s="320">
        <v>10000</v>
      </c>
      <c r="E22" s="321">
        <v>10000</v>
      </c>
    </row>
    <row r="23" spans="1:8" s="9" customFormat="1" ht="15.75" x14ac:dyDescent="0.25">
      <c r="A23" s="323" t="s">
        <v>416</v>
      </c>
      <c r="B23" s="324" t="s">
        <v>419</v>
      </c>
      <c r="C23" s="328" t="s">
        <v>402</v>
      </c>
      <c r="D23" s="320">
        <v>1421781</v>
      </c>
      <c r="E23" s="329">
        <v>1421781</v>
      </c>
    </row>
    <row r="24" spans="1:8" s="9" customFormat="1" ht="31.5" x14ac:dyDescent="0.25">
      <c r="A24" s="323" t="s">
        <v>421</v>
      </c>
      <c r="B24" s="324" t="s">
        <v>422</v>
      </c>
      <c r="C24" s="319" t="s">
        <v>402</v>
      </c>
      <c r="D24" s="320">
        <v>136550</v>
      </c>
      <c r="E24" s="321">
        <v>136550</v>
      </c>
    </row>
    <row r="25" spans="1:8" s="9" customFormat="1" ht="31.5" x14ac:dyDescent="0.25">
      <c r="A25" s="323" t="s">
        <v>423</v>
      </c>
      <c r="B25" s="324" t="s">
        <v>424</v>
      </c>
      <c r="C25" s="330" t="s">
        <v>402</v>
      </c>
      <c r="D25" s="320">
        <v>18866</v>
      </c>
      <c r="E25" s="321">
        <v>18866</v>
      </c>
    </row>
    <row r="26" spans="1:8" s="9" customFormat="1" ht="31.5" x14ac:dyDescent="0.25">
      <c r="A26" s="323" t="s">
        <v>423</v>
      </c>
      <c r="B26" s="324" t="s">
        <v>425</v>
      </c>
      <c r="C26" s="330" t="s">
        <v>402</v>
      </c>
      <c r="D26" s="320">
        <v>390000</v>
      </c>
      <c r="E26" s="321">
        <v>407205</v>
      </c>
      <c r="F26" s="48"/>
    </row>
    <row r="27" spans="1:8" s="9" customFormat="1" ht="31.5" x14ac:dyDescent="0.25">
      <c r="A27" s="323" t="s">
        <v>423</v>
      </c>
      <c r="B27" s="324" t="s">
        <v>426</v>
      </c>
      <c r="C27" s="330" t="s">
        <v>402</v>
      </c>
      <c r="D27" s="320">
        <v>268735</v>
      </c>
      <c r="E27" s="321">
        <v>268735</v>
      </c>
    </row>
    <row r="28" spans="1:8" s="9" customFormat="1" ht="31.5" x14ac:dyDescent="0.25">
      <c r="A28" s="323" t="s">
        <v>423</v>
      </c>
      <c r="B28" s="324" t="s">
        <v>427</v>
      </c>
      <c r="C28" s="330" t="s">
        <v>402</v>
      </c>
      <c r="D28" s="320">
        <v>434358</v>
      </c>
      <c r="E28" s="321">
        <v>434358</v>
      </c>
    </row>
    <row r="29" spans="1:8" s="9" customFormat="1" ht="31.5" x14ac:dyDescent="0.25">
      <c r="A29" s="323" t="s">
        <v>423</v>
      </c>
      <c r="B29" s="324" t="s">
        <v>428</v>
      </c>
      <c r="C29" s="330">
        <v>44304</v>
      </c>
      <c r="D29" s="320">
        <v>230843</v>
      </c>
      <c r="E29" s="321">
        <v>230843</v>
      </c>
    </row>
    <row r="30" spans="1:8" s="9" customFormat="1" ht="31.5" x14ac:dyDescent="0.25">
      <c r="A30" s="323" t="s">
        <v>423</v>
      </c>
      <c r="B30" s="324" t="s">
        <v>429</v>
      </c>
      <c r="C30" s="330">
        <v>44508</v>
      </c>
      <c r="D30" s="320">
        <v>406493</v>
      </c>
      <c r="E30" s="321">
        <v>406493</v>
      </c>
    </row>
    <row r="31" spans="1:8" s="9" customFormat="1" ht="31.5" x14ac:dyDescent="0.25">
      <c r="A31" s="323" t="s">
        <v>423</v>
      </c>
      <c r="B31" s="324" t="s">
        <v>430</v>
      </c>
      <c r="C31" s="330">
        <v>44044</v>
      </c>
      <c r="D31" s="320">
        <v>103215</v>
      </c>
      <c r="E31" s="321">
        <v>162195</v>
      </c>
    </row>
    <row r="32" spans="1:8" s="9" customFormat="1" ht="15.75" x14ac:dyDescent="0.25">
      <c r="A32" s="323" t="s">
        <v>423</v>
      </c>
      <c r="B32" s="324" t="s">
        <v>431</v>
      </c>
      <c r="C32" s="330">
        <v>44147</v>
      </c>
      <c r="D32" s="320">
        <v>190000</v>
      </c>
      <c r="E32" s="321">
        <v>216849</v>
      </c>
    </row>
    <row r="33" spans="1:10" s="9" customFormat="1" ht="31.5" x14ac:dyDescent="0.25">
      <c r="A33" s="317" t="s">
        <v>432</v>
      </c>
      <c r="B33" s="331" t="s">
        <v>433</v>
      </c>
      <c r="C33" s="322" t="s">
        <v>402</v>
      </c>
      <c r="D33" s="320">
        <v>2700000</v>
      </c>
      <c r="E33" s="332">
        <v>3183447</v>
      </c>
    </row>
    <row r="34" spans="1:10" s="9" customFormat="1" ht="31.5" x14ac:dyDescent="0.25">
      <c r="A34" s="317" t="s">
        <v>434</v>
      </c>
      <c r="B34" s="318" t="s">
        <v>435</v>
      </c>
      <c r="C34" s="319" t="s">
        <v>402</v>
      </c>
      <c r="D34" s="320">
        <v>789258</v>
      </c>
      <c r="E34" s="321">
        <v>789258</v>
      </c>
    </row>
    <row r="35" spans="1:10" s="9" customFormat="1" ht="31.5" x14ac:dyDescent="0.25">
      <c r="A35" s="317" t="s">
        <v>434</v>
      </c>
      <c r="B35" s="318" t="s">
        <v>436</v>
      </c>
      <c r="C35" s="319" t="s">
        <v>402</v>
      </c>
      <c r="D35" s="320">
        <v>397242</v>
      </c>
      <c r="E35" s="321">
        <v>397242</v>
      </c>
    </row>
    <row r="36" spans="1:10" s="9" customFormat="1" ht="31.5" x14ac:dyDescent="0.25">
      <c r="A36" s="317" t="s">
        <v>434</v>
      </c>
      <c r="B36" s="318" t="s">
        <v>437</v>
      </c>
      <c r="C36" s="319" t="s">
        <v>402</v>
      </c>
      <c r="D36" s="320">
        <v>252003</v>
      </c>
      <c r="E36" s="321">
        <v>252003</v>
      </c>
    </row>
    <row r="37" spans="1:10" s="9" customFormat="1" ht="31.5" x14ac:dyDescent="0.25">
      <c r="A37" s="317" t="s">
        <v>438</v>
      </c>
      <c r="B37" s="318" t="s">
        <v>439</v>
      </c>
      <c r="C37" s="319" t="s">
        <v>402</v>
      </c>
      <c r="D37" s="333">
        <v>77724</v>
      </c>
      <c r="E37" s="321">
        <v>77724</v>
      </c>
      <c r="F37" s="48"/>
    </row>
    <row r="38" spans="1:10" s="9" customFormat="1" ht="31.5" x14ac:dyDescent="0.25">
      <c r="A38" s="317" t="s">
        <v>440</v>
      </c>
      <c r="B38" s="318" t="s">
        <v>441</v>
      </c>
      <c r="C38" s="319" t="s">
        <v>402</v>
      </c>
      <c r="D38" s="320">
        <v>231349</v>
      </c>
      <c r="E38" s="321">
        <v>231349</v>
      </c>
      <c r="H38" s="48"/>
      <c r="J38" s="242"/>
    </row>
    <row r="39" spans="1:10" s="9" customFormat="1" ht="31.5" x14ac:dyDescent="0.25">
      <c r="A39" s="317" t="s">
        <v>442</v>
      </c>
      <c r="B39" s="318" t="s">
        <v>1044</v>
      </c>
      <c r="C39" s="319" t="s">
        <v>402</v>
      </c>
      <c r="D39" s="320">
        <v>139700</v>
      </c>
      <c r="E39" s="321">
        <v>139700</v>
      </c>
      <c r="H39" s="48"/>
    </row>
    <row r="40" spans="1:10" s="9" customFormat="1" ht="15.75" x14ac:dyDescent="0.25">
      <c r="A40" s="317" t="s">
        <v>443</v>
      </c>
      <c r="B40" s="318" t="s">
        <v>444</v>
      </c>
      <c r="C40" s="319" t="s">
        <v>402</v>
      </c>
      <c r="D40" s="320">
        <v>243840</v>
      </c>
      <c r="E40" s="321">
        <v>243840</v>
      </c>
      <c r="H40" s="48"/>
    </row>
    <row r="41" spans="1:10" s="9" customFormat="1" ht="15.75" x14ac:dyDescent="0.25">
      <c r="A41" s="317" t="s">
        <v>445</v>
      </c>
      <c r="B41" s="318" t="s">
        <v>446</v>
      </c>
      <c r="C41" s="319" t="s">
        <v>402</v>
      </c>
      <c r="D41" s="320">
        <v>144000</v>
      </c>
      <c r="E41" s="321">
        <v>144000</v>
      </c>
      <c r="H41" s="48"/>
    </row>
    <row r="42" spans="1:10" s="9" customFormat="1" ht="15.75" x14ac:dyDescent="0.25">
      <c r="A42" s="317" t="s">
        <v>447</v>
      </c>
      <c r="B42" s="318" t="s">
        <v>448</v>
      </c>
      <c r="C42" s="322" t="s">
        <v>402</v>
      </c>
      <c r="D42" s="320">
        <v>159804</v>
      </c>
      <c r="E42" s="321">
        <v>159441</v>
      </c>
      <c r="H42" s="48"/>
    </row>
    <row r="43" spans="1:10" s="9" customFormat="1" ht="31.5" x14ac:dyDescent="0.25">
      <c r="A43" s="317" t="s">
        <v>449</v>
      </c>
      <c r="B43" s="318" t="s">
        <v>450</v>
      </c>
      <c r="C43" s="322" t="s">
        <v>402</v>
      </c>
      <c r="D43" s="320">
        <v>91440</v>
      </c>
      <c r="E43" s="321">
        <v>91440</v>
      </c>
      <c r="H43" s="48"/>
    </row>
    <row r="44" spans="1:10" s="9" customFormat="1" ht="31.5" x14ac:dyDescent="0.25">
      <c r="A44" s="317" t="s">
        <v>451</v>
      </c>
      <c r="B44" s="318" t="s">
        <v>452</v>
      </c>
      <c r="C44" s="322" t="s">
        <v>402</v>
      </c>
      <c r="D44" s="320"/>
      <c r="E44" s="321">
        <v>1733550</v>
      </c>
      <c r="H44" s="48"/>
    </row>
    <row r="45" spans="1:10" s="9" customFormat="1" ht="31.5" x14ac:dyDescent="0.25">
      <c r="A45" s="317" t="s">
        <v>1045</v>
      </c>
      <c r="B45" s="334" t="s">
        <v>1046</v>
      </c>
      <c r="C45" s="322" t="s">
        <v>402</v>
      </c>
      <c r="D45" s="320">
        <v>534944</v>
      </c>
      <c r="E45" s="321">
        <v>150187</v>
      </c>
      <c r="H45" s="48"/>
    </row>
    <row r="46" spans="1:10" s="9" customFormat="1" ht="31.5" x14ac:dyDescent="0.25">
      <c r="A46" s="317" t="s">
        <v>453</v>
      </c>
      <c r="B46" s="318" t="s">
        <v>454</v>
      </c>
      <c r="C46" s="322" t="s">
        <v>402</v>
      </c>
      <c r="D46" s="320" t="s">
        <v>1047</v>
      </c>
      <c r="E46" s="321">
        <v>861822</v>
      </c>
      <c r="H46" s="48"/>
    </row>
    <row r="47" spans="1:10" s="9" customFormat="1" ht="15.75" x14ac:dyDescent="0.25">
      <c r="A47" s="317" t="s">
        <v>455</v>
      </c>
      <c r="B47" s="318" t="s">
        <v>456</v>
      </c>
      <c r="C47" s="322" t="s">
        <v>402</v>
      </c>
      <c r="D47" s="320"/>
      <c r="E47" s="321">
        <v>89154</v>
      </c>
    </row>
    <row r="48" spans="1:10" s="9" customFormat="1" ht="31.5" x14ac:dyDescent="0.25">
      <c r="A48" s="317" t="s">
        <v>457</v>
      </c>
      <c r="B48" s="318" t="s">
        <v>458</v>
      </c>
      <c r="C48" s="322" t="s">
        <v>402</v>
      </c>
      <c r="D48" s="320">
        <v>217961</v>
      </c>
      <c r="E48" s="321">
        <v>217961</v>
      </c>
      <c r="H48" s="48"/>
    </row>
    <row r="49" spans="1:8" s="9" customFormat="1" ht="15.75" x14ac:dyDescent="0.25">
      <c r="A49" s="317" t="s">
        <v>457</v>
      </c>
      <c r="B49" s="318" t="s">
        <v>459</v>
      </c>
      <c r="C49" s="322" t="s">
        <v>402</v>
      </c>
      <c r="D49" s="320">
        <v>7350000</v>
      </c>
      <c r="E49" s="321">
        <v>7665130</v>
      </c>
      <c r="H49" s="48"/>
    </row>
    <row r="50" spans="1:8" s="9" customFormat="1" ht="15.75" x14ac:dyDescent="0.25">
      <c r="A50" s="317" t="s">
        <v>460</v>
      </c>
      <c r="B50" s="318" t="s">
        <v>461</v>
      </c>
      <c r="C50" s="322" t="s">
        <v>402</v>
      </c>
      <c r="D50" s="320">
        <v>19908</v>
      </c>
      <c r="E50" s="321">
        <v>19908</v>
      </c>
      <c r="F50" s="48"/>
      <c r="H50" s="48"/>
    </row>
    <row r="51" spans="1:8" s="9" customFormat="1" ht="15.75" x14ac:dyDescent="0.25">
      <c r="A51" s="317" t="s">
        <v>460</v>
      </c>
      <c r="B51" s="318" t="s">
        <v>1048</v>
      </c>
      <c r="C51" s="322" t="s">
        <v>402</v>
      </c>
      <c r="D51" s="320">
        <v>468423</v>
      </c>
      <c r="E51" s="321">
        <v>486423</v>
      </c>
      <c r="H51" s="48"/>
    </row>
    <row r="52" spans="1:8" s="9" customFormat="1" ht="15.75" x14ac:dyDescent="0.25">
      <c r="A52" s="317" t="s">
        <v>460</v>
      </c>
      <c r="B52" s="318" t="s">
        <v>462</v>
      </c>
      <c r="C52" s="322" t="s">
        <v>402</v>
      </c>
      <c r="D52" s="320">
        <v>157320</v>
      </c>
      <c r="E52" s="321">
        <v>158070</v>
      </c>
      <c r="F52" s="48"/>
      <c r="H52" s="48"/>
    </row>
    <row r="53" spans="1:8" s="9" customFormat="1" ht="31.5" x14ac:dyDescent="0.25">
      <c r="A53" s="317" t="s">
        <v>463</v>
      </c>
      <c r="B53" s="318" t="s">
        <v>464</v>
      </c>
      <c r="C53" s="322" t="s">
        <v>469</v>
      </c>
      <c r="D53" s="320">
        <v>177800</v>
      </c>
      <c r="E53" s="321">
        <v>177800</v>
      </c>
      <c r="H53" s="48"/>
    </row>
    <row r="54" spans="1:8" s="9" customFormat="1" ht="31.5" x14ac:dyDescent="0.25">
      <c r="A54" s="317" t="s">
        <v>465</v>
      </c>
      <c r="B54" s="318" t="s">
        <v>466</v>
      </c>
      <c r="C54" s="322" t="s">
        <v>402</v>
      </c>
      <c r="D54" s="335">
        <v>61341</v>
      </c>
      <c r="E54" s="321">
        <v>61341</v>
      </c>
    </row>
    <row r="55" spans="1:8" s="9" customFormat="1" ht="15.75" x14ac:dyDescent="0.25">
      <c r="A55" s="317" t="s">
        <v>467</v>
      </c>
      <c r="B55" s="318" t="s">
        <v>468</v>
      </c>
      <c r="C55" s="322" t="s">
        <v>469</v>
      </c>
      <c r="D55" s="320">
        <v>279205</v>
      </c>
      <c r="E55" s="321">
        <v>279205</v>
      </c>
    </row>
    <row r="56" spans="1:8" s="9" customFormat="1" ht="15.75" x14ac:dyDescent="0.25">
      <c r="A56" s="317" t="s">
        <v>470</v>
      </c>
      <c r="B56" s="318" t="s">
        <v>1049</v>
      </c>
      <c r="C56" s="286" t="s">
        <v>402</v>
      </c>
      <c r="D56" s="320">
        <v>71907</v>
      </c>
      <c r="E56" s="321">
        <v>71907</v>
      </c>
    </row>
    <row r="57" spans="1:8" s="9" customFormat="1" ht="31.5" x14ac:dyDescent="0.25">
      <c r="A57" s="317" t="s">
        <v>471</v>
      </c>
      <c r="B57" s="318" t="s">
        <v>472</v>
      </c>
      <c r="C57" s="330" t="s">
        <v>402</v>
      </c>
      <c r="D57" s="320">
        <v>464736</v>
      </c>
      <c r="E57" s="321">
        <v>464736</v>
      </c>
      <c r="F57" s="48"/>
      <c r="G57" s="48"/>
      <c r="H57" s="48"/>
    </row>
    <row r="58" spans="1:8" s="9" customFormat="1" ht="31.5" x14ac:dyDescent="0.25">
      <c r="A58" s="317" t="s">
        <v>473</v>
      </c>
      <c r="B58" s="331" t="s">
        <v>474</v>
      </c>
      <c r="C58" s="330" t="s">
        <v>475</v>
      </c>
      <c r="D58" s="336">
        <v>101918</v>
      </c>
      <c r="E58" s="321">
        <v>101918</v>
      </c>
    </row>
    <row r="59" spans="1:8" s="9" customFormat="1" ht="15.75" x14ac:dyDescent="0.25">
      <c r="A59" s="317" t="s">
        <v>473</v>
      </c>
      <c r="B59" s="331" t="s">
        <v>476</v>
      </c>
      <c r="C59" s="330" t="s">
        <v>469</v>
      </c>
      <c r="D59" s="336">
        <v>338483</v>
      </c>
      <c r="E59" s="321">
        <v>327353</v>
      </c>
    </row>
    <row r="60" spans="1:8" s="9" customFormat="1" ht="15.75" x14ac:dyDescent="0.25">
      <c r="A60" s="317" t="s">
        <v>477</v>
      </c>
      <c r="B60" s="318" t="s">
        <v>478</v>
      </c>
      <c r="C60" s="319" t="s">
        <v>402</v>
      </c>
      <c r="D60" s="320">
        <v>60960</v>
      </c>
      <c r="E60" s="321">
        <v>60960</v>
      </c>
    </row>
    <row r="61" spans="1:8" s="9" customFormat="1" ht="31.5" x14ac:dyDescent="0.25">
      <c r="A61" s="317" t="s">
        <v>479</v>
      </c>
      <c r="B61" s="331" t="s">
        <v>480</v>
      </c>
      <c r="C61" s="319" t="s">
        <v>402</v>
      </c>
      <c r="D61" s="320">
        <v>248626</v>
      </c>
      <c r="E61" s="321">
        <v>248626</v>
      </c>
      <c r="H61" s="48"/>
    </row>
    <row r="62" spans="1:8" s="9" customFormat="1" ht="15.75" x14ac:dyDescent="0.25">
      <c r="A62" s="317" t="s">
        <v>481</v>
      </c>
      <c r="B62" s="331" t="s">
        <v>482</v>
      </c>
      <c r="C62" s="322" t="s">
        <v>402</v>
      </c>
      <c r="D62" s="320">
        <v>35127</v>
      </c>
      <c r="E62" s="321">
        <v>35127</v>
      </c>
      <c r="F62" s="48"/>
      <c r="H62" s="48"/>
    </row>
    <row r="63" spans="1:8" s="9" customFormat="1" ht="15.75" x14ac:dyDescent="0.25">
      <c r="A63" s="317" t="s">
        <v>483</v>
      </c>
      <c r="B63" s="331" t="s">
        <v>484</v>
      </c>
      <c r="C63" s="322" t="s">
        <v>402</v>
      </c>
      <c r="D63" s="320">
        <v>220218</v>
      </c>
      <c r="E63" s="321">
        <v>220218</v>
      </c>
    </row>
    <row r="64" spans="1:8" s="9" customFormat="1" ht="15.75" x14ac:dyDescent="0.25">
      <c r="A64" s="317" t="s">
        <v>485</v>
      </c>
      <c r="B64" s="331" t="s">
        <v>486</v>
      </c>
      <c r="C64" s="322" t="s">
        <v>402</v>
      </c>
      <c r="D64" s="320">
        <v>5439537</v>
      </c>
      <c r="E64" s="321">
        <v>8422970</v>
      </c>
    </row>
    <row r="65" spans="1:8" s="9" customFormat="1" ht="15.75" x14ac:dyDescent="0.25">
      <c r="A65" s="317" t="s">
        <v>487</v>
      </c>
      <c r="B65" s="331" t="s">
        <v>488</v>
      </c>
      <c r="C65" s="322" t="s">
        <v>402</v>
      </c>
      <c r="D65" s="320">
        <v>882250</v>
      </c>
      <c r="E65" s="321">
        <v>882250</v>
      </c>
    </row>
    <row r="66" spans="1:8" s="9" customFormat="1" ht="31.5" x14ac:dyDescent="0.25">
      <c r="A66" s="317" t="s">
        <v>489</v>
      </c>
      <c r="B66" s="331" t="s">
        <v>1050</v>
      </c>
      <c r="C66" s="322" t="s">
        <v>402</v>
      </c>
      <c r="D66" s="320">
        <v>2103755</v>
      </c>
      <c r="E66" s="321">
        <v>2103755</v>
      </c>
      <c r="H66" s="48"/>
    </row>
    <row r="67" spans="1:8" s="9" customFormat="1" ht="31.5" x14ac:dyDescent="0.25">
      <c r="A67" s="317" t="s">
        <v>490</v>
      </c>
      <c r="B67" s="331" t="s">
        <v>1051</v>
      </c>
      <c r="C67" s="322" t="s">
        <v>402</v>
      </c>
      <c r="D67" s="320">
        <v>1866611</v>
      </c>
      <c r="E67" s="321">
        <v>1866611</v>
      </c>
    </row>
    <row r="68" spans="1:8" s="9" customFormat="1" ht="31.5" x14ac:dyDescent="0.25">
      <c r="A68" s="317" t="s">
        <v>491</v>
      </c>
      <c r="B68" s="331" t="s">
        <v>492</v>
      </c>
      <c r="C68" s="322" t="s">
        <v>402</v>
      </c>
      <c r="D68" s="320">
        <v>120000</v>
      </c>
      <c r="E68" s="321">
        <v>120000</v>
      </c>
    </row>
    <row r="69" spans="1:8" s="9" customFormat="1" ht="15.75" x14ac:dyDescent="0.25">
      <c r="A69" s="317" t="s">
        <v>493</v>
      </c>
      <c r="B69" s="331" t="s">
        <v>494</v>
      </c>
      <c r="C69" s="322" t="s">
        <v>469</v>
      </c>
      <c r="D69" s="320">
        <v>105600</v>
      </c>
      <c r="E69" s="321">
        <v>105600</v>
      </c>
    </row>
    <row r="70" spans="1:8" s="9" customFormat="1" ht="31.5" x14ac:dyDescent="0.25">
      <c r="A70" s="317" t="s">
        <v>495</v>
      </c>
      <c r="B70" s="331" t="s">
        <v>496</v>
      </c>
      <c r="C70" s="322" t="s">
        <v>402</v>
      </c>
      <c r="D70" s="320">
        <v>128727</v>
      </c>
      <c r="E70" s="321">
        <v>125146</v>
      </c>
    </row>
    <row r="71" spans="1:8" s="9" customFormat="1" ht="31.5" x14ac:dyDescent="0.25">
      <c r="A71" s="317" t="s">
        <v>497</v>
      </c>
      <c r="B71" s="331" t="s">
        <v>498</v>
      </c>
      <c r="C71" s="337" t="s">
        <v>402</v>
      </c>
      <c r="D71" s="320">
        <v>197622</v>
      </c>
      <c r="E71" s="321">
        <v>197622</v>
      </c>
      <c r="F71" s="48"/>
    </row>
    <row r="72" spans="1:8" s="9" customFormat="1" ht="31.5" x14ac:dyDescent="0.25">
      <c r="A72" s="317" t="s">
        <v>497</v>
      </c>
      <c r="B72" s="331" t="s">
        <v>499</v>
      </c>
      <c r="C72" s="337">
        <v>44308</v>
      </c>
      <c r="D72" s="320">
        <v>317143</v>
      </c>
      <c r="E72" s="321">
        <v>317143</v>
      </c>
      <c r="F72" s="48"/>
    </row>
    <row r="73" spans="1:8" s="9" customFormat="1" ht="15.75" x14ac:dyDescent="0.25">
      <c r="A73" s="317" t="s">
        <v>497</v>
      </c>
      <c r="B73" s="331" t="s">
        <v>500</v>
      </c>
      <c r="C73" s="338">
        <v>44255</v>
      </c>
      <c r="D73" s="335">
        <v>284225</v>
      </c>
      <c r="E73" s="321">
        <v>284225</v>
      </c>
      <c r="F73" s="48"/>
      <c r="H73" s="48"/>
    </row>
    <row r="74" spans="1:8" s="9" customFormat="1" ht="31.5" x14ac:dyDescent="0.25">
      <c r="A74" s="317" t="s">
        <v>497</v>
      </c>
      <c r="B74" s="331" t="s">
        <v>501</v>
      </c>
      <c r="C74" s="322" t="s">
        <v>402</v>
      </c>
      <c r="D74" s="320">
        <v>125741</v>
      </c>
      <c r="E74" s="321">
        <v>125741</v>
      </c>
      <c r="H74" s="48"/>
    </row>
    <row r="75" spans="1:8" s="9" customFormat="1" ht="31.5" x14ac:dyDescent="0.25">
      <c r="A75" s="317" t="s">
        <v>502</v>
      </c>
      <c r="B75" s="331" t="s">
        <v>503</v>
      </c>
      <c r="C75" s="322">
        <v>43865</v>
      </c>
      <c r="D75" s="320">
        <v>643333</v>
      </c>
      <c r="E75" s="321">
        <v>3812616</v>
      </c>
      <c r="H75" s="48"/>
    </row>
    <row r="76" spans="1:8" s="9" customFormat="1" ht="31.5" x14ac:dyDescent="0.25">
      <c r="A76" s="317" t="s">
        <v>1052</v>
      </c>
      <c r="B76" s="318" t="s">
        <v>452</v>
      </c>
      <c r="C76" s="322" t="s">
        <v>402</v>
      </c>
      <c r="D76" s="320">
        <v>1980000</v>
      </c>
      <c r="E76" s="321"/>
      <c r="H76" s="48"/>
    </row>
    <row r="77" spans="1:8" s="9" customFormat="1" ht="31.5" x14ac:dyDescent="0.25">
      <c r="A77" s="317" t="s">
        <v>505</v>
      </c>
      <c r="B77" s="318" t="s">
        <v>506</v>
      </c>
      <c r="C77" s="319" t="s">
        <v>469</v>
      </c>
      <c r="D77" s="320">
        <v>174000</v>
      </c>
      <c r="E77" s="321">
        <v>174000</v>
      </c>
      <c r="F77" s="48"/>
      <c r="H77" s="48"/>
    </row>
    <row r="78" spans="1:8" s="9" customFormat="1" ht="15.75" x14ac:dyDescent="0.25">
      <c r="A78" s="317" t="s">
        <v>507</v>
      </c>
      <c r="B78" s="318" t="s">
        <v>508</v>
      </c>
      <c r="C78" s="339" t="s">
        <v>469</v>
      </c>
      <c r="D78" s="320">
        <v>1269124</v>
      </c>
      <c r="E78" s="321">
        <v>1269124</v>
      </c>
    </row>
    <row r="79" spans="1:8" s="9" customFormat="1" ht="31.5" x14ac:dyDescent="0.25">
      <c r="A79" s="317" t="s">
        <v>509</v>
      </c>
      <c r="B79" s="318" t="s">
        <v>510</v>
      </c>
      <c r="C79" s="337" t="s">
        <v>402</v>
      </c>
      <c r="D79" s="335">
        <v>47194</v>
      </c>
      <c r="E79" s="321">
        <v>47194</v>
      </c>
      <c r="H79" s="48"/>
    </row>
    <row r="80" spans="1:8" s="9" customFormat="1" ht="16.5" thickBot="1" x14ac:dyDescent="0.3">
      <c r="A80" s="340"/>
      <c r="B80" s="340"/>
      <c r="C80" s="340" t="s">
        <v>24</v>
      </c>
      <c r="D80" s="341">
        <f>SUM(D9:D79)</f>
        <v>42981986</v>
      </c>
      <c r="E80" s="341">
        <f>SUM(E9:E79)</f>
        <v>51266815</v>
      </c>
    </row>
    <row r="81" spans="1:5" s="9" customFormat="1" ht="15.75" x14ac:dyDescent="0.25">
      <c r="A81" s="244"/>
      <c r="B81" s="245"/>
      <c r="C81" s="342"/>
      <c r="D81" s="243"/>
      <c r="E81" s="249"/>
    </row>
    <row r="82" spans="1:5" s="9" customFormat="1" ht="15.75" x14ac:dyDescent="0.25">
      <c r="A82" s="244"/>
      <c r="B82" s="245"/>
      <c r="C82" s="342"/>
      <c r="D82" s="243"/>
      <c r="E82" s="249"/>
    </row>
    <row r="83" spans="1:5" s="9" customFormat="1" ht="15.75" x14ac:dyDescent="0.25">
      <c r="A83" s="244"/>
      <c r="B83" s="245"/>
      <c r="C83" s="342"/>
      <c r="D83" s="243"/>
      <c r="E83" s="249"/>
    </row>
    <row r="84" spans="1:5" s="9" customFormat="1" ht="15.75" x14ac:dyDescent="0.25">
      <c r="A84" s="244"/>
      <c r="B84" s="245"/>
      <c r="C84" s="342"/>
      <c r="D84" s="243"/>
      <c r="E84" s="249"/>
    </row>
    <row r="85" spans="1:5" ht="15.75" x14ac:dyDescent="0.25">
      <c r="A85" s="244"/>
      <c r="B85" s="245"/>
      <c r="C85" s="248"/>
      <c r="D85" s="243"/>
      <c r="E85" s="249"/>
    </row>
    <row r="86" spans="1:5" ht="15.75" x14ac:dyDescent="0.25">
      <c r="A86" s="244"/>
      <c r="B86" s="245"/>
      <c r="C86" s="248"/>
      <c r="D86" s="243"/>
      <c r="E86" s="249"/>
    </row>
    <row r="87" spans="1:5" ht="15.75" x14ac:dyDescent="0.25">
      <c r="A87" s="244"/>
      <c r="B87" s="245"/>
      <c r="C87" s="248"/>
      <c r="D87" s="243"/>
      <c r="E87" s="249"/>
    </row>
    <row r="88" spans="1:5" ht="15.75" x14ac:dyDescent="0.25">
      <c r="A88" s="244"/>
      <c r="B88" s="245"/>
      <c r="C88" s="248"/>
      <c r="D88" s="243"/>
      <c r="E88" s="249"/>
    </row>
    <row r="89" spans="1:5" ht="15.75" x14ac:dyDescent="0.25">
      <c r="A89" s="244"/>
      <c r="B89" s="245"/>
      <c r="C89" s="243"/>
      <c r="D89" s="243"/>
      <c r="E89" s="249"/>
    </row>
    <row r="90" spans="1:5" ht="15.75" x14ac:dyDescent="0.25">
      <c r="A90" s="244"/>
      <c r="B90" s="245"/>
      <c r="C90" s="243"/>
      <c r="D90" s="243"/>
      <c r="E90" s="249"/>
    </row>
    <row r="91" spans="1:5" ht="15.75" x14ac:dyDescent="0.25">
      <c r="A91" s="244"/>
      <c r="B91" s="245"/>
      <c r="C91" s="243"/>
      <c r="D91" s="243"/>
      <c r="E91" s="249"/>
    </row>
    <row r="92" spans="1:5" ht="15.75" x14ac:dyDescent="0.25">
      <c r="A92" s="244"/>
      <c r="B92" s="245"/>
      <c r="C92" s="243"/>
      <c r="D92" s="243"/>
      <c r="E92" s="249"/>
    </row>
    <row r="93" spans="1:5" ht="15.75" x14ac:dyDescent="0.25">
      <c r="A93" s="244"/>
      <c r="B93" s="245"/>
      <c r="C93" s="243"/>
      <c r="D93" s="243"/>
      <c r="E93" s="249"/>
    </row>
    <row r="94" spans="1:5" ht="15.75" x14ac:dyDescent="0.25">
      <c r="A94" s="244"/>
      <c r="B94" s="245"/>
      <c r="C94" s="243"/>
      <c r="D94" s="243"/>
      <c r="E94" s="249"/>
    </row>
    <row r="95" spans="1:5" ht="15.75" x14ac:dyDescent="0.25">
      <c r="A95" s="244"/>
      <c r="B95" s="245"/>
      <c r="C95" s="243"/>
      <c r="D95" s="243"/>
      <c r="E95" s="249"/>
    </row>
    <row r="96" spans="1:5" ht="15.75" x14ac:dyDescent="0.25">
      <c r="A96" s="244"/>
      <c r="B96" s="245"/>
      <c r="C96" s="243"/>
      <c r="D96" s="243"/>
      <c r="E96" s="249"/>
    </row>
    <row r="97" spans="1:5" ht="15.75" x14ac:dyDescent="0.25">
      <c r="A97" s="244"/>
      <c r="B97" s="245"/>
      <c r="C97" s="243"/>
      <c r="D97" s="243"/>
      <c r="E97" s="249"/>
    </row>
    <row r="98" spans="1:5" ht="15.75" x14ac:dyDescent="0.25">
      <c r="A98" s="244"/>
      <c r="B98" s="245"/>
      <c r="C98" s="243"/>
      <c r="D98" s="243"/>
      <c r="E98" s="249"/>
    </row>
    <row r="99" spans="1:5" ht="15.75" x14ac:dyDescent="0.25">
      <c r="A99" s="244"/>
      <c r="B99" s="245"/>
      <c r="C99" s="243"/>
      <c r="D99" s="243"/>
      <c r="E99" s="249"/>
    </row>
    <row r="100" spans="1:5" ht="15.75" x14ac:dyDescent="0.25">
      <c r="A100" s="244"/>
      <c r="B100" s="245"/>
      <c r="C100" s="243"/>
      <c r="D100" s="243"/>
      <c r="E100" s="249"/>
    </row>
    <row r="101" spans="1:5" ht="15.75" x14ac:dyDescent="0.25">
      <c r="A101" s="244"/>
      <c r="B101" s="245"/>
      <c r="C101" s="243"/>
      <c r="D101" s="243"/>
      <c r="E101" s="249"/>
    </row>
    <row r="102" spans="1:5" ht="15.75" x14ac:dyDescent="0.25">
      <c r="A102" s="244"/>
      <c r="B102" s="245"/>
      <c r="C102" s="243"/>
      <c r="D102" s="243"/>
      <c r="E102" s="249"/>
    </row>
    <row r="103" spans="1:5" ht="15.75" x14ac:dyDescent="0.25">
      <c r="A103" s="244"/>
      <c r="B103" s="245"/>
      <c r="C103" s="243"/>
      <c r="D103" s="243"/>
      <c r="E103" s="249"/>
    </row>
    <row r="104" spans="1:5" ht="15.75" x14ac:dyDescent="0.25">
      <c r="A104" s="244"/>
      <c r="B104" s="245"/>
      <c r="C104" s="243"/>
      <c r="D104" s="243"/>
      <c r="E104" s="249"/>
    </row>
    <row r="105" spans="1:5" ht="15.75" x14ac:dyDescent="0.25">
      <c r="A105" s="244"/>
      <c r="B105" s="245"/>
      <c r="C105" s="243"/>
      <c r="D105" s="243"/>
      <c r="E105" s="249"/>
    </row>
    <row r="106" spans="1:5" ht="15.75" x14ac:dyDescent="0.25">
      <c r="A106" s="244"/>
      <c r="B106" s="245"/>
      <c r="C106" s="243"/>
      <c r="D106" s="243"/>
      <c r="E106" s="249"/>
    </row>
    <row r="107" spans="1:5" ht="15.75" x14ac:dyDescent="0.25">
      <c r="A107" s="244"/>
      <c r="B107" s="245"/>
      <c r="C107" s="243"/>
      <c r="D107" s="243"/>
      <c r="E107" s="249"/>
    </row>
    <row r="108" spans="1:5" ht="15.75" x14ac:dyDescent="0.25">
      <c r="A108" s="244"/>
      <c r="B108" s="245"/>
      <c r="C108" s="243"/>
      <c r="D108" s="243"/>
      <c r="E108" s="249"/>
    </row>
    <row r="109" spans="1:5" ht="15.75" x14ac:dyDescent="0.25">
      <c r="A109" s="244"/>
      <c r="B109" s="245"/>
      <c r="C109" s="343"/>
      <c r="D109" s="243"/>
      <c r="E109" s="249"/>
    </row>
    <row r="110" spans="1:5" ht="15.75" x14ac:dyDescent="0.25">
      <c r="A110" s="244"/>
      <c r="B110" s="245"/>
      <c r="C110" s="343"/>
      <c r="D110" s="243"/>
      <c r="E110" s="249"/>
    </row>
    <row r="111" spans="1:5" ht="15.75" x14ac:dyDescent="0.25">
      <c r="A111" s="244"/>
      <c r="B111" s="245"/>
      <c r="C111" s="343"/>
      <c r="D111" s="243"/>
      <c r="E111" s="249"/>
    </row>
    <row r="112" spans="1:5" ht="15.75" x14ac:dyDescent="0.25">
      <c r="A112" s="244"/>
      <c r="B112" s="245"/>
      <c r="C112" s="343"/>
      <c r="D112" s="243"/>
      <c r="E112" s="249"/>
    </row>
    <row r="113" spans="1:5" ht="15.75" x14ac:dyDescent="0.25">
      <c r="A113" s="244"/>
      <c r="B113" s="245"/>
      <c r="C113" s="343"/>
      <c r="D113" s="243"/>
      <c r="E113" s="249"/>
    </row>
    <row r="114" spans="1:5" ht="15.75" x14ac:dyDescent="0.25">
      <c r="A114" s="244"/>
      <c r="B114" s="245"/>
      <c r="C114" s="343"/>
      <c r="D114" s="243"/>
      <c r="E114" s="249"/>
    </row>
    <row r="115" spans="1:5" ht="15.75" x14ac:dyDescent="0.25">
      <c r="A115" s="244"/>
      <c r="B115" s="245"/>
      <c r="C115" s="343"/>
      <c r="D115" s="243"/>
      <c r="E115" s="249"/>
    </row>
    <row r="116" spans="1:5" ht="15.75" x14ac:dyDescent="0.25">
      <c r="A116" s="244"/>
      <c r="B116" s="245"/>
      <c r="C116" s="343"/>
      <c r="D116" s="243"/>
      <c r="E116" s="249"/>
    </row>
    <row r="117" spans="1:5" x14ac:dyDescent="0.2">
      <c r="C117" s="184"/>
    </row>
    <row r="118" spans="1:5" x14ac:dyDescent="0.2">
      <c r="C118" s="184"/>
    </row>
    <row r="119" spans="1:5" x14ac:dyDescent="0.2">
      <c r="C119" s="184"/>
    </row>
    <row r="120" spans="1:5" x14ac:dyDescent="0.2">
      <c r="C120" s="184"/>
    </row>
    <row r="121" spans="1:5" x14ac:dyDescent="0.2">
      <c r="C121" s="184"/>
    </row>
    <row r="122" spans="1:5" x14ac:dyDescent="0.2">
      <c r="C122" s="184"/>
    </row>
    <row r="123" spans="1:5" x14ac:dyDescent="0.2">
      <c r="C123" s="184"/>
    </row>
    <row r="124" spans="1:5" x14ac:dyDescent="0.2">
      <c r="C124" s="184"/>
    </row>
    <row r="125" spans="1:5" x14ac:dyDescent="0.2">
      <c r="C125" s="184"/>
    </row>
    <row r="126" spans="1:5" x14ac:dyDescent="0.2">
      <c r="C126" s="184"/>
    </row>
    <row r="127" spans="1:5" x14ac:dyDescent="0.2">
      <c r="C127" s="184"/>
    </row>
    <row r="128" spans="1:5" x14ac:dyDescent="0.2">
      <c r="C128" s="184"/>
    </row>
    <row r="129" spans="3:3" x14ac:dyDescent="0.2">
      <c r="C129" s="184"/>
    </row>
    <row r="130" spans="3:3" x14ac:dyDescent="0.2">
      <c r="C130" s="184"/>
    </row>
    <row r="131" spans="3:3" x14ac:dyDescent="0.2">
      <c r="C131" s="184"/>
    </row>
    <row r="132" spans="3:3" x14ac:dyDescent="0.2">
      <c r="C132" s="184"/>
    </row>
    <row r="133" spans="3:3" x14ac:dyDescent="0.2">
      <c r="C133" s="184"/>
    </row>
    <row r="134" spans="3:3" x14ac:dyDescent="0.2">
      <c r="C134" s="184"/>
    </row>
    <row r="135" spans="3:3" x14ac:dyDescent="0.2">
      <c r="C135" s="184"/>
    </row>
    <row r="136" spans="3:3" x14ac:dyDescent="0.2">
      <c r="C136" s="184"/>
    </row>
    <row r="137" spans="3:3" x14ac:dyDescent="0.2">
      <c r="C137" s="184"/>
    </row>
    <row r="138" spans="3:3" x14ac:dyDescent="0.2">
      <c r="C138" s="184"/>
    </row>
    <row r="139" spans="3:3" x14ac:dyDescent="0.2">
      <c r="C139" s="184"/>
    </row>
    <row r="140" spans="3:3" x14ac:dyDescent="0.2">
      <c r="C140" s="184"/>
    </row>
    <row r="141" spans="3:3" ht="13.5" x14ac:dyDescent="0.25">
      <c r="C141" s="185"/>
    </row>
    <row r="142" spans="3:3" x14ac:dyDescent="0.2">
      <c r="C142" s="184"/>
    </row>
    <row r="143" spans="3:3" x14ac:dyDescent="0.2">
      <c r="C143" s="184"/>
    </row>
    <row r="144" spans="3:3" x14ac:dyDescent="0.2">
      <c r="C144" s="184"/>
    </row>
    <row r="145" spans="3:4" x14ac:dyDescent="0.2">
      <c r="C145" s="184"/>
    </row>
    <row r="146" spans="3:4" x14ac:dyDescent="0.2">
      <c r="C146" s="184"/>
    </row>
    <row r="147" spans="3:4" x14ac:dyDescent="0.2">
      <c r="C147" s="184"/>
    </row>
    <row r="148" spans="3:4" ht="13.5" x14ac:dyDescent="0.25">
      <c r="D148" s="186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27"/>
  <sheetViews>
    <sheetView zoomScaleNormal="100" workbookViewId="0">
      <selection activeCell="E1" sqref="E1"/>
    </sheetView>
  </sheetViews>
  <sheetFormatPr defaultRowHeight="12.75" x14ac:dyDescent="0.2"/>
  <cols>
    <col min="1" max="1" width="33.28515625" style="181" customWidth="1"/>
    <col min="2" max="2" width="68.42578125" style="181" customWidth="1"/>
    <col min="3" max="3" width="31.7109375" style="181" customWidth="1"/>
    <col min="4" max="4" width="15.85546875" style="181" customWidth="1"/>
    <col min="5" max="5" width="16.140625" style="181" customWidth="1"/>
    <col min="6" max="6" width="16.5703125" customWidth="1"/>
    <col min="7" max="7" width="14.28515625" customWidth="1"/>
    <col min="8" max="8" width="22.42578125" customWidth="1"/>
    <col min="9" max="9" width="22.5703125" customWidth="1"/>
    <col min="10" max="12" width="9.28515625" bestFit="1" customWidth="1"/>
    <col min="13" max="13" width="10.7109375" bestFit="1" customWidth="1"/>
    <col min="256" max="256" width="52.5703125" customWidth="1"/>
    <col min="257" max="257" width="60" bestFit="1" customWidth="1"/>
    <col min="258" max="258" width="24.85546875" bestFit="1" customWidth="1"/>
    <col min="259" max="259" width="20.140625" customWidth="1"/>
    <col min="260" max="260" width="16.140625" customWidth="1"/>
    <col min="261" max="261" width="18" customWidth="1"/>
    <col min="262" max="262" width="16.5703125" customWidth="1"/>
    <col min="263" max="263" width="14.28515625" customWidth="1"/>
    <col min="264" max="264" width="22.42578125" customWidth="1"/>
    <col min="265" max="265" width="22.5703125" customWidth="1"/>
    <col min="266" max="268" width="9.28515625" bestFit="1" customWidth="1"/>
    <col min="269" max="269" width="10.7109375" bestFit="1" customWidth="1"/>
    <col min="512" max="512" width="52.5703125" customWidth="1"/>
    <col min="513" max="513" width="60" bestFit="1" customWidth="1"/>
    <col min="514" max="514" width="24.85546875" bestFit="1" customWidth="1"/>
    <col min="515" max="515" width="20.140625" customWidth="1"/>
    <col min="516" max="516" width="16.140625" customWidth="1"/>
    <col min="517" max="517" width="18" customWidth="1"/>
    <col min="518" max="518" width="16.5703125" customWidth="1"/>
    <col min="519" max="519" width="14.28515625" customWidth="1"/>
    <col min="520" max="520" width="22.42578125" customWidth="1"/>
    <col min="521" max="521" width="22.5703125" customWidth="1"/>
    <col min="522" max="524" width="9.28515625" bestFit="1" customWidth="1"/>
    <col min="525" max="525" width="10.7109375" bestFit="1" customWidth="1"/>
    <col min="768" max="768" width="52.5703125" customWidth="1"/>
    <col min="769" max="769" width="60" bestFit="1" customWidth="1"/>
    <col min="770" max="770" width="24.85546875" bestFit="1" customWidth="1"/>
    <col min="771" max="771" width="20.140625" customWidth="1"/>
    <col min="772" max="772" width="16.140625" customWidth="1"/>
    <col min="773" max="773" width="18" customWidth="1"/>
    <col min="774" max="774" width="16.5703125" customWidth="1"/>
    <col min="775" max="775" width="14.28515625" customWidth="1"/>
    <col min="776" max="776" width="22.42578125" customWidth="1"/>
    <col min="777" max="777" width="22.5703125" customWidth="1"/>
    <col min="778" max="780" width="9.28515625" bestFit="1" customWidth="1"/>
    <col min="781" max="781" width="10.7109375" bestFit="1" customWidth="1"/>
    <col min="1024" max="1024" width="52.5703125" customWidth="1"/>
    <col min="1025" max="1025" width="60" bestFit="1" customWidth="1"/>
    <col min="1026" max="1026" width="24.85546875" bestFit="1" customWidth="1"/>
    <col min="1027" max="1027" width="20.140625" customWidth="1"/>
    <col min="1028" max="1028" width="16.140625" customWidth="1"/>
    <col min="1029" max="1029" width="18" customWidth="1"/>
    <col min="1030" max="1030" width="16.5703125" customWidth="1"/>
    <col min="1031" max="1031" width="14.28515625" customWidth="1"/>
    <col min="1032" max="1032" width="22.42578125" customWidth="1"/>
    <col min="1033" max="1033" width="22.5703125" customWidth="1"/>
    <col min="1034" max="1036" width="9.28515625" bestFit="1" customWidth="1"/>
    <col min="1037" max="1037" width="10.7109375" bestFit="1" customWidth="1"/>
    <col min="1280" max="1280" width="52.5703125" customWidth="1"/>
    <col min="1281" max="1281" width="60" bestFit="1" customWidth="1"/>
    <col min="1282" max="1282" width="24.85546875" bestFit="1" customWidth="1"/>
    <col min="1283" max="1283" width="20.140625" customWidth="1"/>
    <col min="1284" max="1284" width="16.140625" customWidth="1"/>
    <col min="1285" max="1285" width="18" customWidth="1"/>
    <col min="1286" max="1286" width="16.5703125" customWidth="1"/>
    <col min="1287" max="1287" width="14.28515625" customWidth="1"/>
    <col min="1288" max="1288" width="22.42578125" customWidth="1"/>
    <col min="1289" max="1289" width="22.5703125" customWidth="1"/>
    <col min="1290" max="1292" width="9.28515625" bestFit="1" customWidth="1"/>
    <col min="1293" max="1293" width="10.7109375" bestFit="1" customWidth="1"/>
    <col min="1536" max="1536" width="52.5703125" customWidth="1"/>
    <col min="1537" max="1537" width="60" bestFit="1" customWidth="1"/>
    <col min="1538" max="1538" width="24.85546875" bestFit="1" customWidth="1"/>
    <col min="1539" max="1539" width="20.140625" customWidth="1"/>
    <col min="1540" max="1540" width="16.140625" customWidth="1"/>
    <col min="1541" max="1541" width="18" customWidth="1"/>
    <col min="1542" max="1542" width="16.5703125" customWidth="1"/>
    <col min="1543" max="1543" width="14.28515625" customWidth="1"/>
    <col min="1544" max="1544" width="22.42578125" customWidth="1"/>
    <col min="1545" max="1545" width="22.5703125" customWidth="1"/>
    <col min="1546" max="1548" width="9.28515625" bestFit="1" customWidth="1"/>
    <col min="1549" max="1549" width="10.7109375" bestFit="1" customWidth="1"/>
    <col min="1792" max="1792" width="52.5703125" customWidth="1"/>
    <col min="1793" max="1793" width="60" bestFit="1" customWidth="1"/>
    <col min="1794" max="1794" width="24.85546875" bestFit="1" customWidth="1"/>
    <col min="1795" max="1795" width="20.140625" customWidth="1"/>
    <col min="1796" max="1796" width="16.140625" customWidth="1"/>
    <col min="1797" max="1797" width="18" customWidth="1"/>
    <col min="1798" max="1798" width="16.5703125" customWidth="1"/>
    <col min="1799" max="1799" width="14.28515625" customWidth="1"/>
    <col min="1800" max="1800" width="22.42578125" customWidth="1"/>
    <col min="1801" max="1801" width="22.5703125" customWidth="1"/>
    <col min="1802" max="1804" width="9.28515625" bestFit="1" customWidth="1"/>
    <col min="1805" max="1805" width="10.7109375" bestFit="1" customWidth="1"/>
    <col min="2048" max="2048" width="52.5703125" customWidth="1"/>
    <col min="2049" max="2049" width="60" bestFit="1" customWidth="1"/>
    <col min="2050" max="2050" width="24.85546875" bestFit="1" customWidth="1"/>
    <col min="2051" max="2051" width="20.140625" customWidth="1"/>
    <col min="2052" max="2052" width="16.140625" customWidth="1"/>
    <col min="2053" max="2053" width="18" customWidth="1"/>
    <col min="2054" max="2054" width="16.5703125" customWidth="1"/>
    <col min="2055" max="2055" width="14.28515625" customWidth="1"/>
    <col min="2056" max="2056" width="22.42578125" customWidth="1"/>
    <col min="2057" max="2057" width="22.5703125" customWidth="1"/>
    <col min="2058" max="2060" width="9.28515625" bestFit="1" customWidth="1"/>
    <col min="2061" max="2061" width="10.7109375" bestFit="1" customWidth="1"/>
    <col min="2304" max="2304" width="52.5703125" customWidth="1"/>
    <col min="2305" max="2305" width="60" bestFit="1" customWidth="1"/>
    <col min="2306" max="2306" width="24.85546875" bestFit="1" customWidth="1"/>
    <col min="2307" max="2307" width="20.140625" customWidth="1"/>
    <col min="2308" max="2308" width="16.140625" customWidth="1"/>
    <col min="2309" max="2309" width="18" customWidth="1"/>
    <col min="2310" max="2310" width="16.5703125" customWidth="1"/>
    <col min="2311" max="2311" width="14.28515625" customWidth="1"/>
    <col min="2312" max="2312" width="22.42578125" customWidth="1"/>
    <col min="2313" max="2313" width="22.5703125" customWidth="1"/>
    <col min="2314" max="2316" width="9.28515625" bestFit="1" customWidth="1"/>
    <col min="2317" max="2317" width="10.7109375" bestFit="1" customWidth="1"/>
    <col min="2560" max="2560" width="52.5703125" customWidth="1"/>
    <col min="2561" max="2561" width="60" bestFit="1" customWidth="1"/>
    <col min="2562" max="2562" width="24.85546875" bestFit="1" customWidth="1"/>
    <col min="2563" max="2563" width="20.140625" customWidth="1"/>
    <col min="2564" max="2564" width="16.140625" customWidth="1"/>
    <col min="2565" max="2565" width="18" customWidth="1"/>
    <col min="2566" max="2566" width="16.5703125" customWidth="1"/>
    <col min="2567" max="2567" width="14.28515625" customWidth="1"/>
    <col min="2568" max="2568" width="22.42578125" customWidth="1"/>
    <col min="2569" max="2569" width="22.5703125" customWidth="1"/>
    <col min="2570" max="2572" width="9.28515625" bestFit="1" customWidth="1"/>
    <col min="2573" max="2573" width="10.7109375" bestFit="1" customWidth="1"/>
    <col min="2816" max="2816" width="52.5703125" customWidth="1"/>
    <col min="2817" max="2817" width="60" bestFit="1" customWidth="1"/>
    <col min="2818" max="2818" width="24.85546875" bestFit="1" customWidth="1"/>
    <col min="2819" max="2819" width="20.140625" customWidth="1"/>
    <col min="2820" max="2820" width="16.140625" customWidth="1"/>
    <col min="2821" max="2821" width="18" customWidth="1"/>
    <col min="2822" max="2822" width="16.5703125" customWidth="1"/>
    <col min="2823" max="2823" width="14.28515625" customWidth="1"/>
    <col min="2824" max="2824" width="22.42578125" customWidth="1"/>
    <col min="2825" max="2825" width="22.5703125" customWidth="1"/>
    <col min="2826" max="2828" width="9.28515625" bestFit="1" customWidth="1"/>
    <col min="2829" max="2829" width="10.7109375" bestFit="1" customWidth="1"/>
    <col min="3072" max="3072" width="52.5703125" customWidth="1"/>
    <col min="3073" max="3073" width="60" bestFit="1" customWidth="1"/>
    <col min="3074" max="3074" width="24.85546875" bestFit="1" customWidth="1"/>
    <col min="3075" max="3075" width="20.140625" customWidth="1"/>
    <col min="3076" max="3076" width="16.140625" customWidth="1"/>
    <col min="3077" max="3077" width="18" customWidth="1"/>
    <col min="3078" max="3078" width="16.5703125" customWidth="1"/>
    <col min="3079" max="3079" width="14.28515625" customWidth="1"/>
    <col min="3080" max="3080" width="22.42578125" customWidth="1"/>
    <col min="3081" max="3081" width="22.5703125" customWidth="1"/>
    <col min="3082" max="3084" width="9.28515625" bestFit="1" customWidth="1"/>
    <col min="3085" max="3085" width="10.7109375" bestFit="1" customWidth="1"/>
    <col min="3328" max="3328" width="52.5703125" customWidth="1"/>
    <col min="3329" max="3329" width="60" bestFit="1" customWidth="1"/>
    <col min="3330" max="3330" width="24.85546875" bestFit="1" customWidth="1"/>
    <col min="3331" max="3331" width="20.140625" customWidth="1"/>
    <col min="3332" max="3332" width="16.140625" customWidth="1"/>
    <col min="3333" max="3333" width="18" customWidth="1"/>
    <col min="3334" max="3334" width="16.5703125" customWidth="1"/>
    <col min="3335" max="3335" width="14.28515625" customWidth="1"/>
    <col min="3336" max="3336" width="22.42578125" customWidth="1"/>
    <col min="3337" max="3337" width="22.5703125" customWidth="1"/>
    <col min="3338" max="3340" width="9.28515625" bestFit="1" customWidth="1"/>
    <col min="3341" max="3341" width="10.7109375" bestFit="1" customWidth="1"/>
    <col min="3584" max="3584" width="52.5703125" customWidth="1"/>
    <col min="3585" max="3585" width="60" bestFit="1" customWidth="1"/>
    <col min="3586" max="3586" width="24.85546875" bestFit="1" customWidth="1"/>
    <col min="3587" max="3587" width="20.140625" customWidth="1"/>
    <col min="3588" max="3588" width="16.140625" customWidth="1"/>
    <col min="3589" max="3589" width="18" customWidth="1"/>
    <col min="3590" max="3590" width="16.5703125" customWidth="1"/>
    <col min="3591" max="3591" width="14.28515625" customWidth="1"/>
    <col min="3592" max="3592" width="22.42578125" customWidth="1"/>
    <col min="3593" max="3593" width="22.5703125" customWidth="1"/>
    <col min="3594" max="3596" width="9.28515625" bestFit="1" customWidth="1"/>
    <col min="3597" max="3597" width="10.7109375" bestFit="1" customWidth="1"/>
    <col min="3840" max="3840" width="52.5703125" customWidth="1"/>
    <col min="3841" max="3841" width="60" bestFit="1" customWidth="1"/>
    <col min="3842" max="3842" width="24.85546875" bestFit="1" customWidth="1"/>
    <col min="3843" max="3843" width="20.140625" customWidth="1"/>
    <col min="3844" max="3844" width="16.140625" customWidth="1"/>
    <col min="3845" max="3845" width="18" customWidth="1"/>
    <col min="3846" max="3846" width="16.5703125" customWidth="1"/>
    <col min="3847" max="3847" width="14.28515625" customWidth="1"/>
    <col min="3848" max="3848" width="22.42578125" customWidth="1"/>
    <col min="3849" max="3849" width="22.5703125" customWidth="1"/>
    <col min="3850" max="3852" width="9.28515625" bestFit="1" customWidth="1"/>
    <col min="3853" max="3853" width="10.7109375" bestFit="1" customWidth="1"/>
    <col min="4096" max="4096" width="52.5703125" customWidth="1"/>
    <col min="4097" max="4097" width="60" bestFit="1" customWidth="1"/>
    <col min="4098" max="4098" width="24.85546875" bestFit="1" customWidth="1"/>
    <col min="4099" max="4099" width="20.140625" customWidth="1"/>
    <col min="4100" max="4100" width="16.140625" customWidth="1"/>
    <col min="4101" max="4101" width="18" customWidth="1"/>
    <col min="4102" max="4102" width="16.5703125" customWidth="1"/>
    <col min="4103" max="4103" width="14.28515625" customWidth="1"/>
    <col min="4104" max="4104" width="22.42578125" customWidth="1"/>
    <col min="4105" max="4105" width="22.5703125" customWidth="1"/>
    <col min="4106" max="4108" width="9.28515625" bestFit="1" customWidth="1"/>
    <col min="4109" max="4109" width="10.7109375" bestFit="1" customWidth="1"/>
    <col min="4352" max="4352" width="52.5703125" customWidth="1"/>
    <col min="4353" max="4353" width="60" bestFit="1" customWidth="1"/>
    <col min="4354" max="4354" width="24.85546875" bestFit="1" customWidth="1"/>
    <col min="4355" max="4355" width="20.140625" customWidth="1"/>
    <col min="4356" max="4356" width="16.140625" customWidth="1"/>
    <col min="4357" max="4357" width="18" customWidth="1"/>
    <col min="4358" max="4358" width="16.5703125" customWidth="1"/>
    <col min="4359" max="4359" width="14.28515625" customWidth="1"/>
    <col min="4360" max="4360" width="22.42578125" customWidth="1"/>
    <col min="4361" max="4361" width="22.5703125" customWidth="1"/>
    <col min="4362" max="4364" width="9.28515625" bestFit="1" customWidth="1"/>
    <col min="4365" max="4365" width="10.7109375" bestFit="1" customWidth="1"/>
    <col min="4608" max="4608" width="52.5703125" customWidth="1"/>
    <col min="4609" max="4609" width="60" bestFit="1" customWidth="1"/>
    <col min="4610" max="4610" width="24.85546875" bestFit="1" customWidth="1"/>
    <col min="4611" max="4611" width="20.140625" customWidth="1"/>
    <col min="4612" max="4612" width="16.140625" customWidth="1"/>
    <col min="4613" max="4613" width="18" customWidth="1"/>
    <col min="4614" max="4614" width="16.5703125" customWidth="1"/>
    <col min="4615" max="4615" width="14.28515625" customWidth="1"/>
    <col min="4616" max="4616" width="22.42578125" customWidth="1"/>
    <col min="4617" max="4617" width="22.5703125" customWidth="1"/>
    <col min="4618" max="4620" width="9.28515625" bestFit="1" customWidth="1"/>
    <col min="4621" max="4621" width="10.7109375" bestFit="1" customWidth="1"/>
    <col min="4864" max="4864" width="52.5703125" customWidth="1"/>
    <col min="4865" max="4865" width="60" bestFit="1" customWidth="1"/>
    <col min="4866" max="4866" width="24.85546875" bestFit="1" customWidth="1"/>
    <col min="4867" max="4867" width="20.140625" customWidth="1"/>
    <col min="4868" max="4868" width="16.140625" customWidth="1"/>
    <col min="4869" max="4869" width="18" customWidth="1"/>
    <col min="4870" max="4870" width="16.5703125" customWidth="1"/>
    <col min="4871" max="4871" width="14.28515625" customWidth="1"/>
    <col min="4872" max="4872" width="22.42578125" customWidth="1"/>
    <col min="4873" max="4873" width="22.5703125" customWidth="1"/>
    <col min="4874" max="4876" width="9.28515625" bestFit="1" customWidth="1"/>
    <col min="4877" max="4877" width="10.7109375" bestFit="1" customWidth="1"/>
    <col min="5120" max="5120" width="52.5703125" customWidth="1"/>
    <col min="5121" max="5121" width="60" bestFit="1" customWidth="1"/>
    <col min="5122" max="5122" width="24.85546875" bestFit="1" customWidth="1"/>
    <col min="5123" max="5123" width="20.140625" customWidth="1"/>
    <col min="5124" max="5124" width="16.140625" customWidth="1"/>
    <col min="5125" max="5125" width="18" customWidth="1"/>
    <col min="5126" max="5126" width="16.5703125" customWidth="1"/>
    <col min="5127" max="5127" width="14.28515625" customWidth="1"/>
    <col min="5128" max="5128" width="22.42578125" customWidth="1"/>
    <col min="5129" max="5129" width="22.5703125" customWidth="1"/>
    <col min="5130" max="5132" width="9.28515625" bestFit="1" customWidth="1"/>
    <col min="5133" max="5133" width="10.7109375" bestFit="1" customWidth="1"/>
    <col min="5376" max="5376" width="52.5703125" customWidth="1"/>
    <col min="5377" max="5377" width="60" bestFit="1" customWidth="1"/>
    <col min="5378" max="5378" width="24.85546875" bestFit="1" customWidth="1"/>
    <col min="5379" max="5379" width="20.140625" customWidth="1"/>
    <col min="5380" max="5380" width="16.140625" customWidth="1"/>
    <col min="5381" max="5381" width="18" customWidth="1"/>
    <col min="5382" max="5382" width="16.5703125" customWidth="1"/>
    <col min="5383" max="5383" width="14.28515625" customWidth="1"/>
    <col min="5384" max="5384" width="22.42578125" customWidth="1"/>
    <col min="5385" max="5385" width="22.5703125" customWidth="1"/>
    <col min="5386" max="5388" width="9.28515625" bestFit="1" customWidth="1"/>
    <col min="5389" max="5389" width="10.7109375" bestFit="1" customWidth="1"/>
    <col min="5632" max="5632" width="52.5703125" customWidth="1"/>
    <col min="5633" max="5633" width="60" bestFit="1" customWidth="1"/>
    <col min="5634" max="5634" width="24.85546875" bestFit="1" customWidth="1"/>
    <col min="5635" max="5635" width="20.140625" customWidth="1"/>
    <col min="5636" max="5636" width="16.140625" customWidth="1"/>
    <col min="5637" max="5637" width="18" customWidth="1"/>
    <col min="5638" max="5638" width="16.5703125" customWidth="1"/>
    <col min="5639" max="5639" width="14.28515625" customWidth="1"/>
    <col min="5640" max="5640" width="22.42578125" customWidth="1"/>
    <col min="5641" max="5641" width="22.5703125" customWidth="1"/>
    <col min="5642" max="5644" width="9.28515625" bestFit="1" customWidth="1"/>
    <col min="5645" max="5645" width="10.7109375" bestFit="1" customWidth="1"/>
    <col min="5888" max="5888" width="52.5703125" customWidth="1"/>
    <col min="5889" max="5889" width="60" bestFit="1" customWidth="1"/>
    <col min="5890" max="5890" width="24.85546875" bestFit="1" customWidth="1"/>
    <col min="5891" max="5891" width="20.140625" customWidth="1"/>
    <col min="5892" max="5892" width="16.140625" customWidth="1"/>
    <col min="5893" max="5893" width="18" customWidth="1"/>
    <col min="5894" max="5894" width="16.5703125" customWidth="1"/>
    <col min="5895" max="5895" width="14.28515625" customWidth="1"/>
    <col min="5896" max="5896" width="22.42578125" customWidth="1"/>
    <col min="5897" max="5897" width="22.5703125" customWidth="1"/>
    <col min="5898" max="5900" width="9.28515625" bestFit="1" customWidth="1"/>
    <col min="5901" max="5901" width="10.7109375" bestFit="1" customWidth="1"/>
    <col min="6144" max="6144" width="52.5703125" customWidth="1"/>
    <col min="6145" max="6145" width="60" bestFit="1" customWidth="1"/>
    <col min="6146" max="6146" width="24.85546875" bestFit="1" customWidth="1"/>
    <col min="6147" max="6147" width="20.140625" customWidth="1"/>
    <col min="6148" max="6148" width="16.140625" customWidth="1"/>
    <col min="6149" max="6149" width="18" customWidth="1"/>
    <col min="6150" max="6150" width="16.5703125" customWidth="1"/>
    <col min="6151" max="6151" width="14.28515625" customWidth="1"/>
    <col min="6152" max="6152" width="22.42578125" customWidth="1"/>
    <col min="6153" max="6153" width="22.5703125" customWidth="1"/>
    <col min="6154" max="6156" width="9.28515625" bestFit="1" customWidth="1"/>
    <col min="6157" max="6157" width="10.7109375" bestFit="1" customWidth="1"/>
    <col min="6400" max="6400" width="52.5703125" customWidth="1"/>
    <col min="6401" max="6401" width="60" bestFit="1" customWidth="1"/>
    <col min="6402" max="6402" width="24.85546875" bestFit="1" customWidth="1"/>
    <col min="6403" max="6403" width="20.140625" customWidth="1"/>
    <col min="6404" max="6404" width="16.140625" customWidth="1"/>
    <col min="6405" max="6405" width="18" customWidth="1"/>
    <col min="6406" max="6406" width="16.5703125" customWidth="1"/>
    <col min="6407" max="6407" width="14.28515625" customWidth="1"/>
    <col min="6408" max="6408" width="22.42578125" customWidth="1"/>
    <col min="6409" max="6409" width="22.5703125" customWidth="1"/>
    <col min="6410" max="6412" width="9.28515625" bestFit="1" customWidth="1"/>
    <col min="6413" max="6413" width="10.7109375" bestFit="1" customWidth="1"/>
    <col min="6656" max="6656" width="52.5703125" customWidth="1"/>
    <col min="6657" max="6657" width="60" bestFit="1" customWidth="1"/>
    <col min="6658" max="6658" width="24.85546875" bestFit="1" customWidth="1"/>
    <col min="6659" max="6659" width="20.140625" customWidth="1"/>
    <col min="6660" max="6660" width="16.140625" customWidth="1"/>
    <col min="6661" max="6661" width="18" customWidth="1"/>
    <col min="6662" max="6662" width="16.5703125" customWidth="1"/>
    <col min="6663" max="6663" width="14.28515625" customWidth="1"/>
    <col min="6664" max="6664" width="22.42578125" customWidth="1"/>
    <col min="6665" max="6665" width="22.5703125" customWidth="1"/>
    <col min="6666" max="6668" width="9.28515625" bestFit="1" customWidth="1"/>
    <col min="6669" max="6669" width="10.7109375" bestFit="1" customWidth="1"/>
    <col min="6912" max="6912" width="52.5703125" customWidth="1"/>
    <col min="6913" max="6913" width="60" bestFit="1" customWidth="1"/>
    <col min="6914" max="6914" width="24.85546875" bestFit="1" customWidth="1"/>
    <col min="6915" max="6915" width="20.140625" customWidth="1"/>
    <col min="6916" max="6916" width="16.140625" customWidth="1"/>
    <col min="6917" max="6917" width="18" customWidth="1"/>
    <col min="6918" max="6918" width="16.5703125" customWidth="1"/>
    <col min="6919" max="6919" width="14.28515625" customWidth="1"/>
    <col min="6920" max="6920" width="22.42578125" customWidth="1"/>
    <col min="6921" max="6921" width="22.5703125" customWidth="1"/>
    <col min="6922" max="6924" width="9.28515625" bestFit="1" customWidth="1"/>
    <col min="6925" max="6925" width="10.7109375" bestFit="1" customWidth="1"/>
    <col min="7168" max="7168" width="52.5703125" customWidth="1"/>
    <col min="7169" max="7169" width="60" bestFit="1" customWidth="1"/>
    <col min="7170" max="7170" width="24.85546875" bestFit="1" customWidth="1"/>
    <col min="7171" max="7171" width="20.140625" customWidth="1"/>
    <col min="7172" max="7172" width="16.140625" customWidth="1"/>
    <col min="7173" max="7173" width="18" customWidth="1"/>
    <col min="7174" max="7174" width="16.5703125" customWidth="1"/>
    <col min="7175" max="7175" width="14.28515625" customWidth="1"/>
    <col min="7176" max="7176" width="22.42578125" customWidth="1"/>
    <col min="7177" max="7177" width="22.5703125" customWidth="1"/>
    <col min="7178" max="7180" width="9.28515625" bestFit="1" customWidth="1"/>
    <col min="7181" max="7181" width="10.7109375" bestFit="1" customWidth="1"/>
    <col min="7424" max="7424" width="52.5703125" customWidth="1"/>
    <col min="7425" max="7425" width="60" bestFit="1" customWidth="1"/>
    <col min="7426" max="7426" width="24.85546875" bestFit="1" customWidth="1"/>
    <col min="7427" max="7427" width="20.140625" customWidth="1"/>
    <col min="7428" max="7428" width="16.140625" customWidth="1"/>
    <col min="7429" max="7429" width="18" customWidth="1"/>
    <col min="7430" max="7430" width="16.5703125" customWidth="1"/>
    <col min="7431" max="7431" width="14.28515625" customWidth="1"/>
    <col min="7432" max="7432" width="22.42578125" customWidth="1"/>
    <col min="7433" max="7433" width="22.5703125" customWidth="1"/>
    <col min="7434" max="7436" width="9.28515625" bestFit="1" customWidth="1"/>
    <col min="7437" max="7437" width="10.7109375" bestFit="1" customWidth="1"/>
    <col min="7680" max="7680" width="52.5703125" customWidth="1"/>
    <col min="7681" max="7681" width="60" bestFit="1" customWidth="1"/>
    <col min="7682" max="7682" width="24.85546875" bestFit="1" customWidth="1"/>
    <col min="7683" max="7683" width="20.140625" customWidth="1"/>
    <col min="7684" max="7684" width="16.140625" customWidth="1"/>
    <col min="7685" max="7685" width="18" customWidth="1"/>
    <col min="7686" max="7686" width="16.5703125" customWidth="1"/>
    <col min="7687" max="7687" width="14.28515625" customWidth="1"/>
    <col min="7688" max="7688" width="22.42578125" customWidth="1"/>
    <col min="7689" max="7689" width="22.5703125" customWidth="1"/>
    <col min="7690" max="7692" width="9.28515625" bestFit="1" customWidth="1"/>
    <col min="7693" max="7693" width="10.7109375" bestFit="1" customWidth="1"/>
    <col min="7936" max="7936" width="52.5703125" customWidth="1"/>
    <col min="7937" max="7937" width="60" bestFit="1" customWidth="1"/>
    <col min="7938" max="7938" width="24.85546875" bestFit="1" customWidth="1"/>
    <col min="7939" max="7939" width="20.140625" customWidth="1"/>
    <col min="7940" max="7940" width="16.140625" customWidth="1"/>
    <col min="7941" max="7941" width="18" customWidth="1"/>
    <col min="7942" max="7942" width="16.5703125" customWidth="1"/>
    <col min="7943" max="7943" width="14.28515625" customWidth="1"/>
    <col min="7944" max="7944" width="22.42578125" customWidth="1"/>
    <col min="7945" max="7945" width="22.5703125" customWidth="1"/>
    <col min="7946" max="7948" width="9.28515625" bestFit="1" customWidth="1"/>
    <col min="7949" max="7949" width="10.7109375" bestFit="1" customWidth="1"/>
    <col min="8192" max="8192" width="52.5703125" customWidth="1"/>
    <col min="8193" max="8193" width="60" bestFit="1" customWidth="1"/>
    <col min="8194" max="8194" width="24.85546875" bestFit="1" customWidth="1"/>
    <col min="8195" max="8195" width="20.140625" customWidth="1"/>
    <col min="8196" max="8196" width="16.140625" customWidth="1"/>
    <col min="8197" max="8197" width="18" customWidth="1"/>
    <col min="8198" max="8198" width="16.5703125" customWidth="1"/>
    <col min="8199" max="8199" width="14.28515625" customWidth="1"/>
    <col min="8200" max="8200" width="22.42578125" customWidth="1"/>
    <col min="8201" max="8201" width="22.5703125" customWidth="1"/>
    <col min="8202" max="8204" width="9.28515625" bestFit="1" customWidth="1"/>
    <col min="8205" max="8205" width="10.7109375" bestFit="1" customWidth="1"/>
    <col min="8448" max="8448" width="52.5703125" customWidth="1"/>
    <col min="8449" max="8449" width="60" bestFit="1" customWidth="1"/>
    <col min="8450" max="8450" width="24.85546875" bestFit="1" customWidth="1"/>
    <col min="8451" max="8451" width="20.140625" customWidth="1"/>
    <col min="8452" max="8452" width="16.140625" customWidth="1"/>
    <col min="8453" max="8453" width="18" customWidth="1"/>
    <col min="8454" max="8454" width="16.5703125" customWidth="1"/>
    <col min="8455" max="8455" width="14.28515625" customWidth="1"/>
    <col min="8456" max="8456" width="22.42578125" customWidth="1"/>
    <col min="8457" max="8457" width="22.5703125" customWidth="1"/>
    <col min="8458" max="8460" width="9.28515625" bestFit="1" customWidth="1"/>
    <col min="8461" max="8461" width="10.7109375" bestFit="1" customWidth="1"/>
    <col min="8704" max="8704" width="52.5703125" customWidth="1"/>
    <col min="8705" max="8705" width="60" bestFit="1" customWidth="1"/>
    <col min="8706" max="8706" width="24.85546875" bestFit="1" customWidth="1"/>
    <col min="8707" max="8707" width="20.140625" customWidth="1"/>
    <col min="8708" max="8708" width="16.140625" customWidth="1"/>
    <col min="8709" max="8709" width="18" customWidth="1"/>
    <col min="8710" max="8710" width="16.5703125" customWidth="1"/>
    <col min="8711" max="8711" width="14.28515625" customWidth="1"/>
    <col min="8712" max="8712" width="22.42578125" customWidth="1"/>
    <col min="8713" max="8713" width="22.5703125" customWidth="1"/>
    <col min="8714" max="8716" width="9.28515625" bestFit="1" customWidth="1"/>
    <col min="8717" max="8717" width="10.7109375" bestFit="1" customWidth="1"/>
    <col min="8960" max="8960" width="52.5703125" customWidth="1"/>
    <col min="8961" max="8961" width="60" bestFit="1" customWidth="1"/>
    <col min="8962" max="8962" width="24.85546875" bestFit="1" customWidth="1"/>
    <col min="8963" max="8963" width="20.140625" customWidth="1"/>
    <col min="8964" max="8964" width="16.140625" customWidth="1"/>
    <col min="8965" max="8965" width="18" customWidth="1"/>
    <col min="8966" max="8966" width="16.5703125" customWidth="1"/>
    <col min="8967" max="8967" width="14.28515625" customWidth="1"/>
    <col min="8968" max="8968" width="22.42578125" customWidth="1"/>
    <col min="8969" max="8969" width="22.5703125" customWidth="1"/>
    <col min="8970" max="8972" width="9.28515625" bestFit="1" customWidth="1"/>
    <col min="8973" max="8973" width="10.7109375" bestFit="1" customWidth="1"/>
    <col min="9216" max="9216" width="52.5703125" customWidth="1"/>
    <col min="9217" max="9217" width="60" bestFit="1" customWidth="1"/>
    <col min="9218" max="9218" width="24.85546875" bestFit="1" customWidth="1"/>
    <col min="9219" max="9219" width="20.140625" customWidth="1"/>
    <col min="9220" max="9220" width="16.140625" customWidth="1"/>
    <col min="9221" max="9221" width="18" customWidth="1"/>
    <col min="9222" max="9222" width="16.5703125" customWidth="1"/>
    <col min="9223" max="9223" width="14.28515625" customWidth="1"/>
    <col min="9224" max="9224" width="22.42578125" customWidth="1"/>
    <col min="9225" max="9225" width="22.5703125" customWidth="1"/>
    <col min="9226" max="9228" width="9.28515625" bestFit="1" customWidth="1"/>
    <col min="9229" max="9229" width="10.7109375" bestFit="1" customWidth="1"/>
    <col min="9472" max="9472" width="52.5703125" customWidth="1"/>
    <col min="9473" max="9473" width="60" bestFit="1" customWidth="1"/>
    <col min="9474" max="9474" width="24.85546875" bestFit="1" customWidth="1"/>
    <col min="9475" max="9475" width="20.140625" customWidth="1"/>
    <col min="9476" max="9476" width="16.140625" customWidth="1"/>
    <col min="9477" max="9477" width="18" customWidth="1"/>
    <col min="9478" max="9478" width="16.5703125" customWidth="1"/>
    <col min="9479" max="9479" width="14.28515625" customWidth="1"/>
    <col min="9480" max="9480" width="22.42578125" customWidth="1"/>
    <col min="9481" max="9481" width="22.5703125" customWidth="1"/>
    <col min="9482" max="9484" width="9.28515625" bestFit="1" customWidth="1"/>
    <col min="9485" max="9485" width="10.7109375" bestFit="1" customWidth="1"/>
    <col min="9728" max="9728" width="52.5703125" customWidth="1"/>
    <col min="9729" max="9729" width="60" bestFit="1" customWidth="1"/>
    <col min="9730" max="9730" width="24.85546875" bestFit="1" customWidth="1"/>
    <col min="9731" max="9731" width="20.140625" customWidth="1"/>
    <col min="9732" max="9732" width="16.140625" customWidth="1"/>
    <col min="9733" max="9733" width="18" customWidth="1"/>
    <col min="9734" max="9734" width="16.5703125" customWidth="1"/>
    <col min="9735" max="9735" width="14.28515625" customWidth="1"/>
    <col min="9736" max="9736" width="22.42578125" customWidth="1"/>
    <col min="9737" max="9737" width="22.5703125" customWidth="1"/>
    <col min="9738" max="9740" width="9.28515625" bestFit="1" customWidth="1"/>
    <col min="9741" max="9741" width="10.7109375" bestFit="1" customWidth="1"/>
    <col min="9984" max="9984" width="52.5703125" customWidth="1"/>
    <col min="9985" max="9985" width="60" bestFit="1" customWidth="1"/>
    <col min="9986" max="9986" width="24.85546875" bestFit="1" customWidth="1"/>
    <col min="9987" max="9987" width="20.140625" customWidth="1"/>
    <col min="9988" max="9988" width="16.140625" customWidth="1"/>
    <col min="9989" max="9989" width="18" customWidth="1"/>
    <col min="9990" max="9990" width="16.5703125" customWidth="1"/>
    <col min="9991" max="9991" width="14.28515625" customWidth="1"/>
    <col min="9992" max="9992" width="22.42578125" customWidth="1"/>
    <col min="9993" max="9993" width="22.5703125" customWidth="1"/>
    <col min="9994" max="9996" width="9.28515625" bestFit="1" customWidth="1"/>
    <col min="9997" max="9997" width="10.7109375" bestFit="1" customWidth="1"/>
    <col min="10240" max="10240" width="52.5703125" customWidth="1"/>
    <col min="10241" max="10241" width="60" bestFit="1" customWidth="1"/>
    <col min="10242" max="10242" width="24.85546875" bestFit="1" customWidth="1"/>
    <col min="10243" max="10243" width="20.140625" customWidth="1"/>
    <col min="10244" max="10244" width="16.140625" customWidth="1"/>
    <col min="10245" max="10245" width="18" customWidth="1"/>
    <col min="10246" max="10246" width="16.5703125" customWidth="1"/>
    <col min="10247" max="10247" width="14.28515625" customWidth="1"/>
    <col min="10248" max="10248" width="22.42578125" customWidth="1"/>
    <col min="10249" max="10249" width="22.5703125" customWidth="1"/>
    <col min="10250" max="10252" width="9.28515625" bestFit="1" customWidth="1"/>
    <col min="10253" max="10253" width="10.7109375" bestFit="1" customWidth="1"/>
    <col min="10496" max="10496" width="52.5703125" customWidth="1"/>
    <col min="10497" max="10497" width="60" bestFit="1" customWidth="1"/>
    <col min="10498" max="10498" width="24.85546875" bestFit="1" customWidth="1"/>
    <col min="10499" max="10499" width="20.140625" customWidth="1"/>
    <col min="10500" max="10500" width="16.140625" customWidth="1"/>
    <col min="10501" max="10501" width="18" customWidth="1"/>
    <col min="10502" max="10502" width="16.5703125" customWidth="1"/>
    <col min="10503" max="10503" width="14.28515625" customWidth="1"/>
    <col min="10504" max="10504" width="22.42578125" customWidth="1"/>
    <col min="10505" max="10505" width="22.5703125" customWidth="1"/>
    <col min="10506" max="10508" width="9.28515625" bestFit="1" customWidth="1"/>
    <col min="10509" max="10509" width="10.7109375" bestFit="1" customWidth="1"/>
    <col min="10752" max="10752" width="52.5703125" customWidth="1"/>
    <col min="10753" max="10753" width="60" bestFit="1" customWidth="1"/>
    <col min="10754" max="10754" width="24.85546875" bestFit="1" customWidth="1"/>
    <col min="10755" max="10755" width="20.140625" customWidth="1"/>
    <col min="10756" max="10756" width="16.140625" customWidth="1"/>
    <col min="10757" max="10757" width="18" customWidth="1"/>
    <col min="10758" max="10758" width="16.5703125" customWidth="1"/>
    <col min="10759" max="10759" width="14.28515625" customWidth="1"/>
    <col min="10760" max="10760" width="22.42578125" customWidth="1"/>
    <col min="10761" max="10761" width="22.5703125" customWidth="1"/>
    <col min="10762" max="10764" width="9.28515625" bestFit="1" customWidth="1"/>
    <col min="10765" max="10765" width="10.7109375" bestFit="1" customWidth="1"/>
    <col min="11008" max="11008" width="52.5703125" customWidth="1"/>
    <col min="11009" max="11009" width="60" bestFit="1" customWidth="1"/>
    <col min="11010" max="11010" width="24.85546875" bestFit="1" customWidth="1"/>
    <col min="11011" max="11011" width="20.140625" customWidth="1"/>
    <col min="11012" max="11012" width="16.140625" customWidth="1"/>
    <col min="11013" max="11013" width="18" customWidth="1"/>
    <col min="11014" max="11014" width="16.5703125" customWidth="1"/>
    <col min="11015" max="11015" width="14.28515625" customWidth="1"/>
    <col min="11016" max="11016" width="22.42578125" customWidth="1"/>
    <col min="11017" max="11017" width="22.5703125" customWidth="1"/>
    <col min="11018" max="11020" width="9.28515625" bestFit="1" customWidth="1"/>
    <col min="11021" max="11021" width="10.7109375" bestFit="1" customWidth="1"/>
    <col min="11264" max="11264" width="52.5703125" customWidth="1"/>
    <col min="11265" max="11265" width="60" bestFit="1" customWidth="1"/>
    <col min="11266" max="11266" width="24.85546875" bestFit="1" customWidth="1"/>
    <col min="11267" max="11267" width="20.140625" customWidth="1"/>
    <col min="11268" max="11268" width="16.140625" customWidth="1"/>
    <col min="11269" max="11269" width="18" customWidth="1"/>
    <col min="11270" max="11270" width="16.5703125" customWidth="1"/>
    <col min="11271" max="11271" width="14.28515625" customWidth="1"/>
    <col min="11272" max="11272" width="22.42578125" customWidth="1"/>
    <col min="11273" max="11273" width="22.5703125" customWidth="1"/>
    <col min="11274" max="11276" width="9.28515625" bestFit="1" customWidth="1"/>
    <col min="11277" max="11277" width="10.7109375" bestFit="1" customWidth="1"/>
    <col min="11520" max="11520" width="52.5703125" customWidth="1"/>
    <col min="11521" max="11521" width="60" bestFit="1" customWidth="1"/>
    <col min="11522" max="11522" width="24.85546875" bestFit="1" customWidth="1"/>
    <col min="11523" max="11523" width="20.140625" customWidth="1"/>
    <col min="11524" max="11524" width="16.140625" customWidth="1"/>
    <col min="11525" max="11525" width="18" customWidth="1"/>
    <col min="11526" max="11526" width="16.5703125" customWidth="1"/>
    <col min="11527" max="11527" width="14.28515625" customWidth="1"/>
    <col min="11528" max="11528" width="22.42578125" customWidth="1"/>
    <col min="11529" max="11529" width="22.5703125" customWidth="1"/>
    <col min="11530" max="11532" width="9.28515625" bestFit="1" customWidth="1"/>
    <col min="11533" max="11533" width="10.7109375" bestFit="1" customWidth="1"/>
    <col min="11776" max="11776" width="52.5703125" customWidth="1"/>
    <col min="11777" max="11777" width="60" bestFit="1" customWidth="1"/>
    <col min="11778" max="11778" width="24.85546875" bestFit="1" customWidth="1"/>
    <col min="11779" max="11779" width="20.140625" customWidth="1"/>
    <col min="11780" max="11780" width="16.140625" customWidth="1"/>
    <col min="11781" max="11781" width="18" customWidth="1"/>
    <col min="11782" max="11782" width="16.5703125" customWidth="1"/>
    <col min="11783" max="11783" width="14.28515625" customWidth="1"/>
    <col min="11784" max="11784" width="22.42578125" customWidth="1"/>
    <col min="11785" max="11785" width="22.5703125" customWidth="1"/>
    <col min="11786" max="11788" width="9.28515625" bestFit="1" customWidth="1"/>
    <col min="11789" max="11789" width="10.7109375" bestFit="1" customWidth="1"/>
    <col min="12032" max="12032" width="52.5703125" customWidth="1"/>
    <col min="12033" max="12033" width="60" bestFit="1" customWidth="1"/>
    <col min="12034" max="12034" width="24.85546875" bestFit="1" customWidth="1"/>
    <col min="12035" max="12035" width="20.140625" customWidth="1"/>
    <col min="12036" max="12036" width="16.140625" customWidth="1"/>
    <col min="12037" max="12037" width="18" customWidth="1"/>
    <col min="12038" max="12038" width="16.5703125" customWidth="1"/>
    <col min="12039" max="12039" width="14.28515625" customWidth="1"/>
    <col min="12040" max="12040" width="22.42578125" customWidth="1"/>
    <col min="12041" max="12041" width="22.5703125" customWidth="1"/>
    <col min="12042" max="12044" width="9.28515625" bestFit="1" customWidth="1"/>
    <col min="12045" max="12045" width="10.7109375" bestFit="1" customWidth="1"/>
    <col min="12288" max="12288" width="52.5703125" customWidth="1"/>
    <col min="12289" max="12289" width="60" bestFit="1" customWidth="1"/>
    <col min="12290" max="12290" width="24.85546875" bestFit="1" customWidth="1"/>
    <col min="12291" max="12291" width="20.140625" customWidth="1"/>
    <col min="12292" max="12292" width="16.140625" customWidth="1"/>
    <col min="12293" max="12293" width="18" customWidth="1"/>
    <col min="12294" max="12294" width="16.5703125" customWidth="1"/>
    <col min="12295" max="12295" width="14.28515625" customWidth="1"/>
    <col min="12296" max="12296" width="22.42578125" customWidth="1"/>
    <col min="12297" max="12297" width="22.5703125" customWidth="1"/>
    <col min="12298" max="12300" width="9.28515625" bestFit="1" customWidth="1"/>
    <col min="12301" max="12301" width="10.7109375" bestFit="1" customWidth="1"/>
    <col min="12544" max="12544" width="52.5703125" customWidth="1"/>
    <col min="12545" max="12545" width="60" bestFit="1" customWidth="1"/>
    <col min="12546" max="12546" width="24.85546875" bestFit="1" customWidth="1"/>
    <col min="12547" max="12547" width="20.140625" customWidth="1"/>
    <col min="12548" max="12548" width="16.140625" customWidth="1"/>
    <col min="12549" max="12549" width="18" customWidth="1"/>
    <col min="12550" max="12550" width="16.5703125" customWidth="1"/>
    <col min="12551" max="12551" width="14.28515625" customWidth="1"/>
    <col min="12552" max="12552" width="22.42578125" customWidth="1"/>
    <col min="12553" max="12553" width="22.5703125" customWidth="1"/>
    <col min="12554" max="12556" width="9.28515625" bestFit="1" customWidth="1"/>
    <col min="12557" max="12557" width="10.7109375" bestFit="1" customWidth="1"/>
    <col min="12800" max="12800" width="52.5703125" customWidth="1"/>
    <col min="12801" max="12801" width="60" bestFit="1" customWidth="1"/>
    <col min="12802" max="12802" width="24.85546875" bestFit="1" customWidth="1"/>
    <col min="12803" max="12803" width="20.140625" customWidth="1"/>
    <col min="12804" max="12804" width="16.140625" customWidth="1"/>
    <col min="12805" max="12805" width="18" customWidth="1"/>
    <col min="12806" max="12806" width="16.5703125" customWidth="1"/>
    <col min="12807" max="12807" width="14.28515625" customWidth="1"/>
    <col min="12808" max="12808" width="22.42578125" customWidth="1"/>
    <col min="12809" max="12809" width="22.5703125" customWidth="1"/>
    <col min="12810" max="12812" width="9.28515625" bestFit="1" customWidth="1"/>
    <col min="12813" max="12813" width="10.7109375" bestFit="1" customWidth="1"/>
    <col min="13056" max="13056" width="52.5703125" customWidth="1"/>
    <col min="13057" max="13057" width="60" bestFit="1" customWidth="1"/>
    <col min="13058" max="13058" width="24.85546875" bestFit="1" customWidth="1"/>
    <col min="13059" max="13059" width="20.140625" customWidth="1"/>
    <col min="13060" max="13060" width="16.140625" customWidth="1"/>
    <col min="13061" max="13061" width="18" customWidth="1"/>
    <col min="13062" max="13062" width="16.5703125" customWidth="1"/>
    <col min="13063" max="13063" width="14.28515625" customWidth="1"/>
    <col min="13064" max="13064" width="22.42578125" customWidth="1"/>
    <col min="13065" max="13065" width="22.5703125" customWidth="1"/>
    <col min="13066" max="13068" width="9.28515625" bestFit="1" customWidth="1"/>
    <col min="13069" max="13069" width="10.7109375" bestFit="1" customWidth="1"/>
    <col min="13312" max="13312" width="52.5703125" customWidth="1"/>
    <col min="13313" max="13313" width="60" bestFit="1" customWidth="1"/>
    <col min="13314" max="13314" width="24.85546875" bestFit="1" customWidth="1"/>
    <col min="13315" max="13315" width="20.140625" customWidth="1"/>
    <col min="13316" max="13316" width="16.140625" customWidth="1"/>
    <col min="13317" max="13317" width="18" customWidth="1"/>
    <col min="13318" max="13318" width="16.5703125" customWidth="1"/>
    <col min="13319" max="13319" width="14.28515625" customWidth="1"/>
    <col min="13320" max="13320" width="22.42578125" customWidth="1"/>
    <col min="13321" max="13321" width="22.5703125" customWidth="1"/>
    <col min="13322" max="13324" width="9.28515625" bestFit="1" customWidth="1"/>
    <col min="13325" max="13325" width="10.7109375" bestFit="1" customWidth="1"/>
    <col min="13568" max="13568" width="52.5703125" customWidth="1"/>
    <col min="13569" max="13569" width="60" bestFit="1" customWidth="1"/>
    <col min="13570" max="13570" width="24.85546875" bestFit="1" customWidth="1"/>
    <col min="13571" max="13571" width="20.140625" customWidth="1"/>
    <col min="13572" max="13572" width="16.140625" customWidth="1"/>
    <col min="13573" max="13573" width="18" customWidth="1"/>
    <col min="13574" max="13574" width="16.5703125" customWidth="1"/>
    <col min="13575" max="13575" width="14.28515625" customWidth="1"/>
    <col min="13576" max="13576" width="22.42578125" customWidth="1"/>
    <col min="13577" max="13577" width="22.5703125" customWidth="1"/>
    <col min="13578" max="13580" width="9.28515625" bestFit="1" customWidth="1"/>
    <col min="13581" max="13581" width="10.7109375" bestFit="1" customWidth="1"/>
    <col min="13824" max="13824" width="52.5703125" customWidth="1"/>
    <col min="13825" max="13825" width="60" bestFit="1" customWidth="1"/>
    <col min="13826" max="13826" width="24.85546875" bestFit="1" customWidth="1"/>
    <col min="13827" max="13827" width="20.140625" customWidth="1"/>
    <col min="13828" max="13828" width="16.140625" customWidth="1"/>
    <col min="13829" max="13829" width="18" customWidth="1"/>
    <col min="13830" max="13830" width="16.5703125" customWidth="1"/>
    <col min="13831" max="13831" width="14.28515625" customWidth="1"/>
    <col min="13832" max="13832" width="22.42578125" customWidth="1"/>
    <col min="13833" max="13833" width="22.5703125" customWidth="1"/>
    <col min="13834" max="13836" width="9.28515625" bestFit="1" customWidth="1"/>
    <col min="13837" max="13837" width="10.7109375" bestFit="1" customWidth="1"/>
    <col min="14080" max="14080" width="52.5703125" customWidth="1"/>
    <col min="14081" max="14081" width="60" bestFit="1" customWidth="1"/>
    <col min="14082" max="14082" width="24.85546875" bestFit="1" customWidth="1"/>
    <col min="14083" max="14083" width="20.140625" customWidth="1"/>
    <col min="14084" max="14084" width="16.140625" customWidth="1"/>
    <col min="14085" max="14085" width="18" customWidth="1"/>
    <col min="14086" max="14086" width="16.5703125" customWidth="1"/>
    <col min="14087" max="14087" width="14.28515625" customWidth="1"/>
    <col min="14088" max="14088" width="22.42578125" customWidth="1"/>
    <col min="14089" max="14089" width="22.5703125" customWidth="1"/>
    <col min="14090" max="14092" width="9.28515625" bestFit="1" customWidth="1"/>
    <col min="14093" max="14093" width="10.7109375" bestFit="1" customWidth="1"/>
    <col min="14336" max="14336" width="52.5703125" customWidth="1"/>
    <col min="14337" max="14337" width="60" bestFit="1" customWidth="1"/>
    <col min="14338" max="14338" width="24.85546875" bestFit="1" customWidth="1"/>
    <col min="14339" max="14339" width="20.140625" customWidth="1"/>
    <col min="14340" max="14340" width="16.140625" customWidth="1"/>
    <col min="14341" max="14341" width="18" customWidth="1"/>
    <col min="14342" max="14342" width="16.5703125" customWidth="1"/>
    <col min="14343" max="14343" width="14.28515625" customWidth="1"/>
    <col min="14344" max="14344" width="22.42578125" customWidth="1"/>
    <col min="14345" max="14345" width="22.5703125" customWidth="1"/>
    <col min="14346" max="14348" width="9.28515625" bestFit="1" customWidth="1"/>
    <col min="14349" max="14349" width="10.7109375" bestFit="1" customWidth="1"/>
    <col min="14592" max="14592" width="52.5703125" customWidth="1"/>
    <col min="14593" max="14593" width="60" bestFit="1" customWidth="1"/>
    <col min="14594" max="14594" width="24.85546875" bestFit="1" customWidth="1"/>
    <col min="14595" max="14595" width="20.140625" customWidth="1"/>
    <col min="14596" max="14596" width="16.140625" customWidth="1"/>
    <col min="14597" max="14597" width="18" customWidth="1"/>
    <col min="14598" max="14598" width="16.5703125" customWidth="1"/>
    <col min="14599" max="14599" width="14.28515625" customWidth="1"/>
    <col min="14600" max="14600" width="22.42578125" customWidth="1"/>
    <col min="14601" max="14601" width="22.5703125" customWidth="1"/>
    <col min="14602" max="14604" width="9.28515625" bestFit="1" customWidth="1"/>
    <col min="14605" max="14605" width="10.7109375" bestFit="1" customWidth="1"/>
    <col min="14848" max="14848" width="52.5703125" customWidth="1"/>
    <col min="14849" max="14849" width="60" bestFit="1" customWidth="1"/>
    <col min="14850" max="14850" width="24.85546875" bestFit="1" customWidth="1"/>
    <col min="14851" max="14851" width="20.140625" customWidth="1"/>
    <col min="14852" max="14852" width="16.140625" customWidth="1"/>
    <col min="14853" max="14853" width="18" customWidth="1"/>
    <col min="14854" max="14854" width="16.5703125" customWidth="1"/>
    <col min="14855" max="14855" width="14.28515625" customWidth="1"/>
    <col min="14856" max="14856" width="22.42578125" customWidth="1"/>
    <col min="14857" max="14857" width="22.5703125" customWidth="1"/>
    <col min="14858" max="14860" width="9.28515625" bestFit="1" customWidth="1"/>
    <col min="14861" max="14861" width="10.7109375" bestFit="1" customWidth="1"/>
    <col min="15104" max="15104" width="52.5703125" customWidth="1"/>
    <col min="15105" max="15105" width="60" bestFit="1" customWidth="1"/>
    <col min="15106" max="15106" width="24.85546875" bestFit="1" customWidth="1"/>
    <col min="15107" max="15107" width="20.140625" customWidth="1"/>
    <col min="15108" max="15108" width="16.140625" customWidth="1"/>
    <col min="15109" max="15109" width="18" customWidth="1"/>
    <col min="15110" max="15110" width="16.5703125" customWidth="1"/>
    <col min="15111" max="15111" width="14.28515625" customWidth="1"/>
    <col min="15112" max="15112" width="22.42578125" customWidth="1"/>
    <col min="15113" max="15113" width="22.5703125" customWidth="1"/>
    <col min="15114" max="15116" width="9.28515625" bestFit="1" customWidth="1"/>
    <col min="15117" max="15117" width="10.7109375" bestFit="1" customWidth="1"/>
    <col min="15360" max="15360" width="52.5703125" customWidth="1"/>
    <col min="15361" max="15361" width="60" bestFit="1" customWidth="1"/>
    <col min="15362" max="15362" width="24.85546875" bestFit="1" customWidth="1"/>
    <col min="15363" max="15363" width="20.140625" customWidth="1"/>
    <col min="15364" max="15364" width="16.140625" customWidth="1"/>
    <col min="15365" max="15365" width="18" customWidth="1"/>
    <col min="15366" max="15366" width="16.5703125" customWidth="1"/>
    <col min="15367" max="15367" width="14.28515625" customWidth="1"/>
    <col min="15368" max="15368" width="22.42578125" customWidth="1"/>
    <col min="15369" max="15369" width="22.5703125" customWidth="1"/>
    <col min="15370" max="15372" width="9.28515625" bestFit="1" customWidth="1"/>
    <col min="15373" max="15373" width="10.7109375" bestFit="1" customWidth="1"/>
    <col min="15616" max="15616" width="52.5703125" customWidth="1"/>
    <col min="15617" max="15617" width="60" bestFit="1" customWidth="1"/>
    <col min="15618" max="15618" width="24.85546875" bestFit="1" customWidth="1"/>
    <col min="15619" max="15619" width="20.140625" customWidth="1"/>
    <col min="15620" max="15620" width="16.140625" customWidth="1"/>
    <col min="15621" max="15621" width="18" customWidth="1"/>
    <col min="15622" max="15622" width="16.5703125" customWidth="1"/>
    <col min="15623" max="15623" width="14.28515625" customWidth="1"/>
    <col min="15624" max="15624" width="22.42578125" customWidth="1"/>
    <col min="15625" max="15625" width="22.5703125" customWidth="1"/>
    <col min="15626" max="15628" width="9.28515625" bestFit="1" customWidth="1"/>
    <col min="15629" max="15629" width="10.7109375" bestFit="1" customWidth="1"/>
    <col min="15872" max="15872" width="52.5703125" customWidth="1"/>
    <col min="15873" max="15873" width="60" bestFit="1" customWidth="1"/>
    <col min="15874" max="15874" width="24.85546875" bestFit="1" customWidth="1"/>
    <col min="15875" max="15875" width="20.140625" customWidth="1"/>
    <col min="15876" max="15876" width="16.140625" customWidth="1"/>
    <col min="15877" max="15877" width="18" customWidth="1"/>
    <col min="15878" max="15878" width="16.5703125" customWidth="1"/>
    <col min="15879" max="15879" width="14.28515625" customWidth="1"/>
    <col min="15880" max="15880" width="22.42578125" customWidth="1"/>
    <col min="15881" max="15881" width="22.5703125" customWidth="1"/>
    <col min="15882" max="15884" width="9.28515625" bestFit="1" customWidth="1"/>
    <col min="15885" max="15885" width="10.7109375" bestFit="1" customWidth="1"/>
    <col min="16128" max="16128" width="52.5703125" customWidth="1"/>
    <col min="16129" max="16129" width="60" bestFit="1" customWidth="1"/>
    <col min="16130" max="16130" width="24.85546875" bestFit="1" customWidth="1"/>
    <col min="16131" max="16131" width="20.140625" customWidth="1"/>
    <col min="16132" max="16132" width="16.140625" customWidth="1"/>
    <col min="16133" max="16133" width="18" customWidth="1"/>
    <col min="16134" max="16134" width="16.5703125" customWidth="1"/>
    <col min="16135" max="16135" width="14.28515625" customWidth="1"/>
    <col min="16136" max="16136" width="22.42578125" customWidth="1"/>
    <col min="16137" max="16137" width="22.5703125" customWidth="1"/>
    <col min="16138" max="16140" width="9.28515625" bestFit="1" customWidth="1"/>
    <col min="16141" max="16141" width="10.7109375" bestFit="1" customWidth="1"/>
  </cols>
  <sheetData>
    <row r="1" spans="1:14" ht="15.75" x14ac:dyDescent="0.25">
      <c r="A1" s="178"/>
      <c r="B1" s="179"/>
      <c r="C1" s="217"/>
      <c r="D1" s="180"/>
      <c r="E1" s="243" t="s">
        <v>1111</v>
      </c>
    </row>
    <row r="2" spans="1:14" x14ac:dyDescent="0.2">
      <c r="A2" s="178"/>
      <c r="B2" s="179"/>
      <c r="C2" s="217"/>
      <c r="D2" s="180"/>
      <c r="E2" s="180"/>
    </row>
    <row r="3" spans="1:14" ht="15.75" x14ac:dyDescent="0.25">
      <c r="A3" s="652" t="s">
        <v>759</v>
      </c>
      <c r="B3" s="652"/>
      <c r="C3" s="652"/>
      <c r="D3" s="652"/>
      <c r="E3" s="652"/>
    </row>
    <row r="4" spans="1:14" ht="15.75" x14ac:dyDescent="0.25">
      <c r="A4" s="244"/>
      <c r="B4" s="245"/>
      <c r="C4" s="246"/>
      <c r="D4" s="243"/>
      <c r="E4" s="243"/>
    </row>
    <row r="5" spans="1:14" s="181" customFormat="1" ht="15.75" x14ac:dyDescent="0.25">
      <c r="A5" s="244"/>
      <c r="B5" s="245"/>
      <c r="C5" s="246"/>
      <c r="D5" s="243"/>
      <c r="E5" s="243" t="s">
        <v>396</v>
      </c>
    </row>
    <row r="6" spans="1:14" s="181" customFormat="1" ht="16.5" thickBot="1" x14ac:dyDescent="0.3">
      <c r="A6" s="245"/>
      <c r="B6" s="247"/>
      <c r="C6" s="248"/>
      <c r="D6" s="249"/>
      <c r="E6" s="250">
        <v>1</v>
      </c>
    </row>
    <row r="7" spans="1:14" s="181" customFormat="1" ht="12.75" customHeight="1" x14ac:dyDescent="0.2">
      <c r="A7" s="666" t="s">
        <v>397</v>
      </c>
      <c r="B7" s="655" t="s">
        <v>398</v>
      </c>
      <c r="C7" s="669" t="s">
        <v>399</v>
      </c>
      <c r="D7" s="659" t="s">
        <v>760</v>
      </c>
      <c r="E7" s="672" t="s">
        <v>761</v>
      </c>
      <c r="F7" s="218">
        <v>0.03</v>
      </c>
    </row>
    <row r="8" spans="1:14" s="181" customFormat="1" ht="17.25" customHeight="1" thickBot="1" x14ac:dyDescent="0.25">
      <c r="A8" s="667"/>
      <c r="B8" s="668"/>
      <c r="C8" s="670"/>
      <c r="D8" s="671"/>
      <c r="E8" s="673"/>
    </row>
    <row r="9" spans="1:14" s="181" customFormat="1" ht="15.75" x14ac:dyDescent="0.2">
      <c r="A9" s="251" t="s">
        <v>762</v>
      </c>
      <c r="B9" s="252" t="s">
        <v>763</v>
      </c>
      <c r="C9" s="253" t="s">
        <v>402</v>
      </c>
      <c r="D9" s="254">
        <f>E9</f>
        <v>95915</v>
      </c>
      <c r="E9" s="255">
        <v>95915</v>
      </c>
    </row>
    <row r="10" spans="1:14" s="181" customFormat="1" ht="15.75" x14ac:dyDescent="0.2">
      <c r="A10" s="256" t="s">
        <v>511</v>
      </c>
      <c r="B10" s="257" t="s">
        <v>512</v>
      </c>
      <c r="C10" s="258" t="s">
        <v>402</v>
      </c>
      <c r="D10" s="259">
        <f>634902*4</f>
        <v>2539608</v>
      </c>
      <c r="E10" s="260">
        <v>3142373</v>
      </c>
      <c r="F10" s="187"/>
      <c r="G10" s="187"/>
      <c r="H10" s="187"/>
      <c r="I10" s="187"/>
      <c r="J10" s="187"/>
      <c r="K10" s="187"/>
      <c r="L10" s="187"/>
      <c r="M10" s="187"/>
      <c r="N10" s="187"/>
    </row>
    <row r="11" spans="1:14" s="194" customFormat="1" ht="31.5" x14ac:dyDescent="0.25">
      <c r="A11" s="261" t="s">
        <v>658</v>
      </c>
      <c r="B11" s="262" t="s">
        <v>657</v>
      </c>
      <c r="C11" s="263">
        <v>44193</v>
      </c>
      <c r="D11" s="264">
        <f>E11</f>
        <v>781050</v>
      </c>
      <c r="E11" s="265">
        <v>781050</v>
      </c>
      <c r="F11" s="193"/>
      <c r="G11" s="193"/>
      <c r="H11" s="193"/>
      <c r="I11" s="193"/>
      <c r="J11" s="193"/>
      <c r="K11" s="193"/>
      <c r="L11" s="193"/>
      <c r="M11" s="193"/>
      <c r="N11" s="193"/>
    </row>
    <row r="12" spans="1:14" s="181" customFormat="1" ht="15.75" x14ac:dyDescent="0.25">
      <c r="A12" s="266" t="s">
        <v>513</v>
      </c>
      <c r="B12" s="262" t="s">
        <v>514</v>
      </c>
      <c r="C12" s="263" t="s">
        <v>402</v>
      </c>
      <c r="D12" s="264">
        <v>2652417</v>
      </c>
      <c r="E12" s="265">
        <f>253566+2398851</f>
        <v>2652417</v>
      </c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s="181" customFormat="1" ht="15.75" x14ac:dyDescent="0.25">
      <c r="A13" s="266" t="s">
        <v>764</v>
      </c>
      <c r="B13" s="262" t="s">
        <v>765</v>
      </c>
      <c r="C13" s="263">
        <v>44196</v>
      </c>
      <c r="D13" s="264">
        <v>2921000</v>
      </c>
      <c r="E13" s="265">
        <v>0</v>
      </c>
      <c r="F13" s="187"/>
      <c r="G13" s="187"/>
      <c r="H13" s="187"/>
      <c r="I13" s="187"/>
      <c r="J13" s="187"/>
      <c r="K13" s="187"/>
      <c r="L13" s="187"/>
      <c r="M13" s="187"/>
      <c r="N13" s="187"/>
    </row>
    <row r="14" spans="1:14" s="183" customFormat="1" ht="15.75" x14ac:dyDescent="0.25">
      <c r="A14" s="266" t="s">
        <v>515</v>
      </c>
      <c r="B14" s="262" t="s">
        <v>516</v>
      </c>
      <c r="C14" s="263" t="s">
        <v>766</v>
      </c>
      <c r="D14" s="264">
        <f>40000*12</f>
        <v>480000</v>
      </c>
      <c r="E14" s="265">
        <f>423000+30000</f>
        <v>453000</v>
      </c>
      <c r="F14" s="188"/>
      <c r="G14" s="188"/>
      <c r="H14" s="188"/>
      <c r="I14" s="188"/>
      <c r="J14" s="188"/>
      <c r="K14" s="188"/>
      <c r="L14" s="188"/>
      <c r="M14" s="188"/>
      <c r="N14" s="188"/>
    </row>
    <row r="15" spans="1:14" s="183" customFormat="1" ht="15.75" x14ac:dyDescent="0.25">
      <c r="A15" s="266" t="s">
        <v>517</v>
      </c>
      <c r="B15" s="262" t="s">
        <v>518</v>
      </c>
      <c r="C15" s="263"/>
      <c r="D15" s="264">
        <v>1714500</v>
      </c>
      <c r="E15" s="265">
        <v>0</v>
      </c>
      <c r="F15" s="188"/>
      <c r="G15" s="188"/>
      <c r="H15" s="188"/>
      <c r="I15" s="188"/>
      <c r="J15" s="188"/>
      <c r="K15" s="188"/>
      <c r="L15" s="188"/>
      <c r="M15" s="188"/>
      <c r="N15" s="188"/>
    </row>
    <row r="16" spans="1:14" s="183" customFormat="1" ht="31.5" x14ac:dyDescent="0.25">
      <c r="A16" s="266" t="s">
        <v>519</v>
      </c>
      <c r="B16" s="262" t="s">
        <v>767</v>
      </c>
      <c r="C16" s="263" t="s">
        <v>402</v>
      </c>
      <c r="D16" s="264">
        <f>E16</f>
        <v>1750926</v>
      </c>
      <c r="E16" s="265">
        <v>1750926</v>
      </c>
      <c r="F16" s="188"/>
      <c r="G16" s="188"/>
      <c r="H16" s="188"/>
      <c r="I16" s="188"/>
      <c r="J16" s="188"/>
      <c r="K16" s="188"/>
      <c r="L16" s="188"/>
      <c r="M16" s="188"/>
      <c r="N16" s="188"/>
    </row>
    <row r="17" spans="1:14" s="183" customFormat="1" ht="15.75" x14ac:dyDescent="0.25">
      <c r="A17" s="266" t="s">
        <v>519</v>
      </c>
      <c r="B17" s="262" t="s">
        <v>520</v>
      </c>
      <c r="C17" s="263" t="s">
        <v>402</v>
      </c>
      <c r="D17" s="264">
        <f>E17</f>
        <v>5838815</v>
      </c>
      <c r="E17" s="265">
        <f>2401757+3437058</f>
        <v>5838815</v>
      </c>
      <c r="F17" s="188"/>
      <c r="G17" s="188"/>
      <c r="H17" s="188"/>
      <c r="I17" s="188"/>
      <c r="J17" s="188"/>
      <c r="K17" s="188"/>
      <c r="L17" s="188"/>
      <c r="M17" s="188"/>
      <c r="N17" s="188"/>
    </row>
    <row r="18" spans="1:14" s="183" customFormat="1" ht="15.75" x14ac:dyDescent="0.25">
      <c r="A18" s="266" t="s">
        <v>519</v>
      </c>
      <c r="B18" s="262" t="s">
        <v>521</v>
      </c>
      <c r="C18" s="267" t="s">
        <v>402</v>
      </c>
      <c r="D18" s="268">
        <f>E18</f>
        <v>1456445</v>
      </c>
      <c r="E18" s="265">
        <v>1456445</v>
      </c>
      <c r="F18" s="188"/>
      <c r="G18" s="188"/>
      <c r="H18" s="188"/>
      <c r="I18" s="188"/>
      <c r="J18" s="188"/>
      <c r="K18" s="188"/>
      <c r="L18" s="188"/>
      <c r="M18" s="188"/>
      <c r="N18" s="188"/>
    </row>
    <row r="19" spans="1:14" s="181" customFormat="1" ht="15.75" x14ac:dyDescent="0.25">
      <c r="A19" s="266" t="s">
        <v>522</v>
      </c>
      <c r="B19" s="269" t="s">
        <v>523</v>
      </c>
      <c r="C19" s="270" t="s">
        <v>402</v>
      </c>
      <c r="D19" s="271">
        <f>E19*E6</f>
        <v>93573</v>
      </c>
      <c r="E19" s="265">
        <v>93573</v>
      </c>
      <c r="F19" s="187"/>
      <c r="G19" s="187"/>
      <c r="H19" s="187"/>
      <c r="I19" s="187"/>
      <c r="J19" s="187"/>
      <c r="K19" s="187"/>
      <c r="L19" s="187"/>
      <c r="M19" s="187"/>
      <c r="N19" s="187"/>
    </row>
    <row r="20" spans="1:14" s="181" customFormat="1" ht="31.5" x14ac:dyDescent="0.25">
      <c r="A20" s="266" t="s">
        <v>768</v>
      </c>
      <c r="B20" s="269" t="s">
        <v>769</v>
      </c>
      <c r="C20" s="263">
        <v>43830</v>
      </c>
      <c r="D20" s="271">
        <v>201400</v>
      </c>
      <c r="E20" s="265">
        <v>820800</v>
      </c>
      <c r="F20" s="187"/>
      <c r="G20" s="187"/>
      <c r="H20" s="187"/>
      <c r="I20" s="187"/>
      <c r="J20" s="187"/>
      <c r="K20" s="187"/>
      <c r="L20" s="187"/>
      <c r="M20" s="187"/>
      <c r="N20" s="187"/>
    </row>
    <row r="21" spans="1:14" s="181" customFormat="1" ht="15.75" x14ac:dyDescent="0.25">
      <c r="A21" s="266" t="s">
        <v>524</v>
      </c>
      <c r="B21" s="269" t="s">
        <v>525</v>
      </c>
      <c r="C21" s="270" t="s">
        <v>402</v>
      </c>
      <c r="D21" s="271">
        <f>4340+500*12</f>
        <v>10340</v>
      </c>
      <c r="E21" s="265">
        <f>965+480</f>
        <v>1445</v>
      </c>
      <c r="F21" s="188"/>
      <c r="G21" s="187"/>
      <c r="H21" s="187"/>
      <c r="I21" s="187"/>
      <c r="J21" s="187"/>
      <c r="K21" s="187"/>
      <c r="L21" s="187"/>
      <c r="M21" s="187"/>
      <c r="N21" s="187"/>
    </row>
    <row r="22" spans="1:14" s="181" customFormat="1" ht="15.75" x14ac:dyDescent="0.25">
      <c r="A22" s="266" t="s">
        <v>524</v>
      </c>
      <c r="B22" s="272" t="s">
        <v>526</v>
      </c>
      <c r="C22" s="270" t="s">
        <v>402</v>
      </c>
      <c r="D22" s="271">
        <f>E22</f>
        <v>208680</v>
      </c>
      <c r="E22" s="265">
        <f>26830+181850</f>
        <v>208680</v>
      </c>
      <c r="F22" s="187"/>
      <c r="G22" s="187"/>
      <c r="H22" s="187"/>
      <c r="I22" s="187"/>
      <c r="J22" s="187"/>
      <c r="K22" s="187"/>
      <c r="L22" s="187"/>
      <c r="M22" s="187"/>
      <c r="N22" s="187"/>
    </row>
    <row r="23" spans="1:14" s="181" customFormat="1" ht="15.75" x14ac:dyDescent="0.25">
      <c r="A23" s="266" t="s">
        <v>527</v>
      </c>
      <c r="B23" s="272" t="s">
        <v>528</v>
      </c>
      <c r="C23" s="263">
        <v>44018</v>
      </c>
      <c r="D23" s="271">
        <f>147320/2</f>
        <v>73660</v>
      </c>
      <c r="E23" s="265">
        <v>147320</v>
      </c>
      <c r="F23" s="187"/>
      <c r="G23" s="187"/>
      <c r="H23" s="187"/>
      <c r="I23" s="187"/>
      <c r="J23" s="187"/>
      <c r="K23" s="187"/>
      <c r="L23" s="187"/>
      <c r="M23" s="187"/>
      <c r="N23" s="187"/>
    </row>
    <row r="24" spans="1:14" s="190" customFormat="1" ht="15.75" x14ac:dyDescent="0.25">
      <c r="A24" s="261" t="s">
        <v>529</v>
      </c>
      <c r="B24" s="273" t="s">
        <v>770</v>
      </c>
      <c r="C24" s="274" t="s">
        <v>402</v>
      </c>
      <c r="D24" s="275">
        <f>E24</f>
        <v>313145</v>
      </c>
      <c r="E24" s="276">
        <f>15240*2+282665</f>
        <v>313145</v>
      </c>
      <c r="F24" s="189"/>
      <c r="G24" s="189"/>
      <c r="H24" s="189"/>
      <c r="I24" s="189"/>
      <c r="J24" s="189"/>
      <c r="K24" s="189"/>
      <c r="L24" s="189"/>
      <c r="M24" s="189"/>
      <c r="N24" s="189"/>
    </row>
    <row r="25" spans="1:14" s="190" customFormat="1" ht="31.5" x14ac:dyDescent="0.25">
      <c r="A25" s="261" t="s">
        <v>771</v>
      </c>
      <c r="B25" s="273" t="s">
        <v>772</v>
      </c>
      <c r="C25" s="274" t="s">
        <v>773</v>
      </c>
      <c r="D25" s="275">
        <v>280000</v>
      </c>
      <c r="E25" s="276">
        <v>0</v>
      </c>
      <c r="F25" s="189"/>
      <c r="G25" s="189"/>
      <c r="H25" s="189"/>
      <c r="I25" s="189"/>
      <c r="J25" s="189"/>
      <c r="K25" s="189"/>
      <c r="L25" s="189"/>
      <c r="M25" s="189"/>
      <c r="N25" s="189"/>
    </row>
    <row r="26" spans="1:14" s="190" customFormat="1" ht="31.5" x14ac:dyDescent="0.25">
      <c r="A26" s="261" t="s">
        <v>771</v>
      </c>
      <c r="B26" s="273" t="s">
        <v>774</v>
      </c>
      <c r="C26" s="274" t="s">
        <v>773</v>
      </c>
      <c r="D26" s="275">
        <v>400000</v>
      </c>
      <c r="E26" s="276">
        <v>0</v>
      </c>
      <c r="F26" s="189"/>
      <c r="G26" s="189"/>
      <c r="H26" s="189"/>
      <c r="I26" s="189"/>
      <c r="J26" s="189"/>
      <c r="K26" s="189"/>
      <c r="L26" s="189"/>
      <c r="M26" s="189"/>
      <c r="N26" s="189"/>
    </row>
    <row r="27" spans="1:14" s="190" customFormat="1" ht="31.5" x14ac:dyDescent="0.25">
      <c r="A27" s="261" t="s">
        <v>775</v>
      </c>
      <c r="B27" s="277" t="s">
        <v>776</v>
      </c>
      <c r="C27" s="267">
        <v>43769</v>
      </c>
      <c r="D27" s="275">
        <v>500000</v>
      </c>
      <c r="E27" s="276">
        <v>250000</v>
      </c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181" customFormat="1" ht="15.75" x14ac:dyDescent="0.25">
      <c r="A28" s="278" t="s">
        <v>530</v>
      </c>
      <c r="B28" s="279" t="s">
        <v>531</v>
      </c>
      <c r="C28" s="270" t="s">
        <v>402</v>
      </c>
      <c r="D28" s="264">
        <f>E28</f>
        <v>135200</v>
      </c>
      <c r="E28" s="265">
        <f>68590+66610</f>
        <v>135200</v>
      </c>
      <c r="F28" s="188"/>
      <c r="G28" s="187"/>
      <c r="H28" s="187"/>
      <c r="I28" s="187"/>
      <c r="J28" s="187"/>
      <c r="K28" s="187"/>
      <c r="L28" s="187"/>
      <c r="M28" s="187"/>
      <c r="N28" s="187"/>
    </row>
    <row r="29" spans="1:14" s="181" customFormat="1" ht="15.75" x14ac:dyDescent="0.25">
      <c r="A29" s="278" t="s">
        <v>530</v>
      </c>
      <c r="B29" s="280" t="s">
        <v>532</v>
      </c>
      <c r="C29" s="281" t="s">
        <v>402</v>
      </c>
      <c r="D29" s="282">
        <f>E29</f>
        <v>50020</v>
      </c>
      <c r="E29" s="283">
        <v>50020</v>
      </c>
      <c r="F29" s="187"/>
      <c r="G29" s="187"/>
      <c r="H29" s="187"/>
      <c r="I29" s="187"/>
      <c r="J29" s="187"/>
      <c r="K29" s="187"/>
      <c r="L29" s="187"/>
      <c r="M29" s="187"/>
      <c r="N29" s="187"/>
    </row>
    <row r="30" spans="1:14" s="181" customFormat="1" ht="15.75" x14ac:dyDescent="0.25">
      <c r="A30" s="278" t="s">
        <v>530</v>
      </c>
      <c r="B30" s="280" t="s">
        <v>777</v>
      </c>
      <c r="C30" s="281" t="s">
        <v>402</v>
      </c>
      <c r="D30" s="282">
        <f>E30</f>
        <v>1205222</v>
      </c>
      <c r="E30" s="283">
        <f>843851+77850+147910+135611</f>
        <v>1205222</v>
      </c>
      <c r="F30" s="187"/>
      <c r="G30" s="187"/>
      <c r="H30" s="187"/>
      <c r="I30" s="187"/>
      <c r="J30" s="187"/>
      <c r="K30" s="187"/>
      <c r="L30" s="187"/>
      <c r="M30" s="187"/>
      <c r="N30" s="187"/>
    </row>
    <row r="31" spans="1:14" s="183" customFormat="1" ht="15.75" x14ac:dyDescent="0.25">
      <c r="A31" s="284" t="s">
        <v>533</v>
      </c>
      <c r="B31" s="280" t="s">
        <v>534</v>
      </c>
      <c r="C31" s="285">
        <v>42735</v>
      </c>
      <c r="D31" s="282">
        <v>355600</v>
      </c>
      <c r="E31" s="283">
        <v>0</v>
      </c>
      <c r="G31" s="188"/>
      <c r="H31" s="188"/>
      <c r="I31" s="188"/>
      <c r="J31" s="188"/>
      <c r="K31" s="188"/>
      <c r="L31" s="188"/>
      <c r="M31" s="188"/>
      <c r="N31" s="188"/>
    </row>
    <row r="32" spans="1:14" s="181" customFormat="1" ht="15.75" x14ac:dyDescent="0.25">
      <c r="A32" s="284" t="s">
        <v>535</v>
      </c>
      <c r="B32" s="280" t="s">
        <v>536</v>
      </c>
      <c r="C32" s="286">
        <v>43889</v>
      </c>
      <c r="D32" s="282">
        <f>3*173612</f>
        <v>520836</v>
      </c>
      <c r="E32" s="283">
        <v>2256956</v>
      </c>
      <c r="F32" s="187"/>
      <c r="G32" s="187"/>
      <c r="H32" s="187"/>
      <c r="I32" s="187"/>
      <c r="J32" s="187"/>
      <c r="K32" s="187"/>
      <c r="L32" s="187"/>
      <c r="M32" s="187"/>
      <c r="N32" s="187"/>
    </row>
    <row r="33" spans="1:14" s="181" customFormat="1" ht="15.75" x14ac:dyDescent="0.25">
      <c r="A33" s="278" t="s">
        <v>537</v>
      </c>
      <c r="B33" s="279" t="s">
        <v>538</v>
      </c>
      <c r="C33" s="263"/>
      <c r="D33" s="287">
        <f>66900*3</f>
        <v>200700</v>
      </c>
      <c r="E33" s="288">
        <v>200700</v>
      </c>
      <c r="F33" s="187"/>
      <c r="G33" s="187"/>
      <c r="H33" s="187"/>
      <c r="I33" s="187"/>
      <c r="J33" s="187"/>
      <c r="K33" s="187"/>
      <c r="L33" s="187"/>
      <c r="M33" s="187"/>
      <c r="N33" s="187"/>
    </row>
    <row r="34" spans="1:14" s="181" customFormat="1" ht="31.5" x14ac:dyDescent="0.25">
      <c r="A34" s="278" t="s">
        <v>537</v>
      </c>
      <c r="B34" s="289" t="s">
        <v>778</v>
      </c>
      <c r="C34" s="290" t="s">
        <v>402</v>
      </c>
      <c r="D34" s="291">
        <f>E34</f>
        <v>276450</v>
      </c>
      <c r="E34" s="292">
        <f>55290+221160</f>
        <v>276450</v>
      </c>
      <c r="F34" s="187"/>
      <c r="G34" s="187"/>
      <c r="H34" s="187"/>
      <c r="I34" s="187"/>
      <c r="J34" s="187"/>
      <c r="K34" s="187"/>
      <c r="L34" s="187"/>
      <c r="M34" s="187"/>
      <c r="N34" s="187"/>
    </row>
    <row r="35" spans="1:14" s="181" customFormat="1" ht="15.75" x14ac:dyDescent="0.25">
      <c r="A35" s="278" t="s">
        <v>539</v>
      </c>
      <c r="B35" s="279" t="s">
        <v>540</v>
      </c>
      <c r="C35" s="263" t="s">
        <v>402</v>
      </c>
      <c r="D35" s="287">
        <f>E35</f>
        <v>193131</v>
      </c>
      <c r="E35" s="288">
        <v>193131</v>
      </c>
      <c r="F35" s="187"/>
      <c r="G35" s="187"/>
      <c r="H35" s="187"/>
      <c r="I35" s="187"/>
      <c r="J35" s="187"/>
      <c r="K35" s="187"/>
      <c r="L35" s="187"/>
      <c r="M35" s="187"/>
      <c r="N35" s="187"/>
    </row>
    <row r="36" spans="1:14" ht="15.75" x14ac:dyDescent="0.25">
      <c r="A36" s="278" t="s">
        <v>539</v>
      </c>
      <c r="B36" s="279" t="s">
        <v>779</v>
      </c>
      <c r="C36" s="263" t="s">
        <v>402</v>
      </c>
      <c r="D36" s="264">
        <f>E36*6</f>
        <v>128934</v>
      </c>
      <c r="E36" s="265">
        <f>21489</f>
        <v>21489</v>
      </c>
      <c r="F36" s="191"/>
      <c r="G36" s="191"/>
      <c r="H36" s="191"/>
      <c r="I36" s="191"/>
      <c r="J36" s="191"/>
      <c r="K36" s="191"/>
      <c r="L36" s="191"/>
      <c r="M36" s="191"/>
      <c r="N36" s="191"/>
    </row>
    <row r="37" spans="1:14" s="181" customFormat="1" ht="15.75" x14ac:dyDescent="0.25">
      <c r="A37" s="278" t="s">
        <v>539</v>
      </c>
      <c r="B37" s="279" t="s">
        <v>544</v>
      </c>
      <c r="C37" s="263" t="s">
        <v>402</v>
      </c>
      <c r="D37" s="287">
        <f t="shared" ref="D37:D43" si="0">E37</f>
        <v>140373</v>
      </c>
      <c r="E37" s="288">
        <v>140373</v>
      </c>
      <c r="F37" s="187"/>
      <c r="G37" s="187"/>
      <c r="H37" s="187"/>
      <c r="I37" s="187"/>
      <c r="J37" s="187"/>
      <c r="K37" s="187"/>
      <c r="L37" s="187"/>
      <c r="M37" s="187"/>
      <c r="N37" s="187"/>
    </row>
    <row r="38" spans="1:14" s="181" customFormat="1" ht="15.75" x14ac:dyDescent="0.25">
      <c r="A38" s="278" t="s">
        <v>539</v>
      </c>
      <c r="B38" s="279" t="s">
        <v>780</v>
      </c>
      <c r="C38" s="263" t="s">
        <v>402</v>
      </c>
      <c r="D38" s="287">
        <f t="shared" si="0"/>
        <v>64832</v>
      </c>
      <c r="E38" s="288">
        <f>63595+1237</f>
        <v>64832</v>
      </c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181" customFormat="1" ht="15.75" x14ac:dyDescent="0.25">
      <c r="A39" s="278" t="s">
        <v>539</v>
      </c>
      <c r="B39" s="279" t="s">
        <v>781</v>
      </c>
      <c r="C39" s="263" t="s">
        <v>402</v>
      </c>
      <c r="D39" s="287">
        <f t="shared" si="0"/>
        <v>14844</v>
      </c>
      <c r="E39" s="288">
        <v>14844</v>
      </c>
      <c r="F39" s="187"/>
      <c r="G39" s="187"/>
      <c r="H39" s="187"/>
      <c r="I39" s="187"/>
      <c r="J39" s="187"/>
      <c r="K39" s="187"/>
      <c r="L39" s="187"/>
      <c r="M39" s="187"/>
      <c r="N39" s="187"/>
    </row>
    <row r="40" spans="1:14" s="181" customFormat="1" ht="31.5" x14ac:dyDescent="0.25">
      <c r="A40" s="278" t="s">
        <v>1053</v>
      </c>
      <c r="B40" s="279" t="s">
        <v>782</v>
      </c>
      <c r="C40" s="263" t="s">
        <v>402</v>
      </c>
      <c r="D40" s="287">
        <f t="shared" si="0"/>
        <v>155130</v>
      </c>
      <c r="E40" s="288">
        <v>155130</v>
      </c>
      <c r="F40" s="187"/>
      <c r="G40" s="187"/>
      <c r="H40" s="187"/>
      <c r="I40" s="187"/>
      <c r="J40" s="187"/>
      <c r="K40" s="187"/>
      <c r="L40" s="187"/>
      <c r="M40" s="187"/>
      <c r="N40" s="187"/>
    </row>
    <row r="41" spans="1:14" s="181" customFormat="1" ht="31.5" x14ac:dyDescent="0.25">
      <c r="A41" s="278" t="s">
        <v>545</v>
      </c>
      <c r="B41" s="279" t="s">
        <v>546</v>
      </c>
      <c r="C41" s="263" t="s">
        <v>402</v>
      </c>
      <c r="D41" s="287">
        <v>1100000</v>
      </c>
      <c r="E41" s="288">
        <v>800000</v>
      </c>
      <c r="F41" s="187"/>
      <c r="G41" s="187"/>
      <c r="H41" s="187"/>
      <c r="I41" s="187"/>
      <c r="J41" s="187"/>
      <c r="K41" s="187"/>
      <c r="L41" s="187"/>
      <c r="M41" s="187"/>
      <c r="N41" s="187"/>
    </row>
    <row r="42" spans="1:14" s="181" customFormat="1" ht="15.75" x14ac:dyDescent="0.25">
      <c r="A42" s="278" t="s">
        <v>547</v>
      </c>
      <c r="B42" s="279" t="s">
        <v>525</v>
      </c>
      <c r="C42" s="263" t="s">
        <v>402</v>
      </c>
      <c r="D42" s="287">
        <f t="shared" si="0"/>
        <v>6867</v>
      </c>
      <c r="E42" s="288">
        <f>6867</f>
        <v>6867</v>
      </c>
      <c r="F42" s="188"/>
      <c r="G42" s="187"/>
      <c r="H42" s="192"/>
      <c r="I42" s="187"/>
      <c r="J42" s="187"/>
      <c r="K42" s="187"/>
      <c r="L42" s="187"/>
      <c r="M42" s="187"/>
      <c r="N42" s="187"/>
    </row>
    <row r="43" spans="1:14" s="181" customFormat="1" ht="15.75" x14ac:dyDescent="0.25">
      <c r="A43" s="278" t="s">
        <v>547</v>
      </c>
      <c r="B43" s="279" t="s">
        <v>657</v>
      </c>
      <c r="C43" s="263"/>
      <c r="D43" s="287">
        <f t="shared" si="0"/>
        <v>8000</v>
      </c>
      <c r="E43" s="288">
        <f>8000</f>
        <v>8000</v>
      </c>
      <c r="F43" s="188"/>
      <c r="G43" s="187"/>
      <c r="H43" s="192"/>
      <c r="I43" s="187"/>
      <c r="J43" s="187"/>
      <c r="K43" s="187"/>
      <c r="L43" s="187"/>
      <c r="M43" s="187"/>
      <c r="N43" s="187"/>
    </row>
    <row r="44" spans="1:14" s="181" customFormat="1" ht="15.75" x14ac:dyDescent="0.25">
      <c r="A44" s="278" t="s">
        <v>783</v>
      </c>
      <c r="B44" s="279" t="s">
        <v>784</v>
      </c>
      <c r="C44" s="263">
        <v>43830</v>
      </c>
      <c r="D44" s="287">
        <v>3000000</v>
      </c>
      <c r="E44" s="288">
        <v>3000000</v>
      </c>
      <c r="F44" s="188"/>
      <c r="G44" s="187"/>
      <c r="H44" s="192"/>
      <c r="I44" s="187"/>
      <c r="J44" s="187"/>
      <c r="K44" s="187"/>
      <c r="L44" s="187"/>
      <c r="M44" s="187"/>
      <c r="N44" s="187"/>
    </row>
    <row r="45" spans="1:14" s="181" customFormat="1" ht="15.75" x14ac:dyDescent="0.25">
      <c r="A45" s="278" t="s">
        <v>783</v>
      </c>
      <c r="B45" s="279" t="s">
        <v>785</v>
      </c>
      <c r="C45" s="263"/>
      <c r="D45" s="287">
        <f>E45</f>
        <v>3610822</v>
      </c>
      <c r="E45" s="288">
        <f>-32296+310697+591336+2741085</f>
        <v>3610822</v>
      </c>
      <c r="F45" s="188"/>
      <c r="G45" s="187"/>
      <c r="H45" s="192"/>
      <c r="I45" s="187"/>
      <c r="J45" s="187"/>
      <c r="K45" s="187"/>
      <c r="L45" s="187"/>
      <c r="M45" s="187"/>
      <c r="N45" s="187"/>
    </row>
    <row r="46" spans="1:14" s="181" customFormat="1" ht="15.75" x14ac:dyDescent="0.25">
      <c r="A46" s="278" t="s">
        <v>783</v>
      </c>
      <c r="B46" s="262" t="s">
        <v>548</v>
      </c>
      <c r="C46" s="263" t="s">
        <v>402</v>
      </c>
      <c r="D46" s="264">
        <f>E46</f>
        <v>77900000</v>
      </c>
      <c r="E46" s="265">
        <f>44800000+33100000</f>
        <v>77900000</v>
      </c>
      <c r="F46" s="187"/>
      <c r="G46" s="187"/>
      <c r="H46" s="187"/>
      <c r="I46" s="192"/>
      <c r="J46" s="187"/>
      <c r="K46" s="187"/>
      <c r="L46" s="187"/>
      <c r="M46" s="187"/>
      <c r="N46" s="187"/>
    </row>
    <row r="47" spans="1:14" s="181" customFormat="1" ht="15.75" x14ac:dyDescent="0.25">
      <c r="A47" s="278" t="s">
        <v>783</v>
      </c>
      <c r="B47" s="262" t="s">
        <v>786</v>
      </c>
      <c r="C47" s="263"/>
      <c r="D47" s="264">
        <v>650088</v>
      </c>
      <c r="E47" s="265">
        <v>3397759</v>
      </c>
      <c r="F47" s="187"/>
      <c r="G47" s="187"/>
      <c r="H47" s="187"/>
      <c r="I47" s="192"/>
      <c r="J47" s="187"/>
      <c r="K47" s="187"/>
      <c r="L47" s="187"/>
      <c r="M47" s="187"/>
      <c r="N47" s="187"/>
    </row>
    <row r="48" spans="1:14" s="181" customFormat="1" ht="15.75" x14ac:dyDescent="0.25">
      <c r="A48" s="278" t="s">
        <v>783</v>
      </c>
      <c r="B48" s="262" t="s">
        <v>787</v>
      </c>
      <c r="C48" s="263">
        <v>43812</v>
      </c>
      <c r="D48" s="264">
        <v>139929</v>
      </c>
      <c r="E48" s="265">
        <v>0</v>
      </c>
      <c r="F48" s="187"/>
      <c r="G48" s="187"/>
      <c r="H48" s="187"/>
      <c r="I48" s="192"/>
      <c r="J48" s="187"/>
      <c r="K48" s="187"/>
      <c r="L48" s="187"/>
      <c r="M48" s="187"/>
      <c r="N48" s="187"/>
    </row>
    <row r="49" spans="1:14" s="181" customFormat="1" ht="15.75" x14ac:dyDescent="0.25">
      <c r="A49" s="278" t="s">
        <v>549</v>
      </c>
      <c r="B49" s="279" t="s">
        <v>551</v>
      </c>
      <c r="C49" s="263">
        <v>44196</v>
      </c>
      <c r="D49" s="287">
        <f>5282573-3737900</f>
        <v>1544673</v>
      </c>
      <c r="E49" s="293">
        <v>0</v>
      </c>
      <c r="F49" s="187"/>
      <c r="G49" s="188"/>
      <c r="H49" s="188"/>
      <c r="I49" s="187"/>
      <c r="J49" s="187"/>
      <c r="K49" s="187"/>
      <c r="L49" s="187"/>
      <c r="M49" s="187"/>
      <c r="N49" s="187"/>
    </row>
    <row r="50" spans="1:14" s="181" customFormat="1" ht="15.75" x14ac:dyDescent="0.25">
      <c r="A50" s="278" t="s">
        <v>549</v>
      </c>
      <c r="B50" s="279" t="s">
        <v>552</v>
      </c>
      <c r="C50" s="263">
        <v>43356</v>
      </c>
      <c r="D50" s="287">
        <v>1700000</v>
      </c>
      <c r="E50" s="288">
        <v>0</v>
      </c>
      <c r="G50" s="188"/>
      <c r="H50" s="188"/>
      <c r="I50" s="187"/>
      <c r="J50" s="187"/>
      <c r="K50" s="187"/>
      <c r="L50" s="187"/>
      <c r="M50" s="187"/>
      <c r="N50" s="187"/>
    </row>
    <row r="51" spans="1:14" s="181" customFormat="1" ht="47.25" x14ac:dyDescent="0.25">
      <c r="A51" s="278" t="s">
        <v>788</v>
      </c>
      <c r="B51" s="294" t="s">
        <v>789</v>
      </c>
      <c r="C51" s="295">
        <v>43830</v>
      </c>
      <c r="D51" s="287">
        <v>1995000</v>
      </c>
      <c r="E51" s="288">
        <v>0</v>
      </c>
      <c r="G51" s="188"/>
      <c r="H51" s="188"/>
      <c r="I51" s="187"/>
      <c r="J51" s="187"/>
      <c r="K51" s="187"/>
      <c r="L51" s="187"/>
      <c r="M51" s="187"/>
      <c r="N51" s="187"/>
    </row>
    <row r="52" spans="1:14" s="181" customFormat="1" ht="31.5" x14ac:dyDescent="0.25">
      <c r="A52" s="278" t="s">
        <v>788</v>
      </c>
      <c r="B52" s="296" t="s">
        <v>790</v>
      </c>
      <c r="C52" s="263">
        <v>43830</v>
      </c>
      <c r="D52" s="287">
        <v>3690810</v>
      </c>
      <c r="E52" s="288">
        <v>0</v>
      </c>
      <c r="G52" s="188"/>
      <c r="H52" s="188"/>
      <c r="I52" s="187"/>
      <c r="J52" s="187"/>
      <c r="K52" s="187"/>
      <c r="L52" s="187"/>
      <c r="M52" s="187"/>
      <c r="N52" s="187"/>
    </row>
    <row r="53" spans="1:14" s="181" customFormat="1" ht="31.5" x14ac:dyDescent="0.25">
      <c r="A53" s="278" t="s">
        <v>791</v>
      </c>
      <c r="B53" s="279" t="s">
        <v>792</v>
      </c>
      <c r="C53" s="263"/>
      <c r="D53" s="287">
        <v>300000</v>
      </c>
      <c r="E53" s="288">
        <v>0</v>
      </c>
      <c r="G53" s="188"/>
      <c r="H53" s="188"/>
      <c r="I53" s="187"/>
      <c r="J53" s="187"/>
      <c r="K53" s="187"/>
      <c r="L53" s="187"/>
      <c r="M53" s="187"/>
      <c r="N53" s="187"/>
    </row>
    <row r="54" spans="1:14" s="181" customFormat="1" ht="31.5" x14ac:dyDescent="0.25">
      <c r="A54" s="278" t="s">
        <v>793</v>
      </c>
      <c r="B54" s="279" t="s">
        <v>794</v>
      </c>
      <c r="C54" s="263"/>
      <c r="D54" s="287">
        <f>600000*1.27</f>
        <v>762000</v>
      </c>
      <c r="E54" s="288">
        <v>0</v>
      </c>
      <c r="G54" s="188"/>
      <c r="H54" s="188"/>
      <c r="I54" s="187"/>
      <c r="J54" s="187"/>
      <c r="K54" s="187"/>
      <c r="L54" s="187"/>
      <c r="M54" s="187"/>
      <c r="N54" s="187"/>
    </row>
    <row r="55" spans="1:14" s="181" customFormat="1" ht="15.75" x14ac:dyDescent="0.25">
      <c r="A55" s="266" t="s">
        <v>553</v>
      </c>
      <c r="B55" s="262" t="s">
        <v>554</v>
      </c>
      <c r="C55" s="263" t="s">
        <v>402</v>
      </c>
      <c r="D55" s="264">
        <f>12*103450</f>
        <v>1241400</v>
      </c>
      <c r="E55" s="265">
        <f>205240+1137120</f>
        <v>1342360</v>
      </c>
      <c r="F55" s="187"/>
      <c r="G55" s="187"/>
      <c r="H55" s="187"/>
      <c r="I55" s="187"/>
      <c r="J55" s="187"/>
      <c r="K55" s="187"/>
      <c r="L55" s="187"/>
      <c r="M55" s="187"/>
      <c r="N55" s="187"/>
    </row>
    <row r="56" spans="1:14" s="181" customFormat="1" ht="15.75" x14ac:dyDescent="0.25">
      <c r="A56" s="266" t="s">
        <v>553</v>
      </c>
      <c r="B56" s="262" t="s">
        <v>555</v>
      </c>
      <c r="C56" s="263" t="s">
        <v>402</v>
      </c>
      <c r="D56" s="264">
        <f>12*24400+12*24300+11*24000</f>
        <v>848400</v>
      </c>
      <c r="E56" s="265">
        <v>0</v>
      </c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s="181" customFormat="1" ht="15.75" x14ac:dyDescent="0.25">
      <c r="A57" s="266" t="s">
        <v>795</v>
      </c>
      <c r="B57" s="262" t="s">
        <v>796</v>
      </c>
      <c r="C57" s="263">
        <v>43890</v>
      </c>
      <c r="D57" s="264">
        <v>1212850</v>
      </c>
      <c r="E57" s="265">
        <v>0</v>
      </c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s="181" customFormat="1" ht="15.75" x14ac:dyDescent="0.25">
      <c r="A58" s="266" t="s">
        <v>795</v>
      </c>
      <c r="B58" s="262" t="s">
        <v>797</v>
      </c>
      <c r="C58" s="263">
        <v>43890</v>
      </c>
      <c r="D58" s="264">
        <v>352425</v>
      </c>
      <c r="E58" s="265">
        <v>822325</v>
      </c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s="181" customFormat="1" ht="15.75" x14ac:dyDescent="0.25">
      <c r="A59" s="266" t="s">
        <v>556</v>
      </c>
      <c r="B59" s="262" t="s">
        <v>557</v>
      </c>
      <c r="C59" s="263">
        <v>43889</v>
      </c>
      <c r="D59" s="264">
        <f>209550*2*7</f>
        <v>2933700</v>
      </c>
      <c r="E59" s="265">
        <v>4191000</v>
      </c>
      <c r="F59" s="188"/>
      <c r="G59" s="187"/>
      <c r="H59" s="187"/>
      <c r="I59" s="187"/>
      <c r="J59" s="187"/>
      <c r="K59" s="187"/>
      <c r="L59" s="187"/>
      <c r="M59" s="187"/>
      <c r="N59" s="187"/>
    </row>
    <row r="60" spans="1:14" s="181" customFormat="1" ht="47.25" x14ac:dyDescent="0.25">
      <c r="A60" s="266" t="s">
        <v>798</v>
      </c>
      <c r="B60" s="262" t="s">
        <v>799</v>
      </c>
      <c r="C60" s="263">
        <v>44012</v>
      </c>
      <c r="D60" s="264">
        <v>100000</v>
      </c>
      <c r="E60" s="265">
        <v>0</v>
      </c>
      <c r="F60" s="188"/>
      <c r="G60" s="187"/>
      <c r="H60" s="187"/>
      <c r="I60" s="187"/>
      <c r="J60" s="187"/>
      <c r="K60" s="187"/>
      <c r="L60" s="187"/>
      <c r="M60" s="187"/>
      <c r="N60" s="187"/>
    </row>
    <row r="61" spans="1:14" s="181" customFormat="1" ht="15.75" x14ac:dyDescent="0.25">
      <c r="A61" s="278" t="s">
        <v>558</v>
      </c>
      <c r="B61" s="279" t="s">
        <v>559</v>
      </c>
      <c r="C61" s="263" t="s">
        <v>402</v>
      </c>
      <c r="D61" s="264">
        <f>E61*E6</f>
        <v>4248700</v>
      </c>
      <c r="E61" s="297">
        <f>462489+3786211</f>
        <v>4248700</v>
      </c>
      <c r="F61" s="187"/>
      <c r="G61" s="187"/>
      <c r="H61" s="187"/>
      <c r="I61" s="187"/>
      <c r="J61" s="187"/>
      <c r="K61" s="187"/>
      <c r="L61" s="187"/>
      <c r="M61" s="187"/>
      <c r="N61" s="187"/>
    </row>
    <row r="62" spans="1:14" s="181" customFormat="1" ht="15.75" x14ac:dyDescent="0.25">
      <c r="A62" s="278" t="s">
        <v>558</v>
      </c>
      <c r="B62" s="279" t="s">
        <v>800</v>
      </c>
      <c r="C62" s="263" t="s">
        <v>469</v>
      </c>
      <c r="D62" s="264">
        <v>4800049</v>
      </c>
      <c r="E62" s="297">
        <v>0</v>
      </c>
      <c r="F62" s="187"/>
      <c r="G62" s="187"/>
      <c r="H62" s="187"/>
      <c r="I62" s="187"/>
      <c r="J62" s="187"/>
      <c r="K62" s="187"/>
      <c r="L62" s="187"/>
      <c r="M62" s="187"/>
      <c r="N62" s="187"/>
    </row>
    <row r="63" spans="1:14" s="181" customFormat="1" ht="31.5" x14ac:dyDescent="0.25">
      <c r="A63" s="278" t="s">
        <v>558</v>
      </c>
      <c r="B63" s="279" t="s">
        <v>801</v>
      </c>
      <c r="C63" s="263" t="s">
        <v>469</v>
      </c>
      <c r="D63" s="298">
        <v>2964961</v>
      </c>
      <c r="E63" s="297">
        <v>0</v>
      </c>
      <c r="F63" s="187"/>
      <c r="G63" s="187"/>
      <c r="H63" s="187"/>
      <c r="I63" s="187"/>
      <c r="J63" s="187"/>
      <c r="K63" s="187"/>
      <c r="L63" s="187"/>
      <c r="M63" s="187"/>
      <c r="N63" s="187"/>
    </row>
    <row r="64" spans="1:14" s="181" customFormat="1" ht="15.75" x14ac:dyDescent="0.25">
      <c r="A64" s="278" t="s">
        <v>558</v>
      </c>
      <c r="B64" s="279" t="s">
        <v>802</v>
      </c>
      <c r="C64" s="263" t="s">
        <v>469</v>
      </c>
      <c r="D64" s="298">
        <v>9055100</v>
      </c>
      <c r="E64" s="297">
        <v>0</v>
      </c>
      <c r="F64" s="187"/>
      <c r="G64" s="187"/>
      <c r="H64" s="187"/>
      <c r="I64" s="187"/>
      <c r="J64" s="187"/>
      <c r="K64" s="187"/>
      <c r="L64" s="187"/>
      <c r="M64" s="187"/>
      <c r="N64" s="187"/>
    </row>
    <row r="65" spans="1:14" s="181" customFormat="1" ht="31.5" x14ac:dyDescent="0.25">
      <c r="A65" s="278" t="s">
        <v>558</v>
      </c>
      <c r="B65" s="279" t="s">
        <v>803</v>
      </c>
      <c r="C65" s="263" t="s">
        <v>469</v>
      </c>
      <c r="D65" s="298">
        <v>1311490</v>
      </c>
      <c r="E65" s="297">
        <v>0</v>
      </c>
      <c r="F65" s="187"/>
      <c r="G65" s="187"/>
      <c r="H65" s="187"/>
      <c r="I65" s="187"/>
      <c r="J65" s="187"/>
      <c r="K65" s="187"/>
      <c r="L65" s="187"/>
      <c r="M65" s="187"/>
      <c r="N65" s="187"/>
    </row>
    <row r="66" spans="1:14" s="181" customFormat="1" ht="47.25" x14ac:dyDescent="0.25">
      <c r="A66" s="278" t="s">
        <v>558</v>
      </c>
      <c r="B66" s="279" t="s">
        <v>804</v>
      </c>
      <c r="C66" s="263" t="s">
        <v>469</v>
      </c>
      <c r="D66" s="298">
        <v>19694862</v>
      </c>
      <c r="E66" s="297">
        <v>0</v>
      </c>
      <c r="F66" s="187"/>
      <c r="G66" s="187"/>
      <c r="H66" s="187"/>
      <c r="I66" s="187"/>
      <c r="J66" s="187"/>
      <c r="K66" s="187"/>
      <c r="L66" s="187"/>
      <c r="M66" s="187"/>
      <c r="N66" s="187"/>
    </row>
    <row r="67" spans="1:14" s="181" customFormat="1" ht="47.25" x14ac:dyDescent="0.25">
      <c r="A67" s="278" t="s">
        <v>558</v>
      </c>
      <c r="B67" s="279" t="s">
        <v>805</v>
      </c>
      <c r="C67" s="263" t="s">
        <v>469</v>
      </c>
      <c r="D67" s="298">
        <v>7493000</v>
      </c>
      <c r="E67" s="297">
        <v>0</v>
      </c>
      <c r="F67" s="187"/>
      <c r="G67" s="187"/>
      <c r="H67" s="187"/>
      <c r="I67" s="187"/>
      <c r="J67" s="187"/>
      <c r="K67" s="187"/>
      <c r="L67" s="187"/>
      <c r="M67" s="187"/>
      <c r="N67" s="187"/>
    </row>
    <row r="68" spans="1:14" s="181" customFormat="1" ht="31.5" x14ac:dyDescent="0.25">
      <c r="A68" s="278" t="s">
        <v>558</v>
      </c>
      <c r="B68" s="279" t="s">
        <v>806</v>
      </c>
      <c r="C68" s="263" t="s">
        <v>469</v>
      </c>
      <c r="D68" s="299">
        <v>1661744</v>
      </c>
      <c r="E68" s="297">
        <v>0</v>
      </c>
      <c r="F68" s="187"/>
      <c r="G68" s="187"/>
      <c r="H68" s="187"/>
      <c r="I68" s="187"/>
      <c r="J68" s="187"/>
      <c r="K68" s="187"/>
      <c r="L68" s="187"/>
      <c r="M68" s="187"/>
      <c r="N68" s="187"/>
    </row>
    <row r="69" spans="1:14" s="181" customFormat="1" ht="47.25" x14ac:dyDescent="0.25">
      <c r="A69" s="278" t="s">
        <v>558</v>
      </c>
      <c r="B69" s="279" t="s">
        <v>807</v>
      </c>
      <c r="C69" s="263" t="s">
        <v>469</v>
      </c>
      <c r="D69" s="299">
        <v>8763000</v>
      </c>
      <c r="E69" s="297">
        <v>0</v>
      </c>
      <c r="F69" s="187"/>
      <c r="G69" s="187"/>
      <c r="H69" s="187"/>
      <c r="I69" s="187"/>
      <c r="J69" s="187"/>
      <c r="K69" s="187"/>
      <c r="L69" s="187"/>
      <c r="M69" s="187"/>
      <c r="N69" s="187"/>
    </row>
    <row r="70" spans="1:14" s="181" customFormat="1" ht="31.5" x14ac:dyDescent="0.25">
      <c r="A70" s="278" t="s">
        <v>558</v>
      </c>
      <c r="B70" s="279" t="s">
        <v>808</v>
      </c>
      <c r="C70" s="263" t="s">
        <v>469</v>
      </c>
      <c r="D70" s="298">
        <v>2476500</v>
      </c>
      <c r="E70" s="297">
        <v>0</v>
      </c>
      <c r="F70" s="187"/>
      <c r="G70" s="187"/>
      <c r="H70" s="187"/>
      <c r="I70" s="187"/>
      <c r="J70" s="187"/>
      <c r="K70" s="187"/>
      <c r="L70" s="187"/>
      <c r="M70" s="187"/>
      <c r="N70" s="187"/>
    </row>
    <row r="71" spans="1:14" s="181" customFormat="1" ht="31.5" x14ac:dyDescent="0.25">
      <c r="A71" s="278" t="s">
        <v>558</v>
      </c>
      <c r="B71" s="279" t="s">
        <v>809</v>
      </c>
      <c r="C71" s="263" t="s">
        <v>469</v>
      </c>
      <c r="D71" s="298">
        <v>845708</v>
      </c>
      <c r="E71" s="297">
        <v>0</v>
      </c>
      <c r="F71" s="187"/>
      <c r="G71" s="187"/>
      <c r="H71" s="187"/>
      <c r="I71" s="187"/>
      <c r="J71" s="187"/>
      <c r="K71" s="187"/>
      <c r="L71" s="187"/>
      <c r="M71" s="187"/>
      <c r="N71" s="187"/>
    </row>
    <row r="72" spans="1:14" s="181" customFormat="1" ht="15.75" x14ac:dyDescent="0.25">
      <c r="A72" s="300" t="s">
        <v>416</v>
      </c>
      <c r="B72" s="301" t="s">
        <v>560</v>
      </c>
      <c r="C72" s="302" t="s">
        <v>402</v>
      </c>
      <c r="D72" s="264">
        <f>E72</f>
        <v>13409402</v>
      </c>
      <c r="E72" s="297">
        <f>11984362+1425040</f>
        <v>13409402</v>
      </c>
      <c r="F72" s="187"/>
      <c r="G72" s="187"/>
      <c r="H72" s="187"/>
      <c r="I72" s="187"/>
      <c r="J72" s="187"/>
      <c r="K72" s="187"/>
      <c r="L72" s="187"/>
      <c r="M72" s="187"/>
      <c r="N72" s="187"/>
    </row>
    <row r="73" spans="1:14" s="183" customFormat="1" ht="15.75" x14ac:dyDescent="0.25">
      <c r="A73" s="300" t="s">
        <v>416</v>
      </c>
      <c r="B73" s="301" t="s">
        <v>561</v>
      </c>
      <c r="C73" s="302" t="s">
        <v>402</v>
      </c>
      <c r="D73" s="264">
        <f>E73</f>
        <v>11760736</v>
      </c>
      <c r="E73" s="265">
        <f>10896771+863965</f>
        <v>11760736</v>
      </c>
      <c r="F73" s="188"/>
      <c r="G73" s="188"/>
      <c r="H73" s="188"/>
      <c r="I73" s="188"/>
      <c r="J73" s="188"/>
      <c r="K73" s="188"/>
      <c r="L73" s="188"/>
      <c r="M73" s="188"/>
      <c r="N73" s="188"/>
    </row>
    <row r="74" spans="1:14" s="181" customFormat="1" ht="15.75" x14ac:dyDescent="0.25">
      <c r="A74" s="300" t="s">
        <v>416</v>
      </c>
      <c r="B74" s="301" t="s">
        <v>562</v>
      </c>
      <c r="C74" s="302" t="s">
        <v>402</v>
      </c>
      <c r="D74" s="264">
        <f>E74</f>
        <v>14810151</v>
      </c>
      <c r="E74" s="265">
        <f>12468792+2341359</f>
        <v>14810151</v>
      </c>
      <c r="F74" s="187"/>
      <c r="G74" s="187"/>
      <c r="H74" s="187"/>
      <c r="I74" s="187"/>
      <c r="J74" s="187"/>
      <c r="K74" s="187"/>
      <c r="L74" s="187"/>
      <c r="M74" s="187"/>
      <c r="N74" s="187"/>
    </row>
    <row r="75" spans="1:14" s="181" customFormat="1" ht="15.75" x14ac:dyDescent="0.25">
      <c r="A75" s="266" t="s">
        <v>416</v>
      </c>
      <c r="B75" s="262" t="s">
        <v>563</v>
      </c>
      <c r="C75" s="263" t="s">
        <v>402</v>
      </c>
      <c r="D75" s="264">
        <f>E75*E6</f>
        <v>7777789</v>
      </c>
      <c r="E75" s="265">
        <f>6632546+1145243</f>
        <v>7777789</v>
      </c>
      <c r="F75" s="187"/>
      <c r="G75" s="187"/>
      <c r="H75" s="187"/>
      <c r="I75" s="187"/>
      <c r="J75" s="187"/>
      <c r="K75" s="187"/>
      <c r="L75" s="187"/>
      <c r="M75" s="187"/>
      <c r="N75" s="187"/>
    </row>
    <row r="76" spans="1:14" s="181" customFormat="1" ht="15.75" x14ac:dyDescent="0.25">
      <c r="A76" s="266" t="s">
        <v>564</v>
      </c>
      <c r="B76" s="262" t="s">
        <v>565</v>
      </c>
      <c r="C76" s="263" t="s">
        <v>402</v>
      </c>
      <c r="D76" s="264">
        <f>E76</f>
        <v>3551500</v>
      </c>
      <c r="E76" s="265">
        <v>3551500</v>
      </c>
      <c r="F76" s="187"/>
      <c r="G76" s="187"/>
      <c r="H76" s="187"/>
      <c r="I76" s="187"/>
      <c r="J76" s="187"/>
      <c r="K76" s="187"/>
      <c r="L76" s="187"/>
      <c r="M76" s="187"/>
      <c r="N76" s="187"/>
    </row>
    <row r="77" spans="1:14" s="181" customFormat="1" ht="31.5" x14ac:dyDescent="0.25">
      <c r="A77" s="266" t="s">
        <v>566</v>
      </c>
      <c r="B77" s="262" t="s">
        <v>567</v>
      </c>
      <c r="C77" s="263">
        <v>45046</v>
      </c>
      <c r="D77" s="264">
        <f>607403*12</f>
        <v>7288836</v>
      </c>
      <c r="E77" s="265">
        <f>5589387+952009</f>
        <v>6541396</v>
      </c>
      <c r="F77" s="187"/>
      <c r="G77" s="187"/>
      <c r="H77" s="187"/>
      <c r="I77" s="187"/>
      <c r="J77" s="187"/>
      <c r="K77" s="187"/>
      <c r="L77" s="187"/>
      <c r="M77" s="187"/>
      <c r="N77" s="187"/>
    </row>
    <row r="78" spans="1:14" s="181" customFormat="1" ht="31.5" x14ac:dyDescent="0.25">
      <c r="A78" s="266" t="s">
        <v>568</v>
      </c>
      <c r="B78" s="262" t="s">
        <v>569</v>
      </c>
      <c r="C78" s="263">
        <v>43860</v>
      </c>
      <c r="D78" s="264">
        <v>33284922</v>
      </c>
      <c r="E78" s="265">
        <f>16680180</f>
        <v>16680180</v>
      </c>
      <c r="F78" s="187"/>
      <c r="G78" s="187"/>
      <c r="H78" s="187"/>
      <c r="I78" s="187"/>
      <c r="J78" s="187"/>
      <c r="K78" s="187"/>
      <c r="L78" s="187"/>
      <c r="M78" s="187"/>
      <c r="N78" s="187"/>
    </row>
    <row r="79" spans="1:14" s="181" customFormat="1" ht="31.5" x14ac:dyDescent="0.25">
      <c r="A79" s="266" t="s">
        <v>568</v>
      </c>
      <c r="B79" s="262" t="s">
        <v>570</v>
      </c>
      <c r="C79" s="263">
        <v>43860</v>
      </c>
      <c r="D79" s="264">
        <v>14795881</v>
      </c>
      <c r="E79" s="265">
        <f>45868590</f>
        <v>45868590</v>
      </c>
      <c r="F79" s="187"/>
      <c r="G79" s="187"/>
      <c r="H79" s="187"/>
      <c r="I79" s="187"/>
      <c r="J79" s="187"/>
      <c r="K79" s="187"/>
      <c r="L79" s="187"/>
      <c r="M79" s="187"/>
      <c r="N79" s="187"/>
    </row>
    <row r="80" spans="1:14" s="183" customFormat="1" ht="15.75" x14ac:dyDescent="0.25">
      <c r="A80" s="266" t="s">
        <v>571</v>
      </c>
      <c r="B80" s="262" t="s">
        <v>572</v>
      </c>
      <c r="C80" s="263">
        <v>44196</v>
      </c>
      <c r="D80" s="264">
        <v>500000</v>
      </c>
      <c r="E80" s="265">
        <v>0</v>
      </c>
      <c r="F80" s="219"/>
      <c r="G80" s="188"/>
      <c r="H80" s="188"/>
      <c r="I80" s="188"/>
      <c r="J80" s="188"/>
      <c r="K80" s="188"/>
      <c r="L80" s="188"/>
      <c r="M80" s="188"/>
      <c r="N80" s="188"/>
    </row>
    <row r="81" spans="1:14" s="183" customFormat="1" ht="47.25" x14ac:dyDescent="0.25">
      <c r="A81" s="266" t="s">
        <v>573</v>
      </c>
      <c r="B81" s="262" t="s">
        <v>574</v>
      </c>
      <c r="C81" s="263">
        <v>43890</v>
      </c>
      <c r="D81" s="264">
        <v>35204</v>
      </c>
      <c r="E81" s="265">
        <v>4038219</v>
      </c>
      <c r="F81" s="219"/>
      <c r="G81" s="188"/>
      <c r="H81" s="188"/>
      <c r="I81" s="188"/>
      <c r="J81" s="188"/>
      <c r="K81" s="188"/>
      <c r="L81" s="188"/>
      <c r="M81" s="188"/>
      <c r="N81" s="188"/>
    </row>
    <row r="82" spans="1:14" s="183" customFormat="1" ht="31.5" x14ac:dyDescent="0.25">
      <c r="A82" s="266" t="s">
        <v>575</v>
      </c>
      <c r="B82" s="262" t="s">
        <v>810</v>
      </c>
      <c r="C82" s="263" t="s">
        <v>811</v>
      </c>
      <c r="D82" s="264">
        <v>390000</v>
      </c>
      <c r="E82" s="265">
        <v>0</v>
      </c>
      <c r="F82" s="219"/>
      <c r="G82" s="188"/>
      <c r="H82" s="188"/>
      <c r="I82" s="188"/>
      <c r="J82" s="188"/>
      <c r="K82" s="188"/>
      <c r="L82" s="188"/>
      <c r="M82" s="188"/>
      <c r="N82" s="188"/>
    </row>
    <row r="83" spans="1:14" s="181" customFormat="1" ht="15.75" x14ac:dyDescent="0.25">
      <c r="A83" s="300" t="s">
        <v>577</v>
      </c>
      <c r="B83" s="301" t="s">
        <v>812</v>
      </c>
      <c r="C83" s="302" t="s">
        <v>402</v>
      </c>
      <c r="D83" s="264">
        <f>E83</f>
        <v>467116</v>
      </c>
      <c r="E83" s="265">
        <f>392402+74714</f>
        <v>467116</v>
      </c>
      <c r="F83" s="188"/>
      <c r="G83" s="187"/>
      <c r="H83" s="187"/>
      <c r="I83" s="187"/>
      <c r="J83" s="187"/>
      <c r="K83" s="187"/>
      <c r="L83" s="187"/>
      <c r="M83" s="187"/>
      <c r="N83" s="187"/>
    </row>
    <row r="84" spans="1:14" s="181" customFormat="1" ht="15.75" x14ac:dyDescent="0.25">
      <c r="A84" s="300" t="s">
        <v>577</v>
      </c>
      <c r="B84" s="301" t="s">
        <v>578</v>
      </c>
      <c r="C84" s="302" t="s">
        <v>402</v>
      </c>
      <c r="D84" s="264">
        <f>E84</f>
        <v>293061</v>
      </c>
      <c r="E84" s="265">
        <f>293061</f>
        <v>293061</v>
      </c>
      <c r="F84" s="187"/>
      <c r="G84" s="187"/>
      <c r="H84" s="187"/>
      <c r="I84" s="187"/>
      <c r="J84" s="187"/>
      <c r="K84" s="187"/>
      <c r="L84" s="187"/>
      <c r="M84" s="187"/>
      <c r="N84" s="187"/>
    </row>
    <row r="85" spans="1:14" s="181" customFormat="1" ht="15.75" x14ac:dyDescent="0.25">
      <c r="A85" s="300" t="s">
        <v>577</v>
      </c>
      <c r="B85" s="301" t="s">
        <v>579</v>
      </c>
      <c r="C85" s="302" t="s">
        <v>402</v>
      </c>
      <c r="D85" s="264">
        <f>E85</f>
        <v>80521</v>
      </c>
      <c r="E85" s="265">
        <f>64786+15735</f>
        <v>80521</v>
      </c>
      <c r="F85" s="187"/>
      <c r="G85" s="187"/>
      <c r="H85" s="187"/>
      <c r="I85" s="187"/>
      <c r="J85" s="187"/>
      <c r="K85" s="187"/>
      <c r="L85" s="187"/>
      <c r="M85" s="187"/>
      <c r="N85" s="187"/>
    </row>
    <row r="86" spans="1:14" s="181" customFormat="1" ht="31.5" x14ac:dyDescent="0.25">
      <c r="A86" s="300" t="s">
        <v>577</v>
      </c>
      <c r="B86" s="301" t="s">
        <v>813</v>
      </c>
      <c r="C86" s="302" t="s">
        <v>402</v>
      </c>
      <c r="D86" s="264">
        <f>(E86/3)*4</f>
        <v>304474.66666666669</v>
      </c>
      <c r="E86" s="265">
        <f>228356</f>
        <v>228356</v>
      </c>
      <c r="F86" s="187"/>
      <c r="G86" s="187"/>
      <c r="H86" s="187"/>
      <c r="I86" s="187"/>
      <c r="J86" s="187"/>
      <c r="K86" s="187"/>
      <c r="L86" s="187"/>
      <c r="M86" s="187"/>
      <c r="N86" s="187"/>
    </row>
    <row r="87" spans="1:14" s="181" customFormat="1" ht="15.75" x14ac:dyDescent="0.25">
      <c r="A87" s="300" t="s">
        <v>580</v>
      </c>
      <c r="B87" s="301" t="s">
        <v>581</v>
      </c>
      <c r="C87" s="302" t="s">
        <v>402</v>
      </c>
      <c r="D87" s="264">
        <v>18000</v>
      </c>
      <c r="E87" s="265">
        <f>4500*4</f>
        <v>18000</v>
      </c>
      <c r="F87" s="187"/>
      <c r="G87" s="187"/>
      <c r="H87" s="187"/>
      <c r="I87" s="187"/>
      <c r="J87" s="187"/>
      <c r="K87" s="187"/>
      <c r="L87" s="187"/>
      <c r="M87" s="187"/>
      <c r="N87" s="187"/>
    </row>
    <row r="88" spans="1:14" s="181" customFormat="1" ht="31.5" x14ac:dyDescent="0.25">
      <c r="A88" s="300" t="s">
        <v>582</v>
      </c>
      <c r="B88" s="301" t="s">
        <v>583</v>
      </c>
      <c r="C88" s="302" t="s">
        <v>402</v>
      </c>
      <c r="D88" s="264">
        <f>E88</f>
        <v>178000</v>
      </c>
      <c r="E88" s="265">
        <v>178000</v>
      </c>
      <c r="F88" s="187"/>
      <c r="G88" s="187"/>
      <c r="H88" s="187"/>
      <c r="I88" s="187"/>
      <c r="J88" s="187"/>
      <c r="K88" s="187"/>
      <c r="L88" s="187"/>
      <c r="M88" s="187"/>
      <c r="N88" s="187"/>
    </row>
    <row r="89" spans="1:14" s="181" customFormat="1" ht="63" x14ac:dyDescent="0.25">
      <c r="A89" s="300" t="s">
        <v>814</v>
      </c>
      <c r="B89" s="303" t="s">
        <v>815</v>
      </c>
      <c r="C89" s="295">
        <v>43951</v>
      </c>
      <c r="D89" s="264">
        <v>1166000</v>
      </c>
      <c r="E89" s="265">
        <v>1606000</v>
      </c>
      <c r="F89" s="187"/>
      <c r="G89" s="187"/>
      <c r="H89" s="187"/>
      <c r="I89" s="187"/>
      <c r="J89" s="187"/>
      <c r="K89" s="187"/>
      <c r="L89" s="187"/>
      <c r="M89" s="187"/>
      <c r="N89" s="187"/>
    </row>
    <row r="90" spans="1:14" s="181" customFormat="1" ht="15.75" x14ac:dyDescent="0.25">
      <c r="A90" s="300" t="s">
        <v>584</v>
      </c>
      <c r="B90" s="301" t="s">
        <v>1101</v>
      </c>
      <c r="C90" s="302" t="s">
        <v>816</v>
      </c>
      <c r="D90" s="264">
        <f>190500*4</f>
        <v>762000</v>
      </c>
      <c r="E90" s="265">
        <v>741680</v>
      </c>
      <c r="F90" s="187"/>
      <c r="G90" s="187"/>
      <c r="H90" s="187"/>
      <c r="I90" s="187"/>
      <c r="J90" s="187"/>
      <c r="K90" s="187"/>
      <c r="L90" s="187"/>
      <c r="M90" s="187"/>
      <c r="N90" s="187"/>
    </row>
    <row r="91" spans="1:14" s="181" customFormat="1" ht="31.5" x14ac:dyDescent="0.25">
      <c r="A91" s="300" t="s">
        <v>817</v>
      </c>
      <c r="B91" s="301" t="s">
        <v>818</v>
      </c>
      <c r="C91" s="302">
        <v>43805</v>
      </c>
      <c r="D91" s="264" t="s">
        <v>819</v>
      </c>
      <c r="E91" s="265">
        <v>0</v>
      </c>
      <c r="F91" s="187"/>
      <c r="G91" s="187"/>
      <c r="H91" s="187"/>
      <c r="I91" s="187"/>
      <c r="J91" s="187"/>
      <c r="K91" s="187"/>
      <c r="L91" s="187"/>
      <c r="M91" s="187"/>
      <c r="N91" s="187"/>
    </row>
    <row r="92" spans="1:14" s="181" customFormat="1" ht="31.5" x14ac:dyDescent="0.25">
      <c r="A92" s="300" t="s">
        <v>585</v>
      </c>
      <c r="B92" s="301" t="s">
        <v>586</v>
      </c>
      <c r="C92" s="302" t="s">
        <v>402</v>
      </c>
      <c r="D92" s="264">
        <f>E92</f>
        <v>114023</v>
      </c>
      <c r="E92" s="265">
        <f>90959+23064</f>
        <v>114023</v>
      </c>
      <c r="F92" s="187"/>
      <c r="G92" s="187"/>
      <c r="H92" s="187"/>
      <c r="I92" s="187"/>
      <c r="J92" s="187"/>
      <c r="K92" s="187"/>
      <c r="L92" s="187"/>
      <c r="M92" s="187"/>
      <c r="N92" s="187"/>
    </row>
    <row r="93" spans="1:14" s="181" customFormat="1" ht="31.5" x14ac:dyDescent="0.25">
      <c r="A93" s="300" t="s">
        <v>585</v>
      </c>
      <c r="B93" s="301" t="s">
        <v>820</v>
      </c>
      <c r="C93" s="302">
        <v>43889</v>
      </c>
      <c r="D93" s="264">
        <v>1160738</v>
      </c>
      <c r="E93" s="265">
        <f>4646265</f>
        <v>4646265</v>
      </c>
      <c r="F93" s="187"/>
      <c r="G93" s="187"/>
      <c r="H93" s="187"/>
      <c r="I93" s="187"/>
      <c r="J93" s="187"/>
      <c r="K93" s="187"/>
      <c r="L93" s="187"/>
      <c r="M93" s="187"/>
      <c r="N93" s="187"/>
    </row>
    <row r="94" spans="1:14" s="181" customFormat="1" ht="31.5" x14ac:dyDescent="0.25">
      <c r="A94" s="300" t="s">
        <v>587</v>
      </c>
      <c r="B94" s="301" t="s">
        <v>821</v>
      </c>
      <c r="C94" s="302" t="s">
        <v>822</v>
      </c>
      <c r="D94" s="304">
        <v>9930900</v>
      </c>
      <c r="E94" s="297">
        <v>61269100</v>
      </c>
      <c r="F94" s="188"/>
      <c r="G94" s="187"/>
      <c r="H94" s="187"/>
      <c r="I94" s="187"/>
      <c r="J94" s="187"/>
      <c r="K94" s="187"/>
      <c r="L94" s="187"/>
      <c r="M94" s="187"/>
      <c r="N94" s="187"/>
    </row>
    <row r="95" spans="1:14" s="181" customFormat="1" ht="31.5" x14ac:dyDescent="0.25">
      <c r="A95" s="300" t="s">
        <v>823</v>
      </c>
      <c r="B95" s="301" t="s">
        <v>824</v>
      </c>
      <c r="C95" s="302"/>
      <c r="D95" s="304">
        <v>271204</v>
      </c>
      <c r="E95" s="297">
        <v>0</v>
      </c>
      <c r="F95" s="188"/>
      <c r="G95" s="187"/>
      <c r="H95" s="187"/>
      <c r="I95" s="187"/>
      <c r="J95" s="187"/>
      <c r="K95" s="187"/>
      <c r="L95" s="187"/>
      <c r="M95" s="187"/>
      <c r="N95" s="187"/>
    </row>
    <row r="96" spans="1:14" s="181" customFormat="1" ht="47.25" x14ac:dyDescent="0.25">
      <c r="A96" s="300" t="s">
        <v>825</v>
      </c>
      <c r="B96" s="301" t="s">
        <v>826</v>
      </c>
      <c r="C96" s="302">
        <v>43830</v>
      </c>
      <c r="D96" s="304">
        <v>2031370</v>
      </c>
      <c r="E96" s="297">
        <v>0</v>
      </c>
      <c r="F96" s="188"/>
      <c r="G96" s="187"/>
      <c r="H96" s="187"/>
      <c r="I96" s="187"/>
      <c r="J96" s="187"/>
      <c r="K96" s="187"/>
      <c r="L96" s="187"/>
      <c r="M96" s="187"/>
      <c r="N96" s="187"/>
    </row>
    <row r="97" spans="1:14" s="183" customFormat="1" ht="15.75" x14ac:dyDescent="0.25">
      <c r="A97" s="300" t="s">
        <v>588</v>
      </c>
      <c r="B97" s="301" t="s">
        <v>589</v>
      </c>
      <c r="C97" s="302">
        <v>43978</v>
      </c>
      <c r="D97" s="264">
        <v>858637</v>
      </c>
      <c r="E97" s="265">
        <v>0</v>
      </c>
      <c r="F97" s="188"/>
      <c r="G97" s="188"/>
      <c r="H97" s="188"/>
      <c r="I97" s="188"/>
      <c r="J97" s="188"/>
      <c r="K97" s="188"/>
      <c r="L97" s="188"/>
      <c r="M97" s="188"/>
      <c r="N97" s="188"/>
    </row>
    <row r="98" spans="1:14" s="183" customFormat="1" ht="15.75" x14ac:dyDescent="0.25">
      <c r="A98" s="300" t="s">
        <v>590</v>
      </c>
      <c r="B98" s="301" t="s">
        <v>591</v>
      </c>
      <c r="C98" s="302" t="s">
        <v>402</v>
      </c>
      <c r="D98" s="264">
        <f>5080*12</f>
        <v>60960</v>
      </c>
      <c r="E98" s="265">
        <v>60960</v>
      </c>
      <c r="F98" s="188"/>
      <c r="G98" s="188"/>
      <c r="H98" s="188"/>
      <c r="I98" s="188"/>
      <c r="J98" s="188"/>
      <c r="K98" s="188"/>
      <c r="L98" s="188"/>
      <c r="M98" s="188"/>
      <c r="N98" s="188"/>
    </row>
    <row r="99" spans="1:14" s="183" customFormat="1" ht="15.75" x14ac:dyDescent="0.25">
      <c r="A99" s="300" t="s">
        <v>827</v>
      </c>
      <c r="B99" s="301" t="s">
        <v>828</v>
      </c>
      <c r="C99" s="302" t="s">
        <v>829</v>
      </c>
      <c r="D99" s="264">
        <v>595000</v>
      </c>
      <c r="E99" s="265">
        <v>595000</v>
      </c>
      <c r="F99" s="188"/>
      <c r="G99" s="188"/>
      <c r="H99" s="188"/>
      <c r="I99" s="188"/>
      <c r="J99" s="188"/>
      <c r="K99" s="188"/>
      <c r="L99" s="188"/>
      <c r="M99" s="188"/>
      <c r="N99" s="188"/>
    </row>
    <row r="100" spans="1:14" s="183" customFormat="1" ht="15.75" x14ac:dyDescent="0.25">
      <c r="A100" s="300" t="s">
        <v>592</v>
      </c>
      <c r="B100" s="305" t="s">
        <v>593</v>
      </c>
      <c r="C100" s="302" t="s">
        <v>402</v>
      </c>
      <c r="D100" s="264">
        <f>E100</f>
        <v>143960</v>
      </c>
      <c r="E100" s="297">
        <v>143960</v>
      </c>
      <c r="F100" s="188"/>
      <c r="G100" s="188"/>
      <c r="H100" s="188"/>
      <c r="I100" s="188"/>
      <c r="J100" s="188"/>
      <c r="K100" s="188"/>
      <c r="L100" s="188"/>
      <c r="M100" s="188"/>
      <c r="N100" s="188"/>
    </row>
    <row r="101" spans="1:14" s="181" customFormat="1" ht="15.75" x14ac:dyDescent="0.25">
      <c r="A101" s="300" t="s">
        <v>594</v>
      </c>
      <c r="B101" s="305" t="s">
        <v>595</v>
      </c>
      <c r="C101" s="263" t="s">
        <v>766</v>
      </c>
      <c r="D101" s="264">
        <f>12*30000</f>
        <v>360000</v>
      </c>
      <c r="E101" s="265">
        <f>360000+30000</f>
        <v>390000</v>
      </c>
      <c r="F101" s="187"/>
      <c r="G101" s="187"/>
      <c r="H101" s="187"/>
      <c r="I101" s="187"/>
      <c r="J101" s="187"/>
      <c r="K101" s="187"/>
      <c r="L101" s="187"/>
      <c r="M101" s="187"/>
      <c r="N101" s="187"/>
    </row>
    <row r="102" spans="1:14" s="194" customFormat="1" ht="15.75" x14ac:dyDescent="0.25">
      <c r="A102" s="306" t="s">
        <v>596</v>
      </c>
      <c r="B102" s="307" t="s">
        <v>597</v>
      </c>
      <c r="C102" s="302" t="s">
        <v>402</v>
      </c>
      <c r="D102" s="304">
        <v>100000</v>
      </c>
      <c r="E102" s="308">
        <v>100000</v>
      </c>
      <c r="F102" s="193"/>
      <c r="G102" s="193"/>
      <c r="H102" s="193"/>
      <c r="I102" s="193"/>
      <c r="J102" s="193"/>
      <c r="K102" s="193"/>
      <c r="L102" s="193"/>
      <c r="M102" s="193"/>
      <c r="N102" s="193"/>
    </row>
    <row r="103" spans="1:14" s="194" customFormat="1" ht="47.25" x14ac:dyDescent="0.25">
      <c r="A103" s="306" t="s">
        <v>830</v>
      </c>
      <c r="B103" s="307" t="s">
        <v>831</v>
      </c>
      <c r="C103" s="302">
        <v>43595</v>
      </c>
      <c r="D103" s="304">
        <v>1000000</v>
      </c>
      <c r="E103" s="308">
        <v>0</v>
      </c>
      <c r="F103" s="193"/>
      <c r="G103" s="193"/>
      <c r="H103" s="193"/>
      <c r="I103" s="193"/>
      <c r="J103" s="193"/>
      <c r="K103" s="193"/>
      <c r="L103" s="193"/>
      <c r="M103" s="193"/>
      <c r="N103" s="193"/>
    </row>
    <row r="104" spans="1:14" s="181" customFormat="1" ht="47.25" x14ac:dyDescent="0.25">
      <c r="A104" s="306" t="s">
        <v>598</v>
      </c>
      <c r="B104" s="307" t="s">
        <v>599</v>
      </c>
      <c r="C104" s="309" t="s">
        <v>832</v>
      </c>
      <c r="D104" s="304">
        <f>E104</f>
        <v>10942320</v>
      </c>
      <c r="E104" s="308">
        <f>3411220+2621280+3934460+975360</f>
        <v>10942320</v>
      </c>
      <c r="F104" s="187"/>
      <c r="G104" s="187"/>
      <c r="H104" s="187"/>
      <c r="I104" s="187"/>
      <c r="J104" s="187"/>
      <c r="K104" s="187"/>
      <c r="L104" s="187"/>
      <c r="M104" s="187"/>
      <c r="N104" s="187"/>
    </row>
    <row r="105" spans="1:14" s="181" customFormat="1" ht="15.75" x14ac:dyDescent="0.25">
      <c r="A105" s="306" t="s">
        <v>598</v>
      </c>
      <c r="B105" s="307" t="s">
        <v>600</v>
      </c>
      <c r="C105" s="302">
        <v>43830</v>
      </c>
      <c r="D105" s="304">
        <f>E105</f>
        <v>34098068</v>
      </c>
      <c r="E105" s="308">
        <f>33921878+99990+76200</f>
        <v>34098068</v>
      </c>
      <c r="F105" s="187"/>
      <c r="G105" s="187"/>
      <c r="H105" s="187"/>
      <c r="I105" s="187"/>
      <c r="J105" s="187"/>
      <c r="K105" s="187"/>
      <c r="L105" s="187"/>
      <c r="M105" s="187"/>
      <c r="N105" s="187"/>
    </row>
    <row r="106" spans="1:14" s="183" customFormat="1" ht="15.75" x14ac:dyDescent="0.25">
      <c r="A106" s="306" t="s">
        <v>598</v>
      </c>
      <c r="B106" s="307" t="s">
        <v>601</v>
      </c>
      <c r="C106" s="302">
        <v>43454</v>
      </c>
      <c r="D106" s="304" t="s">
        <v>420</v>
      </c>
      <c r="E106" s="308">
        <v>0</v>
      </c>
      <c r="F106" s="188"/>
      <c r="G106" s="188"/>
      <c r="H106" s="188"/>
      <c r="I106" s="188"/>
      <c r="J106" s="188"/>
      <c r="K106" s="188"/>
      <c r="L106" s="188"/>
      <c r="M106" s="188"/>
      <c r="N106" s="188"/>
    </row>
    <row r="107" spans="1:14" s="181" customFormat="1" ht="31.5" x14ac:dyDescent="0.25">
      <c r="A107" s="306" t="s">
        <v>598</v>
      </c>
      <c r="B107" s="307" t="s">
        <v>833</v>
      </c>
      <c r="C107" s="309" t="s">
        <v>834</v>
      </c>
      <c r="D107" s="304">
        <v>4724083</v>
      </c>
      <c r="E107" s="308">
        <v>0</v>
      </c>
      <c r="F107" s="187"/>
      <c r="G107" s="187"/>
      <c r="H107" s="187"/>
      <c r="I107" s="187"/>
      <c r="J107" s="187"/>
      <c r="K107" s="187"/>
      <c r="L107" s="187"/>
      <c r="M107" s="187"/>
      <c r="N107" s="187"/>
    </row>
    <row r="108" spans="1:14" s="181" customFormat="1" ht="15.75" x14ac:dyDescent="0.25">
      <c r="A108" s="306" t="s">
        <v>598</v>
      </c>
      <c r="B108" s="307" t="s">
        <v>835</v>
      </c>
      <c r="C108" s="309" t="s">
        <v>836</v>
      </c>
      <c r="D108" s="304">
        <v>8943418</v>
      </c>
      <c r="E108" s="308">
        <v>51182900</v>
      </c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s="181" customFormat="1" ht="15.75" x14ac:dyDescent="0.25">
      <c r="A109" s="306" t="s">
        <v>598</v>
      </c>
      <c r="B109" s="307" t="s">
        <v>837</v>
      </c>
      <c r="C109" s="309">
        <v>43616</v>
      </c>
      <c r="D109" s="304">
        <v>1430106</v>
      </c>
      <c r="E109" s="308">
        <v>0</v>
      </c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s="181" customFormat="1" ht="15.75" x14ac:dyDescent="0.25">
      <c r="A110" s="306" t="s">
        <v>598</v>
      </c>
      <c r="B110" s="307" t="s">
        <v>838</v>
      </c>
      <c r="C110" s="309" t="s">
        <v>469</v>
      </c>
      <c r="D110" s="304">
        <v>304800</v>
      </c>
      <c r="E110" s="308">
        <v>0</v>
      </c>
      <c r="F110" s="187"/>
      <c r="G110" s="187"/>
      <c r="H110" s="187"/>
      <c r="I110" s="187"/>
      <c r="J110" s="187"/>
      <c r="K110" s="187"/>
      <c r="L110" s="187"/>
      <c r="M110" s="187"/>
      <c r="N110" s="187"/>
    </row>
    <row r="111" spans="1:14" s="181" customFormat="1" ht="15.75" x14ac:dyDescent="0.25">
      <c r="A111" s="306" t="s">
        <v>598</v>
      </c>
      <c r="B111" s="307" t="s">
        <v>839</v>
      </c>
      <c r="C111" s="309" t="s">
        <v>469</v>
      </c>
      <c r="D111" s="304">
        <v>889000</v>
      </c>
      <c r="E111" s="308">
        <v>0</v>
      </c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s="181" customFormat="1" ht="15.75" x14ac:dyDescent="0.25">
      <c r="A112" s="306" t="s">
        <v>598</v>
      </c>
      <c r="B112" s="307" t="s">
        <v>840</v>
      </c>
      <c r="C112" s="309" t="s">
        <v>469</v>
      </c>
      <c r="D112" s="304">
        <v>736600</v>
      </c>
      <c r="E112" s="308">
        <v>0</v>
      </c>
      <c r="F112" s="187"/>
      <c r="G112" s="187"/>
      <c r="H112" s="187"/>
      <c r="I112" s="187"/>
      <c r="J112" s="187"/>
      <c r="K112" s="187"/>
      <c r="L112" s="187"/>
      <c r="M112" s="187"/>
      <c r="N112" s="187"/>
    </row>
    <row r="113" spans="1:14" s="181" customFormat="1" ht="15.75" x14ac:dyDescent="0.25">
      <c r="A113" s="306" t="s">
        <v>598</v>
      </c>
      <c r="B113" s="307" t="s">
        <v>841</v>
      </c>
      <c r="C113" s="309">
        <v>43748</v>
      </c>
      <c r="D113" s="304">
        <v>1184683</v>
      </c>
      <c r="E113" s="308">
        <v>0</v>
      </c>
      <c r="F113" s="187"/>
      <c r="G113" s="187"/>
      <c r="H113" s="187"/>
      <c r="I113" s="187"/>
      <c r="J113" s="187"/>
      <c r="K113" s="187"/>
      <c r="L113" s="187"/>
      <c r="M113" s="187"/>
      <c r="N113" s="187"/>
    </row>
    <row r="114" spans="1:14" s="181" customFormat="1" ht="15.75" x14ac:dyDescent="0.25">
      <c r="A114" s="306" t="s">
        <v>598</v>
      </c>
      <c r="B114" s="307" t="s">
        <v>842</v>
      </c>
      <c r="C114" s="309">
        <v>43748</v>
      </c>
      <c r="D114" s="304">
        <v>2093506</v>
      </c>
      <c r="E114" s="308">
        <v>0</v>
      </c>
      <c r="F114" s="187"/>
      <c r="G114" s="187"/>
      <c r="H114" s="187"/>
      <c r="I114" s="187"/>
      <c r="J114" s="187"/>
      <c r="K114" s="187"/>
      <c r="L114" s="187"/>
      <c r="M114" s="187"/>
      <c r="N114" s="187"/>
    </row>
    <row r="115" spans="1:14" s="181" customFormat="1" ht="15.75" x14ac:dyDescent="0.25">
      <c r="A115" s="306" t="s">
        <v>598</v>
      </c>
      <c r="B115" s="307" t="s">
        <v>843</v>
      </c>
      <c r="C115" s="309">
        <v>43748</v>
      </c>
      <c r="D115" s="304">
        <v>1914531</v>
      </c>
      <c r="E115" s="308">
        <v>0</v>
      </c>
      <c r="F115" s="187"/>
      <c r="G115" s="187"/>
      <c r="H115" s="187"/>
      <c r="I115" s="187"/>
      <c r="J115" s="187"/>
      <c r="K115" s="187"/>
      <c r="L115" s="187"/>
      <c r="M115" s="187"/>
      <c r="N115" s="187"/>
    </row>
    <row r="116" spans="1:14" s="181" customFormat="1" ht="15.75" x14ac:dyDescent="0.25">
      <c r="A116" s="306" t="s">
        <v>598</v>
      </c>
      <c r="B116" s="307" t="s">
        <v>844</v>
      </c>
      <c r="C116" s="309">
        <v>43842</v>
      </c>
      <c r="D116" s="304">
        <v>27739100</v>
      </c>
      <c r="E116" s="308">
        <v>0</v>
      </c>
      <c r="F116" s="187"/>
      <c r="G116" s="187"/>
      <c r="H116" s="187"/>
      <c r="I116" s="187"/>
      <c r="J116" s="187"/>
      <c r="K116" s="187"/>
      <c r="L116" s="187"/>
      <c r="M116" s="187"/>
      <c r="N116" s="187"/>
    </row>
    <row r="117" spans="1:14" s="183" customFormat="1" ht="31.5" x14ac:dyDescent="0.25">
      <c r="A117" s="306" t="s">
        <v>602</v>
      </c>
      <c r="B117" s="307" t="s">
        <v>603</v>
      </c>
      <c r="C117" s="302" t="s">
        <v>402</v>
      </c>
      <c r="D117" s="304">
        <f>E117</f>
        <v>75638</v>
      </c>
      <c r="E117" s="308">
        <v>75638</v>
      </c>
      <c r="F117" s="188"/>
      <c r="G117" s="188"/>
      <c r="H117" s="188"/>
      <c r="I117" s="188"/>
      <c r="J117" s="188"/>
      <c r="K117" s="188"/>
      <c r="L117" s="188"/>
      <c r="M117" s="188"/>
      <c r="N117" s="188"/>
    </row>
    <row r="118" spans="1:14" s="183" customFormat="1" ht="31.5" x14ac:dyDescent="0.25">
      <c r="A118" s="306" t="s">
        <v>845</v>
      </c>
      <c r="B118" s="307" t="s">
        <v>846</v>
      </c>
      <c r="C118" s="302"/>
      <c r="D118" s="304">
        <f>60000*1.27</f>
        <v>76200</v>
      </c>
      <c r="E118" s="308">
        <v>0</v>
      </c>
      <c r="F118" s="188"/>
      <c r="G118" s="188"/>
      <c r="H118" s="188"/>
      <c r="I118" s="188"/>
      <c r="J118" s="188"/>
      <c r="K118" s="188"/>
      <c r="L118" s="188"/>
      <c r="M118" s="188"/>
      <c r="N118" s="188"/>
    </row>
    <row r="119" spans="1:14" s="183" customFormat="1" ht="31.5" x14ac:dyDescent="0.25">
      <c r="A119" s="300" t="s">
        <v>604</v>
      </c>
      <c r="B119" s="301" t="s">
        <v>484</v>
      </c>
      <c r="C119" s="302" t="s">
        <v>402</v>
      </c>
      <c r="D119" s="264">
        <v>12000</v>
      </c>
      <c r="E119" s="265">
        <v>0</v>
      </c>
      <c r="F119" s="188"/>
      <c r="G119" s="188"/>
      <c r="H119" s="188"/>
      <c r="I119" s="188"/>
      <c r="J119" s="188"/>
      <c r="K119" s="188"/>
      <c r="L119" s="188"/>
      <c r="M119" s="188"/>
      <c r="N119" s="188"/>
    </row>
    <row r="120" spans="1:14" s="181" customFormat="1" ht="15.75" x14ac:dyDescent="0.25">
      <c r="A120" s="300" t="s">
        <v>460</v>
      </c>
      <c r="B120" s="301" t="s">
        <v>847</v>
      </c>
      <c r="C120" s="302" t="s">
        <v>402</v>
      </c>
      <c r="D120" s="264">
        <f>E120</f>
        <v>228735</v>
      </c>
      <c r="E120" s="265">
        <f>221243+7492</f>
        <v>228735</v>
      </c>
      <c r="F120" s="187"/>
      <c r="G120" s="187"/>
      <c r="H120" s="187"/>
      <c r="I120" s="187"/>
      <c r="J120" s="187"/>
      <c r="K120" s="187"/>
      <c r="L120" s="187"/>
      <c r="M120" s="187"/>
      <c r="N120" s="187"/>
    </row>
    <row r="121" spans="1:14" s="183" customFormat="1" ht="31.5" x14ac:dyDescent="0.25">
      <c r="A121" s="300" t="s">
        <v>605</v>
      </c>
      <c r="B121" s="301" t="s">
        <v>848</v>
      </c>
      <c r="C121" s="302">
        <v>43738</v>
      </c>
      <c r="D121" s="264">
        <v>523875</v>
      </c>
      <c r="E121" s="265">
        <v>1571625</v>
      </c>
      <c r="F121" s="188"/>
      <c r="G121" s="188"/>
      <c r="H121" s="188"/>
      <c r="I121" s="188"/>
      <c r="J121" s="188"/>
      <c r="K121" s="188"/>
      <c r="L121" s="188"/>
      <c r="M121" s="188"/>
      <c r="N121" s="188"/>
    </row>
    <row r="122" spans="1:14" s="183" customFormat="1" ht="15.75" x14ac:dyDescent="0.25">
      <c r="A122" s="300" t="s">
        <v>605</v>
      </c>
      <c r="B122" s="301" t="s">
        <v>849</v>
      </c>
      <c r="C122" s="302" t="s">
        <v>576</v>
      </c>
      <c r="D122" s="264">
        <f>748000*1.27</f>
        <v>949960</v>
      </c>
      <c r="E122" s="265">
        <v>0</v>
      </c>
      <c r="F122" s="188"/>
      <c r="G122" s="188"/>
      <c r="H122" s="188"/>
      <c r="I122" s="188"/>
      <c r="J122" s="188"/>
      <c r="K122" s="188"/>
      <c r="L122" s="188"/>
      <c r="M122" s="188"/>
      <c r="N122" s="188"/>
    </row>
    <row r="123" spans="1:14" s="183" customFormat="1" ht="15.75" x14ac:dyDescent="0.25">
      <c r="A123" s="300" t="s">
        <v>605</v>
      </c>
      <c r="B123" s="301" t="s">
        <v>850</v>
      </c>
      <c r="C123" s="302" t="s">
        <v>576</v>
      </c>
      <c r="D123" s="264">
        <f>1559895*1.27</f>
        <v>1981066.6500000001</v>
      </c>
      <c r="E123" s="265">
        <v>0</v>
      </c>
      <c r="F123" s="188"/>
      <c r="G123" s="188"/>
      <c r="H123" s="188"/>
      <c r="I123" s="188"/>
      <c r="J123" s="188"/>
      <c r="K123" s="188"/>
      <c r="L123" s="188"/>
      <c r="M123" s="188"/>
      <c r="N123" s="188"/>
    </row>
    <row r="124" spans="1:14" s="183" customFormat="1" ht="31.5" x14ac:dyDescent="0.25">
      <c r="A124" s="300" t="s">
        <v>851</v>
      </c>
      <c r="B124" s="305" t="s">
        <v>852</v>
      </c>
      <c r="C124" s="302">
        <v>43674</v>
      </c>
      <c r="D124" s="264">
        <v>1087500</v>
      </c>
      <c r="E124" s="265">
        <v>362500</v>
      </c>
      <c r="F124" s="188"/>
      <c r="G124" s="188"/>
      <c r="H124" s="188"/>
      <c r="I124" s="188"/>
      <c r="J124" s="188"/>
      <c r="K124" s="188"/>
      <c r="L124" s="188"/>
      <c r="M124" s="188"/>
      <c r="N124" s="188"/>
    </row>
    <row r="125" spans="1:14" s="183" customFormat="1" ht="15.75" x14ac:dyDescent="0.25">
      <c r="A125" s="300" t="s">
        <v>851</v>
      </c>
      <c r="B125" s="305" t="s">
        <v>853</v>
      </c>
      <c r="C125" s="302">
        <v>43773</v>
      </c>
      <c r="D125" s="264">
        <v>600000</v>
      </c>
      <c r="E125" s="265">
        <v>600000</v>
      </c>
      <c r="F125" s="188"/>
      <c r="G125" s="188"/>
      <c r="H125" s="188"/>
      <c r="I125" s="188"/>
      <c r="J125" s="188"/>
      <c r="K125" s="188"/>
      <c r="L125" s="188"/>
      <c r="M125" s="188"/>
      <c r="N125" s="188"/>
    </row>
    <row r="126" spans="1:14" s="183" customFormat="1" ht="15.75" x14ac:dyDescent="0.25">
      <c r="A126" s="300" t="s">
        <v>854</v>
      </c>
      <c r="B126" s="348" t="s">
        <v>855</v>
      </c>
      <c r="C126" s="302"/>
      <c r="D126" s="264">
        <v>750000</v>
      </c>
      <c r="E126" s="265">
        <v>0</v>
      </c>
      <c r="F126" s="188"/>
      <c r="G126" s="188"/>
      <c r="H126" s="188"/>
      <c r="I126" s="188"/>
      <c r="J126" s="188"/>
      <c r="K126" s="188"/>
      <c r="L126" s="188"/>
      <c r="M126" s="188"/>
      <c r="N126" s="188"/>
    </row>
    <row r="127" spans="1:14" s="181" customFormat="1" ht="15.75" x14ac:dyDescent="0.25">
      <c r="A127" s="266" t="s">
        <v>606</v>
      </c>
      <c r="B127" s="262" t="s">
        <v>607</v>
      </c>
      <c r="C127" s="270" t="s">
        <v>402</v>
      </c>
      <c r="D127" s="264">
        <v>3100000</v>
      </c>
      <c r="E127" s="265">
        <f>4989282+346442</f>
        <v>5335724</v>
      </c>
      <c r="F127" s="187"/>
      <c r="G127" s="187"/>
      <c r="H127" s="187"/>
      <c r="I127" s="187"/>
      <c r="J127" s="187"/>
      <c r="K127" s="187"/>
      <c r="L127" s="187"/>
      <c r="M127" s="187"/>
      <c r="N127" s="187"/>
    </row>
    <row r="128" spans="1:14" s="183" customFormat="1" ht="31.5" x14ac:dyDescent="0.25">
      <c r="A128" s="266" t="s">
        <v>608</v>
      </c>
      <c r="B128" s="262" t="s">
        <v>609</v>
      </c>
      <c r="C128" s="270" t="s">
        <v>402</v>
      </c>
      <c r="D128" s="264" t="s">
        <v>610</v>
      </c>
      <c r="E128" s="265">
        <v>0</v>
      </c>
      <c r="F128" s="188"/>
      <c r="G128" s="188"/>
      <c r="H128" s="188"/>
      <c r="I128" s="188"/>
      <c r="J128" s="188"/>
      <c r="K128" s="188"/>
      <c r="L128" s="188"/>
      <c r="M128" s="188"/>
      <c r="N128" s="188"/>
    </row>
    <row r="129" spans="1:14" s="183" customFormat="1" ht="15.75" x14ac:dyDescent="0.25">
      <c r="A129" s="310" t="s">
        <v>856</v>
      </c>
      <c r="B129" s="311" t="s">
        <v>857</v>
      </c>
      <c r="C129" s="281" t="s">
        <v>469</v>
      </c>
      <c r="D129" s="282">
        <v>1274267</v>
      </c>
      <c r="E129" s="283">
        <v>2540000</v>
      </c>
      <c r="F129" s="188"/>
      <c r="G129" s="188"/>
      <c r="H129" s="188"/>
      <c r="I129" s="188"/>
      <c r="J129" s="188"/>
      <c r="K129" s="188"/>
      <c r="L129" s="188"/>
      <c r="M129" s="188"/>
      <c r="N129" s="188"/>
    </row>
    <row r="130" spans="1:14" s="183" customFormat="1" ht="15.75" x14ac:dyDescent="0.25">
      <c r="A130" s="310" t="s">
        <v>611</v>
      </c>
      <c r="B130" s="280" t="s">
        <v>612</v>
      </c>
      <c r="C130" s="312">
        <v>43804</v>
      </c>
      <c r="D130" s="282">
        <v>460058</v>
      </c>
      <c r="E130" s="283">
        <f>5953723+1257935</f>
        <v>7211658</v>
      </c>
      <c r="F130" s="188"/>
      <c r="G130" s="188"/>
      <c r="H130" s="188"/>
      <c r="I130" s="188"/>
      <c r="J130" s="192"/>
      <c r="K130" s="188"/>
      <c r="L130" s="188"/>
      <c r="M130" s="188"/>
      <c r="N130" s="188"/>
    </row>
    <row r="131" spans="1:14" s="183" customFormat="1" ht="15.75" x14ac:dyDescent="0.25">
      <c r="A131" s="266" t="s">
        <v>613</v>
      </c>
      <c r="B131" s="262" t="s">
        <v>614</v>
      </c>
      <c r="C131" s="270" t="s">
        <v>402</v>
      </c>
      <c r="D131" s="264">
        <f>E131</f>
        <v>303797</v>
      </c>
      <c r="E131" s="265">
        <f>283794+20003</f>
        <v>303797</v>
      </c>
      <c r="F131" s="188"/>
      <c r="G131" s="188"/>
      <c r="H131" s="188"/>
      <c r="I131" s="188"/>
      <c r="J131" s="188"/>
      <c r="K131" s="188"/>
      <c r="L131" s="188"/>
      <c r="M131" s="188"/>
      <c r="N131" s="188"/>
    </row>
    <row r="132" spans="1:14" s="183" customFormat="1" ht="15.75" x14ac:dyDescent="0.25">
      <c r="A132" s="266" t="s">
        <v>615</v>
      </c>
      <c r="B132" s="262" t="s">
        <v>616</v>
      </c>
      <c r="C132" s="270" t="s">
        <v>402</v>
      </c>
      <c r="D132" s="264">
        <f>E132</f>
        <v>21027</v>
      </c>
      <c r="E132" s="265">
        <f>21027</f>
        <v>21027</v>
      </c>
      <c r="F132" s="188"/>
      <c r="G132" s="188"/>
      <c r="H132" s="188"/>
      <c r="I132" s="188"/>
      <c r="J132" s="188"/>
      <c r="K132" s="188"/>
      <c r="L132" s="188"/>
      <c r="M132" s="188"/>
      <c r="N132" s="188"/>
    </row>
    <row r="133" spans="1:14" s="183" customFormat="1" ht="31.5" x14ac:dyDescent="0.25">
      <c r="A133" s="266" t="s">
        <v>858</v>
      </c>
      <c r="B133" s="262" t="s">
        <v>859</v>
      </c>
      <c r="C133" s="263">
        <v>43861</v>
      </c>
      <c r="D133" s="264">
        <f>2685000-E133</f>
        <v>1825000</v>
      </c>
      <c r="E133" s="265">
        <v>860000</v>
      </c>
      <c r="F133" s="188"/>
      <c r="G133" s="188"/>
      <c r="H133" s="188"/>
      <c r="I133" s="188"/>
      <c r="J133" s="188"/>
      <c r="K133" s="188"/>
      <c r="L133" s="188"/>
      <c r="M133" s="188"/>
      <c r="N133" s="188"/>
    </row>
    <row r="134" spans="1:14" s="183" customFormat="1" ht="31.5" x14ac:dyDescent="0.25">
      <c r="A134" s="266" t="s">
        <v>858</v>
      </c>
      <c r="B134" s="262" t="s">
        <v>860</v>
      </c>
      <c r="C134" s="263">
        <v>43861</v>
      </c>
      <c r="D134" s="264">
        <v>500000</v>
      </c>
      <c r="E134" s="265">
        <v>2745000</v>
      </c>
      <c r="F134" s="188"/>
      <c r="G134" s="188"/>
      <c r="H134" s="188"/>
      <c r="I134" s="188"/>
      <c r="J134" s="188"/>
      <c r="K134" s="188"/>
      <c r="L134" s="188"/>
      <c r="M134" s="188"/>
      <c r="N134" s="188"/>
    </row>
    <row r="135" spans="1:14" s="183" customFormat="1" ht="15.75" x14ac:dyDescent="0.25">
      <c r="A135" s="266" t="s">
        <v>617</v>
      </c>
      <c r="B135" s="262" t="s">
        <v>861</v>
      </c>
      <c r="C135" s="263">
        <v>44135</v>
      </c>
      <c r="D135" s="264">
        <f>1079500*2</f>
        <v>2159000</v>
      </c>
      <c r="E135" s="265">
        <f>1079500+1422400</f>
        <v>2501900</v>
      </c>
      <c r="F135" s="661"/>
      <c r="G135" s="662"/>
      <c r="H135" s="662"/>
      <c r="I135" s="662"/>
      <c r="J135" s="188"/>
      <c r="K135" s="188"/>
      <c r="L135" s="188"/>
      <c r="M135" s="188"/>
      <c r="N135" s="188"/>
    </row>
    <row r="136" spans="1:14" s="183" customFormat="1" ht="31.5" x14ac:dyDescent="0.25">
      <c r="A136" s="266" t="s">
        <v>617</v>
      </c>
      <c r="B136" s="262" t="s">
        <v>862</v>
      </c>
      <c r="C136" s="263">
        <v>43613</v>
      </c>
      <c r="D136" s="264">
        <v>1502156</v>
      </c>
      <c r="E136" s="265">
        <v>0</v>
      </c>
      <c r="F136" s="196"/>
      <c r="G136" s="197"/>
      <c r="H136" s="197"/>
      <c r="I136" s="197"/>
      <c r="J136" s="188"/>
      <c r="K136" s="188"/>
      <c r="L136" s="188"/>
      <c r="M136" s="188"/>
      <c r="N136" s="188"/>
    </row>
    <row r="137" spans="1:14" s="183" customFormat="1" ht="31.5" x14ac:dyDescent="0.25">
      <c r="A137" s="266" t="s">
        <v>617</v>
      </c>
      <c r="B137" s="262" t="s">
        <v>863</v>
      </c>
      <c r="C137" s="263">
        <v>43340</v>
      </c>
      <c r="D137" s="264">
        <v>2510536</v>
      </c>
      <c r="E137" s="265">
        <v>0</v>
      </c>
      <c r="F137" s="196"/>
      <c r="G137" s="197"/>
      <c r="H137" s="197"/>
      <c r="I137" s="197"/>
      <c r="J137" s="188"/>
      <c r="K137" s="188"/>
      <c r="L137" s="188"/>
      <c r="M137" s="188"/>
      <c r="N137" s="188"/>
    </row>
    <row r="138" spans="1:14" s="183" customFormat="1" ht="31.5" x14ac:dyDescent="0.25">
      <c r="A138" s="266" t="s">
        <v>617</v>
      </c>
      <c r="B138" s="262" t="s">
        <v>864</v>
      </c>
      <c r="C138" s="263">
        <v>43640</v>
      </c>
      <c r="D138" s="264">
        <v>837692</v>
      </c>
      <c r="E138" s="265">
        <v>0</v>
      </c>
      <c r="F138" s="196"/>
      <c r="G138" s="197"/>
      <c r="H138" s="197"/>
      <c r="I138" s="197"/>
      <c r="J138" s="188"/>
      <c r="K138" s="188"/>
      <c r="L138" s="188"/>
      <c r="M138" s="188"/>
      <c r="N138" s="188"/>
    </row>
    <row r="139" spans="1:14" s="181" customFormat="1" ht="31.5" x14ac:dyDescent="0.25">
      <c r="A139" s="266" t="s">
        <v>618</v>
      </c>
      <c r="B139" s="279" t="s">
        <v>619</v>
      </c>
      <c r="C139" s="263">
        <v>43921</v>
      </c>
      <c r="D139" s="264">
        <f>E139</f>
        <v>16545802</v>
      </c>
      <c r="E139" s="265">
        <f>14295131+2250671</f>
        <v>16545802</v>
      </c>
      <c r="F139" s="187"/>
      <c r="G139" s="187"/>
      <c r="H139" s="187"/>
      <c r="I139" s="187"/>
      <c r="J139" s="187"/>
      <c r="K139" s="187"/>
      <c r="L139" s="187"/>
      <c r="M139" s="187"/>
      <c r="N139" s="187"/>
    </row>
    <row r="140" spans="1:14" s="181" customFormat="1" ht="15.75" x14ac:dyDescent="0.25">
      <c r="A140" s="310" t="s">
        <v>865</v>
      </c>
      <c r="B140" s="280" t="s">
        <v>866</v>
      </c>
      <c r="C140" s="312">
        <v>43889</v>
      </c>
      <c r="D140" s="313"/>
      <c r="E140" s="265">
        <v>0</v>
      </c>
      <c r="F140" s="187"/>
      <c r="G140" s="187"/>
      <c r="H140" s="187"/>
      <c r="I140" s="187"/>
      <c r="J140" s="187"/>
      <c r="K140" s="187"/>
      <c r="L140" s="187"/>
      <c r="M140" s="187"/>
      <c r="N140" s="187"/>
    </row>
    <row r="141" spans="1:14" s="183" customFormat="1" ht="31.5" x14ac:dyDescent="0.25">
      <c r="A141" s="310" t="s">
        <v>620</v>
      </c>
      <c r="B141" s="280" t="s">
        <v>621</v>
      </c>
      <c r="C141" s="312" t="s">
        <v>402</v>
      </c>
      <c r="D141" s="282">
        <f>E141</f>
        <v>8934760</v>
      </c>
      <c r="E141" s="283">
        <f>5616243+3318517</f>
        <v>8934760</v>
      </c>
      <c r="F141" s="188"/>
      <c r="G141" s="188"/>
      <c r="H141" s="188"/>
      <c r="I141" s="188"/>
      <c r="J141" s="188"/>
      <c r="K141" s="188"/>
      <c r="L141" s="188"/>
      <c r="M141" s="188"/>
      <c r="N141" s="188"/>
    </row>
    <row r="142" spans="1:14" s="183" customFormat="1" ht="31.5" x14ac:dyDescent="0.25">
      <c r="A142" s="310" t="s">
        <v>622</v>
      </c>
      <c r="B142" s="280" t="s">
        <v>623</v>
      </c>
      <c r="C142" s="312" t="s">
        <v>402</v>
      </c>
      <c r="D142" s="282">
        <f>E142</f>
        <v>17590</v>
      </c>
      <c r="E142" s="283">
        <v>17590</v>
      </c>
      <c r="F142" s="188"/>
      <c r="G142" s="188"/>
      <c r="H142" s="188"/>
      <c r="I142" s="188"/>
      <c r="J142" s="188"/>
      <c r="K142" s="188"/>
      <c r="L142" s="188"/>
      <c r="M142" s="188"/>
      <c r="N142" s="188"/>
    </row>
    <row r="143" spans="1:14" s="183" customFormat="1" ht="31.5" x14ac:dyDescent="0.25">
      <c r="A143" s="310" t="s">
        <v>622</v>
      </c>
      <c r="B143" s="280" t="s">
        <v>624</v>
      </c>
      <c r="C143" s="312" t="s">
        <v>402</v>
      </c>
      <c r="D143" s="282">
        <f>E143</f>
        <v>17120</v>
      </c>
      <c r="E143" s="283">
        <v>17120</v>
      </c>
      <c r="F143" s="188"/>
      <c r="G143" s="188"/>
      <c r="H143" s="188"/>
      <c r="I143" s="188"/>
      <c r="J143" s="188"/>
      <c r="K143" s="188"/>
      <c r="L143" s="188"/>
      <c r="M143" s="188"/>
      <c r="N143" s="188"/>
    </row>
    <row r="144" spans="1:14" s="183" customFormat="1" ht="15.75" x14ac:dyDescent="0.25">
      <c r="A144" s="310" t="s">
        <v>867</v>
      </c>
      <c r="B144" s="280" t="s">
        <v>868</v>
      </c>
      <c r="C144" s="312" t="s">
        <v>402</v>
      </c>
      <c r="D144" s="282">
        <f>E144</f>
        <v>112200</v>
      </c>
      <c r="E144" s="283">
        <v>112200</v>
      </c>
      <c r="F144" s="188"/>
      <c r="G144" s="188"/>
      <c r="H144" s="188"/>
      <c r="I144" s="188"/>
      <c r="J144" s="188"/>
      <c r="K144" s="188"/>
      <c r="L144" s="188"/>
      <c r="M144" s="188"/>
      <c r="N144" s="188"/>
    </row>
    <row r="145" spans="1:14" s="183" customFormat="1" ht="47.25" x14ac:dyDescent="0.25">
      <c r="A145" s="310" t="s">
        <v>625</v>
      </c>
      <c r="B145" s="279" t="s">
        <v>550</v>
      </c>
      <c r="C145" s="312">
        <v>44165</v>
      </c>
      <c r="D145" s="282">
        <f>400000*11</f>
        <v>4400000</v>
      </c>
      <c r="E145" s="283">
        <f>4400000+800000</f>
        <v>5200000</v>
      </c>
      <c r="F145" s="188"/>
      <c r="G145" s="188"/>
      <c r="H145" s="188"/>
      <c r="I145" s="188"/>
      <c r="J145" s="188"/>
      <c r="K145" s="188"/>
      <c r="L145" s="188"/>
      <c r="M145" s="188"/>
      <c r="N145" s="188"/>
    </row>
    <row r="146" spans="1:14" s="183" customFormat="1" ht="47.25" x14ac:dyDescent="0.25">
      <c r="A146" s="310" t="s">
        <v>625</v>
      </c>
      <c r="B146" s="279" t="s">
        <v>869</v>
      </c>
      <c r="C146" s="312">
        <v>44196</v>
      </c>
      <c r="D146" s="282">
        <f>12*30000</f>
        <v>360000</v>
      </c>
      <c r="E146" s="283">
        <f>300000</f>
        <v>300000</v>
      </c>
      <c r="F146" s="188"/>
      <c r="G146" s="188"/>
      <c r="H146" s="188"/>
      <c r="I146" s="188"/>
      <c r="J146" s="188"/>
      <c r="K146" s="188"/>
      <c r="L146" s="188"/>
      <c r="M146" s="188"/>
      <c r="N146" s="188"/>
    </row>
    <row r="147" spans="1:14" s="181" customFormat="1" ht="31.5" x14ac:dyDescent="0.25">
      <c r="A147" s="310" t="s">
        <v>626</v>
      </c>
      <c r="B147" s="279" t="s">
        <v>627</v>
      </c>
      <c r="C147" s="312">
        <v>43437</v>
      </c>
      <c r="D147" s="282">
        <v>170980</v>
      </c>
      <c r="E147" s="283">
        <v>0</v>
      </c>
      <c r="F147" s="187"/>
      <c r="G147" s="187"/>
      <c r="H147" s="187"/>
      <c r="I147" s="187"/>
      <c r="J147" s="187"/>
      <c r="K147" s="187"/>
      <c r="L147" s="187"/>
      <c r="M147" s="187"/>
      <c r="N147" s="187"/>
    </row>
    <row r="148" spans="1:14" s="181" customFormat="1" ht="31.5" x14ac:dyDescent="0.25">
      <c r="A148" s="266" t="s">
        <v>631</v>
      </c>
      <c r="B148" s="279" t="s">
        <v>632</v>
      </c>
      <c r="C148" s="263">
        <v>44014</v>
      </c>
      <c r="D148" s="264">
        <f>E148/2</f>
        <v>311100</v>
      </c>
      <c r="E148" s="265">
        <f>481200+141000</f>
        <v>622200</v>
      </c>
      <c r="F148" s="187"/>
      <c r="G148" s="187"/>
      <c r="H148" s="187"/>
      <c r="I148" s="187"/>
      <c r="J148" s="187"/>
      <c r="K148" s="187"/>
      <c r="L148" s="187"/>
      <c r="M148" s="187"/>
      <c r="N148" s="187"/>
    </row>
    <row r="149" spans="1:14" s="181" customFormat="1" ht="31.5" x14ac:dyDescent="0.25">
      <c r="A149" s="310" t="s">
        <v>870</v>
      </c>
      <c r="B149" s="279" t="s">
        <v>871</v>
      </c>
      <c r="C149" s="312">
        <v>43861</v>
      </c>
      <c r="D149" s="282">
        <f>9340500-E149</f>
        <v>5953000</v>
      </c>
      <c r="E149" s="283">
        <v>3387500</v>
      </c>
      <c r="F149" s="187"/>
      <c r="G149" s="187"/>
      <c r="H149" s="187"/>
      <c r="I149" s="187"/>
      <c r="J149" s="187"/>
      <c r="K149" s="187"/>
      <c r="L149" s="187"/>
      <c r="M149" s="187"/>
      <c r="N149" s="187"/>
    </row>
    <row r="150" spans="1:14" s="181" customFormat="1" ht="15.75" x14ac:dyDescent="0.25">
      <c r="A150" s="310" t="s">
        <v>628</v>
      </c>
      <c r="B150" s="279" t="s">
        <v>629</v>
      </c>
      <c r="C150" s="312">
        <v>43830</v>
      </c>
      <c r="D150" s="282">
        <f>5080000-E150</f>
        <v>1905000</v>
      </c>
      <c r="E150" s="283">
        <v>3175000</v>
      </c>
      <c r="F150" s="187"/>
      <c r="G150" s="187"/>
      <c r="H150" s="187"/>
      <c r="I150" s="187"/>
      <c r="J150" s="187"/>
      <c r="K150" s="187"/>
      <c r="L150" s="187"/>
      <c r="M150" s="187"/>
      <c r="N150" s="187"/>
    </row>
    <row r="151" spans="1:14" s="181" customFormat="1" ht="15.75" x14ac:dyDescent="0.25">
      <c r="A151" s="310" t="s">
        <v>628</v>
      </c>
      <c r="B151" s="279" t="s">
        <v>872</v>
      </c>
      <c r="C151" s="312">
        <v>44196</v>
      </c>
      <c r="D151" s="282">
        <f>E151</f>
        <v>952500</v>
      </c>
      <c r="E151" s="283">
        <v>952500</v>
      </c>
      <c r="F151" s="187"/>
      <c r="G151" s="187"/>
      <c r="H151" s="187"/>
      <c r="I151" s="187"/>
      <c r="J151" s="187"/>
      <c r="K151" s="187"/>
      <c r="L151" s="187"/>
      <c r="M151" s="187"/>
      <c r="N151" s="187"/>
    </row>
    <row r="152" spans="1:14" s="183" customFormat="1" ht="15.75" x14ac:dyDescent="0.25">
      <c r="A152" s="266" t="s">
        <v>630</v>
      </c>
      <c r="B152" s="279" t="s">
        <v>525</v>
      </c>
      <c r="C152" s="263" t="s">
        <v>402</v>
      </c>
      <c r="D152" s="264">
        <f>4747/10*12</f>
        <v>5696.4</v>
      </c>
      <c r="E152" s="265">
        <f>4747</f>
        <v>4747</v>
      </c>
      <c r="F152" s="188"/>
      <c r="G152" s="188"/>
      <c r="H152" s="192"/>
      <c r="I152" s="188"/>
      <c r="J152" s="188"/>
      <c r="K152" s="188"/>
      <c r="L152" s="188"/>
      <c r="M152" s="188"/>
      <c r="N152" s="188"/>
    </row>
    <row r="153" spans="1:14" s="183" customFormat="1" ht="15.75" x14ac:dyDescent="0.25">
      <c r="A153" s="266" t="s">
        <v>873</v>
      </c>
      <c r="B153" s="279" t="s">
        <v>874</v>
      </c>
      <c r="C153" s="263"/>
      <c r="D153" s="264">
        <f>200000*1.27</f>
        <v>254000</v>
      </c>
      <c r="E153" s="265">
        <v>0</v>
      </c>
      <c r="F153" s="188"/>
      <c r="G153" s="188"/>
      <c r="H153" s="192"/>
      <c r="I153" s="188"/>
      <c r="J153" s="188"/>
      <c r="K153" s="188"/>
      <c r="L153" s="188"/>
      <c r="M153" s="188"/>
      <c r="N153" s="188"/>
    </row>
    <row r="154" spans="1:14" s="183" customFormat="1" ht="15.75" x14ac:dyDescent="0.25">
      <c r="A154" s="278" t="s">
        <v>633</v>
      </c>
      <c r="B154" s="307" t="s">
        <v>634</v>
      </c>
      <c r="C154" s="302">
        <v>45412</v>
      </c>
      <c r="D154" s="264">
        <v>72000000</v>
      </c>
      <c r="E154" s="297">
        <v>64378477</v>
      </c>
      <c r="F154" s="188"/>
      <c r="G154" s="188"/>
      <c r="H154" s="188"/>
      <c r="I154" s="188"/>
      <c r="J154" s="188"/>
      <c r="K154" s="188"/>
      <c r="L154" s="188"/>
      <c r="M154" s="188"/>
      <c r="N154" s="188"/>
    </row>
    <row r="155" spans="1:14" s="183" customFormat="1" ht="31.5" x14ac:dyDescent="0.25">
      <c r="A155" s="278" t="s">
        <v>875</v>
      </c>
      <c r="B155" s="307" t="s">
        <v>876</v>
      </c>
      <c r="C155" s="302">
        <v>43890</v>
      </c>
      <c r="D155" s="264">
        <v>1143000</v>
      </c>
      <c r="E155" s="297">
        <v>0</v>
      </c>
      <c r="F155" s="188"/>
      <c r="G155" s="188"/>
      <c r="H155" s="188"/>
      <c r="I155" s="188"/>
      <c r="J155" s="188"/>
      <c r="K155" s="188"/>
      <c r="L155" s="188"/>
      <c r="M155" s="188"/>
      <c r="N155" s="188"/>
    </row>
    <row r="156" spans="1:14" s="183" customFormat="1" ht="31.5" x14ac:dyDescent="0.25">
      <c r="A156" s="278" t="s">
        <v>877</v>
      </c>
      <c r="B156" s="307" t="s">
        <v>878</v>
      </c>
      <c r="C156" s="302" t="s">
        <v>576</v>
      </c>
      <c r="D156" s="264">
        <v>500000</v>
      </c>
      <c r="E156" s="297">
        <v>500000</v>
      </c>
      <c r="F156" s="188"/>
      <c r="G156" s="188"/>
      <c r="H156" s="188"/>
      <c r="I156" s="188"/>
      <c r="J156" s="188"/>
      <c r="K156" s="188"/>
      <c r="L156" s="188"/>
      <c r="M156" s="188"/>
      <c r="N156" s="188"/>
    </row>
    <row r="157" spans="1:14" s="183" customFormat="1" ht="47.25" x14ac:dyDescent="0.25">
      <c r="A157" s="278" t="s">
        <v>879</v>
      </c>
      <c r="B157" s="307" t="s">
        <v>880</v>
      </c>
      <c r="C157" s="309" t="s">
        <v>881</v>
      </c>
      <c r="D157" s="264">
        <v>701250</v>
      </c>
      <c r="E157" s="297">
        <v>0</v>
      </c>
      <c r="F157" s="188"/>
      <c r="G157" s="188"/>
      <c r="H157" s="188"/>
      <c r="I157" s="188"/>
      <c r="J157" s="188"/>
      <c r="K157" s="188"/>
      <c r="L157" s="188"/>
      <c r="M157" s="188"/>
      <c r="N157" s="188"/>
    </row>
    <row r="158" spans="1:14" s="183" customFormat="1" ht="31.5" x14ac:dyDescent="0.25">
      <c r="A158" s="278" t="s">
        <v>879</v>
      </c>
      <c r="B158" s="307" t="s">
        <v>882</v>
      </c>
      <c r="C158" s="309" t="s">
        <v>883</v>
      </c>
      <c r="D158" s="264">
        <v>1364130</v>
      </c>
      <c r="E158" s="297">
        <v>0</v>
      </c>
      <c r="F158" s="188"/>
      <c r="G158" s="188"/>
      <c r="H158" s="188"/>
      <c r="I158" s="188"/>
      <c r="J158" s="188"/>
      <c r="K158" s="188"/>
      <c r="L158" s="188"/>
      <c r="M158" s="188"/>
      <c r="N158" s="188"/>
    </row>
    <row r="159" spans="1:14" s="183" customFormat="1" ht="15.75" x14ac:dyDescent="0.25">
      <c r="A159" s="278" t="s">
        <v>884</v>
      </c>
      <c r="B159" s="307" t="s">
        <v>885</v>
      </c>
      <c r="C159" s="302"/>
      <c r="D159" s="264">
        <f>64741596-E159</f>
        <v>13555470</v>
      </c>
      <c r="E159" s="297">
        <v>51186126</v>
      </c>
      <c r="F159" s="188"/>
      <c r="G159" s="188"/>
      <c r="H159" s="188"/>
      <c r="I159" s="188"/>
      <c r="J159" s="188"/>
      <c r="K159" s="188"/>
      <c r="L159" s="188"/>
      <c r="M159" s="188"/>
      <c r="N159" s="188"/>
    </row>
    <row r="160" spans="1:14" s="183" customFormat="1" ht="31.5" x14ac:dyDescent="0.25">
      <c r="A160" s="278" t="s">
        <v>635</v>
      </c>
      <c r="B160" s="307" t="s">
        <v>636</v>
      </c>
      <c r="C160" s="302">
        <v>43434</v>
      </c>
      <c r="D160" s="264">
        <f>290000*1.27</f>
        <v>368300</v>
      </c>
      <c r="E160" s="297">
        <v>0</v>
      </c>
      <c r="F160" s="188"/>
      <c r="G160" s="188"/>
      <c r="H160" s="188"/>
      <c r="I160" s="188"/>
      <c r="J160" s="188"/>
      <c r="K160" s="188"/>
      <c r="L160" s="188"/>
      <c r="M160" s="188"/>
      <c r="N160" s="188"/>
    </row>
    <row r="161" spans="1:14" s="194" customFormat="1" ht="15.75" x14ac:dyDescent="0.25">
      <c r="A161" s="278" t="s">
        <v>635</v>
      </c>
      <c r="B161" s="307" t="s">
        <v>637</v>
      </c>
      <c r="C161" s="302">
        <v>43889</v>
      </c>
      <c r="D161" s="264">
        <f>2159000-E161</f>
        <v>1079500</v>
      </c>
      <c r="E161" s="297">
        <v>1079500</v>
      </c>
      <c r="F161" s="193"/>
      <c r="G161" s="193"/>
      <c r="H161" s="193"/>
      <c r="I161" s="193"/>
      <c r="J161" s="193"/>
      <c r="K161" s="193"/>
      <c r="L161" s="193"/>
      <c r="M161" s="193"/>
      <c r="N161" s="193"/>
    </row>
    <row r="162" spans="1:14" s="183" customFormat="1" ht="31.5" x14ac:dyDescent="0.25">
      <c r="A162" s="278" t="s">
        <v>638</v>
      </c>
      <c r="B162" s="307" t="s">
        <v>886</v>
      </c>
      <c r="C162" s="302" t="s">
        <v>773</v>
      </c>
      <c r="D162" s="264">
        <v>368300</v>
      </c>
      <c r="E162" s="297">
        <v>0</v>
      </c>
      <c r="F162" s="188"/>
      <c r="G162" s="188"/>
      <c r="H162" s="188"/>
      <c r="I162" s="188"/>
      <c r="J162" s="188"/>
      <c r="K162" s="188"/>
      <c r="L162" s="188"/>
      <c r="M162" s="188"/>
      <c r="N162" s="188"/>
    </row>
    <row r="163" spans="1:14" s="183" customFormat="1" ht="31.5" x14ac:dyDescent="0.25">
      <c r="A163" s="278" t="s">
        <v>638</v>
      </c>
      <c r="B163" s="307" t="s">
        <v>887</v>
      </c>
      <c r="C163" s="302" t="s">
        <v>773</v>
      </c>
      <c r="D163" s="264">
        <f>200000*1.27</f>
        <v>254000</v>
      </c>
      <c r="E163" s="297">
        <v>0</v>
      </c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s="194" customFormat="1" ht="15.75" x14ac:dyDescent="0.25">
      <c r="A164" s="278" t="s">
        <v>639</v>
      </c>
      <c r="B164" s="307" t="s">
        <v>888</v>
      </c>
      <c r="C164" s="302">
        <v>43836</v>
      </c>
      <c r="D164" s="264">
        <f>E164</f>
        <v>2467483</v>
      </c>
      <c r="E164" s="297">
        <f>1049020+1418463</f>
        <v>2467483</v>
      </c>
      <c r="F164" s="193"/>
      <c r="G164" s="193"/>
      <c r="H164" s="193"/>
      <c r="I164" s="193"/>
      <c r="J164" s="193"/>
      <c r="K164" s="193"/>
      <c r="L164" s="193"/>
      <c r="M164" s="193"/>
      <c r="N164" s="193"/>
    </row>
    <row r="165" spans="1:14" s="194" customFormat="1" ht="31.5" x14ac:dyDescent="0.25">
      <c r="A165" s="278" t="s">
        <v>639</v>
      </c>
      <c r="B165" s="307" t="s">
        <v>889</v>
      </c>
      <c r="C165" s="302" t="s">
        <v>469</v>
      </c>
      <c r="D165" s="264">
        <v>348615</v>
      </c>
      <c r="E165" s="297">
        <v>0</v>
      </c>
      <c r="F165" s="193"/>
      <c r="G165" s="193"/>
      <c r="H165" s="193"/>
      <c r="I165" s="193"/>
      <c r="J165" s="193"/>
      <c r="K165" s="193"/>
      <c r="L165" s="193"/>
      <c r="M165" s="193"/>
      <c r="N165" s="193"/>
    </row>
    <row r="166" spans="1:14" s="194" customFormat="1" ht="31.5" x14ac:dyDescent="0.25">
      <c r="A166" s="278" t="s">
        <v>639</v>
      </c>
      <c r="B166" s="307" t="s">
        <v>890</v>
      </c>
      <c r="C166" s="302">
        <v>43786</v>
      </c>
      <c r="D166" s="264">
        <v>1278255</v>
      </c>
      <c r="E166" s="297">
        <v>0</v>
      </c>
      <c r="F166" s="193"/>
      <c r="G166" s="193"/>
      <c r="H166" s="193"/>
      <c r="I166" s="193"/>
      <c r="J166" s="193"/>
      <c r="K166" s="193"/>
      <c r="L166" s="193"/>
      <c r="M166" s="193"/>
      <c r="N166" s="193"/>
    </row>
    <row r="167" spans="1:14" s="194" customFormat="1" ht="15.75" x14ac:dyDescent="0.25">
      <c r="A167" s="278" t="s">
        <v>891</v>
      </c>
      <c r="B167" s="307" t="s">
        <v>892</v>
      </c>
      <c r="C167" s="302">
        <v>43755</v>
      </c>
      <c r="D167" s="264">
        <v>1024147</v>
      </c>
      <c r="E167" s="297">
        <v>0</v>
      </c>
      <c r="F167" s="193"/>
      <c r="G167" s="193"/>
      <c r="H167" s="193"/>
      <c r="I167" s="193"/>
      <c r="J167" s="193"/>
      <c r="K167" s="193"/>
      <c r="L167" s="193"/>
      <c r="M167" s="193"/>
      <c r="N167" s="193"/>
    </row>
    <row r="168" spans="1:14" s="194" customFormat="1" ht="15.75" x14ac:dyDescent="0.25">
      <c r="A168" s="278" t="s">
        <v>640</v>
      </c>
      <c r="B168" s="307" t="s">
        <v>641</v>
      </c>
      <c r="C168" s="302" t="s">
        <v>402</v>
      </c>
      <c r="D168" s="264">
        <v>4978</v>
      </c>
      <c r="E168" s="297">
        <v>4978</v>
      </c>
      <c r="F168" s="193"/>
      <c r="G168" s="193"/>
      <c r="H168" s="193"/>
      <c r="I168" s="193"/>
      <c r="J168" s="193"/>
      <c r="K168" s="193"/>
      <c r="L168" s="193"/>
      <c r="M168" s="193"/>
      <c r="N168" s="193"/>
    </row>
    <row r="169" spans="1:14" ht="31.5" x14ac:dyDescent="0.25">
      <c r="A169" s="278" t="s">
        <v>642</v>
      </c>
      <c r="B169" s="307" t="s">
        <v>643</v>
      </c>
      <c r="C169" s="302">
        <v>44104</v>
      </c>
      <c r="D169" s="264">
        <v>45000000</v>
      </c>
      <c r="E169" s="297">
        <f>48130818+3545134+1313702</f>
        <v>52989654</v>
      </c>
      <c r="F169" s="191"/>
      <c r="G169" s="191"/>
      <c r="H169" s="191"/>
      <c r="I169" s="191"/>
      <c r="J169" s="191"/>
      <c r="K169" s="195"/>
      <c r="L169" s="191"/>
      <c r="M169" s="195"/>
      <c r="N169" s="191"/>
    </row>
    <row r="170" spans="1:14" s="183" customFormat="1" ht="15.75" x14ac:dyDescent="0.25">
      <c r="A170" s="306" t="s">
        <v>644</v>
      </c>
      <c r="B170" s="307" t="s">
        <v>645</v>
      </c>
      <c r="C170" s="302" t="s">
        <v>402</v>
      </c>
      <c r="D170" s="304">
        <f>E170*E6</f>
        <v>1513867</v>
      </c>
      <c r="E170" s="308">
        <f>1249546+264321</f>
        <v>1513867</v>
      </c>
      <c r="F170" s="188"/>
      <c r="G170" s="188"/>
      <c r="H170" s="188"/>
      <c r="I170" s="188"/>
      <c r="J170" s="188"/>
      <c r="K170" s="188"/>
      <c r="L170" s="188"/>
      <c r="M170" s="188"/>
      <c r="N170" s="188"/>
    </row>
    <row r="171" spans="1:14" s="183" customFormat="1" ht="31.5" x14ac:dyDescent="0.25">
      <c r="A171" s="306" t="s">
        <v>893</v>
      </c>
      <c r="B171" s="307" t="s">
        <v>894</v>
      </c>
      <c r="C171" s="302" t="s">
        <v>402</v>
      </c>
      <c r="D171" s="304">
        <f>E171</f>
        <v>118560</v>
      </c>
      <c r="E171" s="308">
        <v>118560</v>
      </c>
      <c r="F171" s="188"/>
      <c r="G171" s="188"/>
      <c r="H171" s="188"/>
      <c r="I171" s="188"/>
      <c r="J171" s="188"/>
      <c r="K171" s="188"/>
      <c r="L171" s="188"/>
      <c r="M171" s="188"/>
      <c r="N171" s="188"/>
    </row>
    <row r="172" spans="1:14" s="181" customFormat="1" ht="31.5" x14ac:dyDescent="0.25">
      <c r="A172" s="306" t="s">
        <v>646</v>
      </c>
      <c r="B172" s="307" t="s">
        <v>647</v>
      </c>
      <c r="C172" s="302">
        <v>43787</v>
      </c>
      <c r="D172" s="304">
        <v>838000</v>
      </c>
      <c r="E172" s="308">
        <v>838000</v>
      </c>
      <c r="F172" s="187"/>
      <c r="G172" s="187"/>
      <c r="H172" s="187"/>
      <c r="I172" s="187"/>
      <c r="J172" s="187"/>
      <c r="K172" s="187"/>
      <c r="L172" s="187"/>
      <c r="M172" s="187"/>
      <c r="N172" s="187"/>
    </row>
    <row r="173" spans="1:14" s="181" customFormat="1" ht="15.75" x14ac:dyDescent="0.25">
      <c r="A173" s="306" t="s">
        <v>646</v>
      </c>
      <c r="B173" s="307" t="s">
        <v>648</v>
      </c>
      <c r="C173" s="302">
        <v>43874</v>
      </c>
      <c r="D173" s="304">
        <f>E173</f>
        <v>386550</v>
      </c>
      <c r="E173" s="308">
        <f>353795+32755</f>
        <v>386550</v>
      </c>
      <c r="F173" s="187"/>
      <c r="G173" s="187"/>
      <c r="H173" s="187"/>
      <c r="I173" s="187"/>
      <c r="J173" s="187"/>
      <c r="K173" s="187"/>
      <c r="L173" s="187"/>
      <c r="M173" s="187"/>
      <c r="N173" s="187"/>
    </row>
    <row r="174" spans="1:14" s="183" customFormat="1" ht="15.75" x14ac:dyDescent="0.25">
      <c r="A174" s="306" t="s">
        <v>646</v>
      </c>
      <c r="B174" s="307" t="s">
        <v>649</v>
      </c>
      <c r="C174" s="302"/>
      <c r="D174" s="304">
        <v>98830</v>
      </c>
      <c r="E174" s="308">
        <f>89060+9770</f>
        <v>98830</v>
      </c>
      <c r="F174" s="188"/>
      <c r="G174" s="188"/>
      <c r="H174" s="188"/>
      <c r="I174" s="188"/>
      <c r="J174" s="188"/>
      <c r="K174" s="188"/>
      <c r="L174" s="188"/>
      <c r="M174" s="188"/>
      <c r="N174" s="188"/>
    </row>
    <row r="175" spans="1:14" s="181" customFormat="1" ht="15.75" x14ac:dyDescent="0.25">
      <c r="A175" s="306" t="s">
        <v>895</v>
      </c>
      <c r="B175" s="307" t="s">
        <v>896</v>
      </c>
      <c r="C175" s="302" t="s">
        <v>402</v>
      </c>
      <c r="D175" s="304">
        <f>E175</f>
        <v>309190</v>
      </c>
      <c r="E175" s="308">
        <v>309190</v>
      </c>
      <c r="F175" s="187"/>
      <c r="G175" s="187"/>
      <c r="H175" s="187"/>
      <c r="I175" s="187"/>
      <c r="J175" s="187"/>
      <c r="K175" s="187"/>
      <c r="L175" s="187"/>
      <c r="M175" s="187"/>
      <c r="N175" s="187"/>
    </row>
    <row r="176" spans="1:14" s="181" customFormat="1" ht="15.75" x14ac:dyDescent="0.25">
      <c r="A176" s="306" t="s">
        <v>897</v>
      </c>
      <c r="B176" s="307" t="s">
        <v>898</v>
      </c>
      <c r="C176" s="302" t="s">
        <v>402</v>
      </c>
      <c r="D176" s="304">
        <f>E176</f>
        <v>107800</v>
      </c>
      <c r="E176" s="308">
        <v>107800</v>
      </c>
      <c r="F176" s="187"/>
      <c r="G176" s="187"/>
      <c r="H176" s="187"/>
      <c r="I176" s="187"/>
      <c r="J176" s="187"/>
      <c r="K176" s="187"/>
      <c r="L176" s="187"/>
      <c r="M176" s="187"/>
      <c r="N176" s="187"/>
    </row>
    <row r="177" spans="1:14" s="181" customFormat="1" ht="31.5" x14ac:dyDescent="0.25">
      <c r="A177" s="306" t="s">
        <v>650</v>
      </c>
      <c r="B177" s="307" t="s">
        <v>651</v>
      </c>
      <c r="C177" s="302" t="s">
        <v>402</v>
      </c>
      <c r="D177" s="304">
        <f>E177</f>
        <v>583310</v>
      </c>
      <c r="E177" s="308">
        <f>499980+83330</f>
        <v>583310</v>
      </c>
      <c r="F177" s="187"/>
      <c r="G177" s="187"/>
      <c r="H177" s="187"/>
      <c r="I177" s="187"/>
      <c r="J177" s="187"/>
      <c r="K177" s="187"/>
      <c r="L177" s="187"/>
      <c r="M177" s="187"/>
      <c r="N177" s="187"/>
    </row>
    <row r="178" spans="1:14" s="181" customFormat="1" ht="47.25" x14ac:dyDescent="0.25">
      <c r="A178" s="306" t="s">
        <v>652</v>
      </c>
      <c r="B178" s="307" t="s">
        <v>899</v>
      </c>
      <c r="C178" s="302"/>
      <c r="D178" s="304">
        <v>350000</v>
      </c>
      <c r="E178" s="308">
        <v>0</v>
      </c>
      <c r="F178" s="187"/>
      <c r="G178" s="187"/>
      <c r="H178" s="187"/>
      <c r="I178" s="187"/>
      <c r="J178" s="187"/>
      <c r="K178" s="187"/>
      <c r="L178" s="187"/>
      <c r="M178" s="187"/>
      <c r="N178" s="187"/>
    </row>
    <row r="179" spans="1:14" s="181" customFormat="1" ht="15.75" x14ac:dyDescent="0.25">
      <c r="A179" s="306" t="s">
        <v>652</v>
      </c>
      <c r="B179" s="307" t="s">
        <v>684</v>
      </c>
      <c r="C179" s="314">
        <v>45657</v>
      </c>
      <c r="D179" s="304">
        <f>E179</f>
        <v>48000000</v>
      </c>
      <c r="E179" s="308">
        <v>48000000</v>
      </c>
      <c r="F179" s="187"/>
      <c r="G179" s="187"/>
      <c r="H179" s="187"/>
      <c r="I179" s="187"/>
      <c r="J179" s="187"/>
      <c r="K179" s="187"/>
      <c r="L179" s="187"/>
      <c r="M179" s="187"/>
      <c r="N179" s="187"/>
    </row>
    <row r="180" spans="1:14" s="181" customFormat="1" ht="15.75" x14ac:dyDescent="0.25">
      <c r="A180" s="306" t="s">
        <v>652</v>
      </c>
      <c r="B180" s="307" t="s">
        <v>786</v>
      </c>
      <c r="C180" s="314">
        <v>43830</v>
      </c>
      <c r="D180" s="304">
        <f>1246092-E180</f>
        <v>146758</v>
      </c>
      <c r="E180" s="308">
        <v>1099334</v>
      </c>
      <c r="F180" s="187"/>
      <c r="G180" s="187"/>
      <c r="H180" s="187"/>
      <c r="I180" s="187"/>
      <c r="J180" s="187"/>
      <c r="K180" s="187"/>
      <c r="L180" s="187"/>
      <c r="M180" s="187"/>
      <c r="N180" s="187"/>
    </row>
    <row r="181" spans="1:14" s="181" customFormat="1" ht="31.5" x14ac:dyDescent="0.25">
      <c r="A181" s="306" t="s">
        <v>653</v>
      </c>
      <c r="B181" s="307" t="s">
        <v>654</v>
      </c>
      <c r="C181" s="302">
        <v>43945</v>
      </c>
      <c r="D181" s="304">
        <f>E181/12*4</f>
        <v>1462666.6666666667</v>
      </c>
      <c r="E181" s="308">
        <v>4388000</v>
      </c>
      <c r="F181" s="187"/>
      <c r="G181" s="187"/>
      <c r="H181" s="187"/>
      <c r="I181" s="187"/>
      <c r="J181" s="187"/>
      <c r="K181" s="187"/>
      <c r="L181" s="187"/>
      <c r="M181" s="187"/>
      <c r="N181" s="187"/>
    </row>
    <row r="182" spans="1:14" ht="15.75" x14ac:dyDescent="0.25">
      <c r="A182" s="266" t="s">
        <v>655</v>
      </c>
      <c r="B182" s="262" t="s">
        <v>900</v>
      </c>
      <c r="C182" s="263">
        <v>43741</v>
      </c>
      <c r="D182" s="264">
        <v>0</v>
      </c>
      <c r="E182" s="297">
        <v>41596080</v>
      </c>
      <c r="F182" s="191"/>
      <c r="G182" s="191"/>
      <c r="H182" s="191"/>
      <c r="I182" s="191"/>
      <c r="J182" s="191"/>
      <c r="K182" s="191"/>
      <c r="L182" s="191"/>
      <c r="M182" s="191"/>
      <c r="N182" s="191"/>
    </row>
    <row r="183" spans="1:14" ht="15.75" x14ac:dyDescent="0.25">
      <c r="A183" s="266" t="s">
        <v>655</v>
      </c>
      <c r="B183" s="262" t="s">
        <v>656</v>
      </c>
      <c r="C183" s="263">
        <v>43616</v>
      </c>
      <c r="D183" s="264">
        <v>1526971</v>
      </c>
      <c r="E183" s="297">
        <v>0</v>
      </c>
      <c r="F183" s="191"/>
      <c r="G183" s="191"/>
      <c r="H183" s="191"/>
      <c r="I183" s="191"/>
      <c r="J183" s="191"/>
      <c r="K183" s="191"/>
      <c r="L183" s="191"/>
      <c r="M183" s="191"/>
      <c r="N183" s="191"/>
    </row>
    <row r="184" spans="1:14" ht="15.75" x14ac:dyDescent="0.25">
      <c r="A184" s="266" t="s">
        <v>655</v>
      </c>
      <c r="B184" s="262" t="s">
        <v>901</v>
      </c>
      <c r="C184" s="263" t="s">
        <v>469</v>
      </c>
      <c r="D184" s="264">
        <v>1398270</v>
      </c>
      <c r="E184" s="297">
        <v>0</v>
      </c>
      <c r="F184" s="191"/>
      <c r="G184" s="191"/>
      <c r="H184" s="191"/>
      <c r="I184" s="191"/>
      <c r="J184" s="191"/>
      <c r="K184" s="191"/>
      <c r="L184" s="191"/>
      <c r="M184" s="191"/>
      <c r="N184" s="191"/>
    </row>
    <row r="185" spans="1:14" ht="15.75" x14ac:dyDescent="0.25">
      <c r="A185" s="266" t="s">
        <v>659</v>
      </c>
      <c r="B185" s="262" t="s">
        <v>660</v>
      </c>
      <c r="C185" s="263" t="s">
        <v>402</v>
      </c>
      <c r="D185" s="264">
        <f>2008837*13</f>
        <v>26114881</v>
      </c>
      <c r="E185" s="265">
        <f>22097207</f>
        <v>22097207</v>
      </c>
      <c r="F185" s="191"/>
      <c r="G185" s="191"/>
      <c r="H185" s="191"/>
      <c r="I185" s="191"/>
      <c r="J185" s="191"/>
      <c r="K185" s="191"/>
      <c r="L185" s="191"/>
      <c r="M185" s="191"/>
      <c r="N185" s="191"/>
    </row>
    <row r="186" spans="1:14" ht="15.75" x14ac:dyDescent="0.25">
      <c r="A186" s="310" t="s">
        <v>902</v>
      </c>
      <c r="B186" s="279" t="s">
        <v>541</v>
      </c>
      <c r="C186" s="263" t="s">
        <v>402</v>
      </c>
      <c r="D186" s="264">
        <f>(E186/13)*12</f>
        <v>997931.07692307699</v>
      </c>
      <c r="E186" s="265">
        <f>129109+951983</f>
        <v>1081092</v>
      </c>
      <c r="F186" s="191"/>
      <c r="G186" s="191"/>
      <c r="H186" s="191"/>
      <c r="I186" s="191"/>
      <c r="J186" s="191"/>
      <c r="K186" s="191"/>
      <c r="L186" s="191"/>
      <c r="M186" s="191"/>
      <c r="N186" s="191"/>
    </row>
    <row r="187" spans="1:14" ht="15.75" x14ac:dyDescent="0.25">
      <c r="A187" s="310" t="s">
        <v>902</v>
      </c>
      <c r="B187" s="279" t="s">
        <v>542</v>
      </c>
      <c r="C187" s="263">
        <v>44926</v>
      </c>
      <c r="D187" s="264">
        <f>(E187/13)*12</f>
        <v>574139.07692307699</v>
      </c>
      <c r="E187" s="265">
        <f>86774+535210</f>
        <v>621984</v>
      </c>
      <c r="F187" s="191"/>
      <c r="G187" s="191"/>
      <c r="H187" s="191"/>
      <c r="I187" s="191"/>
      <c r="J187" s="191"/>
      <c r="K187" s="191"/>
      <c r="L187" s="191"/>
      <c r="M187" s="191"/>
      <c r="N187" s="191"/>
    </row>
    <row r="188" spans="1:14" ht="15.75" x14ac:dyDescent="0.25">
      <c r="A188" s="310" t="s">
        <v>902</v>
      </c>
      <c r="B188" s="279" t="s">
        <v>543</v>
      </c>
      <c r="C188" s="263" t="s">
        <v>402</v>
      </c>
      <c r="D188" s="264">
        <f>E188</f>
        <v>588011</v>
      </c>
      <c r="E188" s="265">
        <f>588011</f>
        <v>588011</v>
      </c>
      <c r="F188" s="191"/>
      <c r="G188" s="191"/>
      <c r="H188" s="191"/>
      <c r="I188" s="191"/>
      <c r="J188" s="191"/>
      <c r="K188" s="191"/>
      <c r="L188" s="191"/>
      <c r="M188" s="191"/>
      <c r="N188" s="191"/>
    </row>
    <row r="189" spans="1:14" s="194" customFormat="1" ht="15.75" x14ac:dyDescent="0.25">
      <c r="A189" s="284" t="s">
        <v>661</v>
      </c>
      <c r="B189" s="280" t="s">
        <v>662</v>
      </c>
      <c r="C189" s="312">
        <v>43993</v>
      </c>
      <c r="D189" s="264">
        <f>E189/2</f>
        <v>251000</v>
      </c>
      <c r="E189" s="265">
        <f>342000+160000</f>
        <v>502000</v>
      </c>
      <c r="F189" s="193"/>
      <c r="G189" s="193"/>
      <c r="H189" s="193"/>
      <c r="I189" s="193"/>
      <c r="J189" s="193"/>
      <c r="K189" s="193"/>
      <c r="L189" s="193"/>
      <c r="M189" s="193"/>
      <c r="N189" s="193"/>
    </row>
    <row r="190" spans="1:14" ht="15.75" x14ac:dyDescent="0.25">
      <c r="A190" s="310" t="s">
        <v>663</v>
      </c>
      <c r="B190" s="311" t="s">
        <v>664</v>
      </c>
      <c r="C190" s="285">
        <v>44377</v>
      </c>
      <c r="D190" s="264">
        <f>13*16538</f>
        <v>214994</v>
      </c>
      <c r="E190" s="265">
        <f>148842+33076</f>
        <v>181918</v>
      </c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 ht="15.75" x14ac:dyDescent="0.25">
      <c r="A191" s="310" t="s">
        <v>663</v>
      </c>
      <c r="B191" s="311" t="s">
        <v>903</v>
      </c>
      <c r="C191" s="285" t="s">
        <v>402</v>
      </c>
      <c r="D191" s="264">
        <f>679215/3</f>
        <v>226405</v>
      </c>
      <c r="E191" s="265">
        <f>226405</f>
        <v>226405</v>
      </c>
      <c r="F191" s="191"/>
      <c r="G191" s="191"/>
      <c r="H191" s="191"/>
      <c r="I191" s="191"/>
      <c r="J191" s="191"/>
      <c r="K191" s="191"/>
      <c r="L191" s="191"/>
      <c r="M191" s="191"/>
      <c r="N191" s="191"/>
    </row>
    <row r="192" spans="1:14" ht="16.5" thickBot="1" x14ac:dyDescent="0.3">
      <c r="A192" s="663" t="s">
        <v>24</v>
      </c>
      <c r="B192" s="664"/>
      <c r="C192" s="665"/>
      <c r="D192" s="315">
        <f>SUM(D9:D191)</f>
        <v>702649242.53717959</v>
      </c>
      <c r="E192" s="316">
        <f>SUM(E9:E191)</f>
        <v>774212756</v>
      </c>
      <c r="F192" s="191"/>
      <c r="G192" s="191"/>
      <c r="H192" s="191"/>
      <c r="I192" s="191"/>
      <c r="J192" s="191"/>
      <c r="K192" s="191"/>
      <c r="L192" s="191"/>
      <c r="M192" s="191"/>
      <c r="N192" s="191"/>
    </row>
    <row r="193" spans="1:14" x14ac:dyDescent="0.2">
      <c r="F193" s="191"/>
      <c r="G193" s="191"/>
      <c r="H193" s="191"/>
      <c r="I193" s="191"/>
      <c r="J193" s="191"/>
      <c r="K193" s="191"/>
      <c r="L193" s="191"/>
      <c r="M193" s="191"/>
      <c r="N193" s="191"/>
    </row>
    <row r="194" spans="1:14" x14ac:dyDescent="0.2">
      <c r="F194" s="191"/>
      <c r="G194" s="191"/>
      <c r="H194" s="191"/>
      <c r="I194" s="191"/>
      <c r="J194" s="191"/>
      <c r="K194" s="191"/>
      <c r="L194" s="191"/>
      <c r="M194" s="191"/>
      <c r="N194" s="191"/>
    </row>
    <row r="195" spans="1:14" x14ac:dyDescent="0.2">
      <c r="A195" s="183"/>
      <c r="F195" s="191"/>
      <c r="G195" s="191"/>
      <c r="H195" s="191"/>
      <c r="I195" s="191"/>
      <c r="J195" s="191"/>
      <c r="K195" s="191"/>
      <c r="L195" s="191"/>
      <c r="M195" s="191"/>
      <c r="N195" s="191"/>
    </row>
    <row r="196" spans="1:14" x14ac:dyDescent="0.2">
      <c r="A196" s="183"/>
    </row>
    <row r="197" spans="1:14" x14ac:dyDescent="0.2">
      <c r="A197" s="183"/>
    </row>
    <row r="198" spans="1:14" x14ac:dyDescent="0.2">
      <c r="F198" s="191"/>
    </row>
    <row r="199" spans="1:14" x14ac:dyDescent="0.2">
      <c r="F199" s="191"/>
    </row>
    <row r="200" spans="1:14" x14ac:dyDescent="0.2">
      <c r="F200" s="191"/>
    </row>
    <row r="201" spans="1:14" x14ac:dyDescent="0.2">
      <c r="F201" s="191"/>
    </row>
    <row r="202" spans="1:14" x14ac:dyDescent="0.2">
      <c r="F202" s="191"/>
    </row>
    <row r="203" spans="1:14" x14ac:dyDescent="0.2">
      <c r="F203" s="191"/>
    </row>
    <row r="204" spans="1:14" x14ac:dyDescent="0.2">
      <c r="F204" s="191"/>
    </row>
    <row r="205" spans="1:14" x14ac:dyDescent="0.2">
      <c r="F205" s="191"/>
    </row>
    <row r="206" spans="1:14" x14ac:dyDescent="0.2">
      <c r="F206" s="191"/>
    </row>
    <row r="207" spans="1:14" x14ac:dyDescent="0.2">
      <c r="F207" s="191"/>
    </row>
    <row r="208" spans="1:14" x14ac:dyDescent="0.2">
      <c r="F208" s="191"/>
    </row>
    <row r="209" spans="4:6" x14ac:dyDescent="0.2">
      <c r="F209" s="191"/>
    </row>
    <row r="210" spans="4:6" x14ac:dyDescent="0.2">
      <c r="F210" s="191"/>
    </row>
    <row r="211" spans="4:6" x14ac:dyDescent="0.2">
      <c r="F211" s="191"/>
    </row>
    <row r="212" spans="4:6" x14ac:dyDescent="0.2">
      <c r="F212" s="191"/>
    </row>
    <row r="213" spans="4:6" x14ac:dyDescent="0.2">
      <c r="F213" s="205"/>
    </row>
    <row r="214" spans="4:6" x14ac:dyDescent="0.2">
      <c r="D214" s="187"/>
      <c r="F214" s="191"/>
    </row>
    <row r="215" spans="4:6" x14ac:dyDescent="0.2">
      <c r="F215" s="191"/>
    </row>
    <row r="216" spans="4:6" x14ac:dyDescent="0.2">
      <c r="F216" s="191"/>
    </row>
    <row r="217" spans="4:6" x14ac:dyDescent="0.2">
      <c r="F217" s="191"/>
    </row>
    <row r="218" spans="4:6" x14ac:dyDescent="0.2">
      <c r="F218" s="191"/>
    </row>
    <row r="219" spans="4:6" x14ac:dyDescent="0.2">
      <c r="F219" s="191"/>
    </row>
    <row r="220" spans="4:6" x14ac:dyDescent="0.2">
      <c r="F220" s="191"/>
    </row>
    <row r="221" spans="4:6" x14ac:dyDescent="0.2">
      <c r="F221" s="191"/>
    </row>
    <row r="222" spans="4:6" x14ac:dyDescent="0.2">
      <c r="F222" s="191"/>
    </row>
    <row r="223" spans="4:6" x14ac:dyDescent="0.2">
      <c r="F223" s="191"/>
    </row>
    <row r="224" spans="4:6" x14ac:dyDescent="0.2">
      <c r="F224" s="191"/>
    </row>
    <row r="225" spans="6:6" x14ac:dyDescent="0.2">
      <c r="F225" s="191"/>
    </row>
    <row r="226" spans="6:6" x14ac:dyDescent="0.2">
      <c r="F226" s="191"/>
    </row>
    <row r="227" spans="6:6" x14ac:dyDescent="0.2">
      <c r="F227" s="191"/>
    </row>
  </sheetData>
  <mergeCells count="8">
    <mergeCell ref="F135:I135"/>
    <mergeCell ref="A192:C192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13</vt:i4>
      </vt:variant>
    </vt:vector>
  </HeadingPairs>
  <TitlesOfParts>
    <vt:vector size="28" baseType="lpstr">
      <vt:lpstr>1. m. bevételek</vt:lpstr>
      <vt:lpstr>2. m. kiadások</vt:lpstr>
      <vt:lpstr>2.a KÖH részletező</vt:lpstr>
      <vt:lpstr>3. m. létszám</vt:lpstr>
      <vt:lpstr>4. melléklet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</vt:lpstr>
      <vt:lpstr>9. melléklet</vt:lpstr>
      <vt:lpstr>10. melléklet EU-s</vt:lpstr>
      <vt:lpstr>'1. m. bevételek'!Nyomtatási_cím</vt:lpstr>
      <vt:lpstr>'2. m. kiadások'!Nyomtatási_cím</vt:lpstr>
      <vt:lpstr>'2.a KÖH részletező'!Nyomtatási_cím</vt:lpstr>
      <vt:lpstr>'5.c melléklet-szerződések-Önk'!Nyomtatási_cím</vt:lpstr>
      <vt:lpstr>'1. m. bevételek'!Nyomtatási_terület</vt:lpstr>
      <vt:lpstr>'10. melléklet EU-s'!Nyomtatási_terület</vt:lpstr>
      <vt:lpstr>'2. m. kiadások'!Nyomtatási_terület</vt:lpstr>
      <vt:lpstr>'2.a KÖH részletező'!Nyomtatási_terület</vt:lpstr>
      <vt:lpstr>'4. melléklet'!Nyomtatási_terület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2020-02-25T12:59:51Z</cp:lastPrinted>
  <dcterms:created xsi:type="dcterms:W3CDTF">2009-01-15T09:14:34Z</dcterms:created>
  <dcterms:modified xsi:type="dcterms:W3CDTF">2020-06-05T09:06:38Z</dcterms:modified>
</cp:coreProperties>
</file>