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. Testületi ülések\2017\2017.06\"/>
    </mc:Choice>
  </mc:AlternateContent>
  <bookViews>
    <workbookView xWindow="0" yWindow="0" windowWidth="21570" windowHeight="7665" firstSheet="10" activeTab="14"/>
  </bookViews>
  <sheets>
    <sheet name="Önkormányzat" sheetId="1" r:id="rId1"/>
    <sheet name="Közös Hivatal" sheetId="2" r:id="rId2"/>
    <sheet name="Művelődési ház" sheetId="3" r:id="rId3"/>
    <sheet name="Közvetett támogatás" sheetId="12" r:id="rId4"/>
    <sheet name="Vagyon bont.forg.kép.sz. " sheetId="16" r:id="rId5"/>
    <sheet name="Önk+MHÁZ" sheetId="17" r:id="rId6"/>
    <sheet name="Fedőlap" sheetId="4" r:id="rId7"/>
    <sheet name="költségvetési kiadások" sheetId="6" r:id="rId8"/>
    <sheet name="költségvetési bevételek" sheetId="7" r:id="rId9"/>
    <sheet name="finanszírozási kiadások" sheetId="8" r:id="rId10"/>
    <sheet name="Finanszírozási bevételek" sheetId="9" r:id="rId11"/>
    <sheet name="mérleg" sheetId="10" r:id="rId12"/>
    <sheet name="eredménykimutatás" sheetId="11" r:id="rId13"/>
    <sheet name="működési-felh. mérleg" sheetId="13" r:id="rId14"/>
    <sheet name="beruházás-felújítás" sheetId="14" r:id="rId15"/>
  </sheets>
  <externalReferences>
    <externalReference r:id="rId16"/>
    <externalReference r:id="rId17"/>
    <externalReference r:id="rId18"/>
  </externalReferences>
  <definedNames>
    <definedName name="_fgl1" localSheetId="14">[1]flag_1!#REF!</definedName>
    <definedName name="_fgl1" localSheetId="13">[1]flag_1!#REF!</definedName>
    <definedName name="_fgl1">[1]flag_1!#REF!</definedName>
    <definedName name="_KSZ1" localSheetId="14">[1]flag_1!#REF!</definedName>
    <definedName name="_KSZ1" localSheetId="13">[1]flag_1!#REF!</definedName>
    <definedName name="_KSZ1">[1]flag_1!#REF!</definedName>
    <definedName name="_ksz11">[1]flag_1!#REF!</definedName>
    <definedName name="_xlnm.Database" localSheetId="14">#REF!</definedName>
    <definedName name="_xlnm.Database" localSheetId="13">#REF!</definedName>
    <definedName name="_xlnm.Database" localSheetId="4">#REF!</definedName>
    <definedName name="_xlnm.Database">#REF!</definedName>
    <definedName name="css" localSheetId="14">#REF!</definedName>
    <definedName name="css" localSheetId="13">#REF!</definedName>
    <definedName name="css" localSheetId="4">#REF!</definedName>
    <definedName name="css">#REF!</definedName>
    <definedName name="css_k">[2]Családsegítés!$C$27:$C$86</definedName>
    <definedName name="css_k_" localSheetId="14">#REF!</definedName>
    <definedName name="css_k_" localSheetId="13">#REF!</definedName>
    <definedName name="css_k_" localSheetId="4">#REF!</definedName>
    <definedName name="css_k_">#REF!</definedName>
    <definedName name="FEJ" localSheetId="14">#REF!</definedName>
    <definedName name="FEJ" localSheetId="13">#REF!</definedName>
    <definedName name="FEJ" localSheetId="4">#REF!</definedName>
    <definedName name="FEJ">#REF!</definedName>
    <definedName name="FGL" localSheetId="14">[1]flag_1!#REF!</definedName>
    <definedName name="FGL" localSheetId="13">[1]flag_1!#REF!</definedName>
    <definedName name="FGL" localSheetId="4">[1]flag_1!#REF!</definedName>
    <definedName name="FGL">[1]flag_1!#REF!</definedName>
    <definedName name="FLAG" localSheetId="14">[1]flag_1!#REF!</definedName>
    <definedName name="FLAG" localSheetId="13">[1]flag_1!#REF!</definedName>
    <definedName name="FLAG" localSheetId="4">[1]flag_1!#REF!</definedName>
    <definedName name="FLAG">[1]flag_1!#REF!</definedName>
    <definedName name="flag1" localSheetId="4">[1]flag_1!#REF!</definedName>
    <definedName name="flag1">[1]flag_1!#REF!</definedName>
    <definedName name="gyj" localSheetId="14">#REF!</definedName>
    <definedName name="gyj" localSheetId="13">#REF!</definedName>
    <definedName name="gyj" localSheetId="4">#REF!</definedName>
    <definedName name="gyj">#REF!</definedName>
    <definedName name="gyj_k">[2]Gyermekjóléti!$C$27:$C$86</definedName>
    <definedName name="gyj_k_" localSheetId="14">#REF!</definedName>
    <definedName name="gyj_k_" localSheetId="13">#REF!</definedName>
    <definedName name="gyj_k_" localSheetId="4">#REF!</definedName>
    <definedName name="gyj_k_">#REF!</definedName>
    <definedName name="K_LSZA_BECS_1" localSheetId="14">#REF!</definedName>
    <definedName name="K_LSZA_BECS_1" localSheetId="13">#REF!</definedName>
    <definedName name="K_LSZA_BECS_1" localSheetId="4">#REF!</definedName>
    <definedName name="K_LSZA_BECS_1">#REF!</definedName>
    <definedName name="kjz" localSheetId="14">#REF!</definedName>
    <definedName name="kjz" localSheetId="13">#REF!</definedName>
    <definedName name="kjz" localSheetId="4">#REF!</definedName>
    <definedName name="kjz">#REF!</definedName>
    <definedName name="kjz_k">[2]körjegyzőség!$C$9:$C$28</definedName>
    <definedName name="kjz_k_" localSheetId="14">#REF!</definedName>
    <definedName name="kjz_k_" localSheetId="13">#REF!</definedName>
    <definedName name="kjz_k_" localSheetId="4">#REF!</definedName>
    <definedName name="kjz_k_">#REF!</definedName>
    <definedName name="KSH_R" localSheetId="14">#REF!</definedName>
    <definedName name="KSH_R" localSheetId="13">#REF!</definedName>
    <definedName name="KSH_R" localSheetId="4">#REF!</definedName>
    <definedName name="KSH_R">#REF!</definedName>
    <definedName name="nev_c" localSheetId="14">#REF!</definedName>
    <definedName name="nev_c" localSheetId="13">#REF!</definedName>
    <definedName name="nev_c" localSheetId="4">#REF!</definedName>
    <definedName name="nev_c">#REF!</definedName>
    <definedName name="nev_g" localSheetId="14">#REF!</definedName>
    <definedName name="nev_g" localSheetId="13">#REF!</definedName>
    <definedName name="nev_g">#REF!</definedName>
    <definedName name="nev_k" localSheetId="14">#REF!</definedName>
    <definedName name="nev_k" localSheetId="13">#REF!</definedName>
    <definedName name="nev_k">#REF!</definedName>
    <definedName name="_xlnm.Print_Area" localSheetId="4">'Vagyon bont.forg.kép.sz. '!$A$1:$I$180</definedName>
    <definedName name="PUK" localSheetId="14">#REF!</definedName>
    <definedName name="PUK" localSheetId="13">#REF!</definedName>
    <definedName name="PUK" localSheetId="4">#REF!</definedName>
    <definedName name="PUK">#REF!</definedName>
    <definedName name="TAM_jogc_feldkod">[3]NATUR_select!$C$16:$D$287</definedName>
    <definedName name="URSZ" localSheetId="14">#REF!</definedName>
    <definedName name="URSZ" localSheetId="13">#REF!</definedName>
    <definedName name="URSZ" localSheetId="4">#REF!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7" l="1"/>
  <c r="C34" i="17"/>
  <c r="B34" i="17"/>
  <c r="I33" i="17"/>
  <c r="H33" i="17"/>
  <c r="G33" i="17"/>
  <c r="D33" i="17" s="1"/>
  <c r="F33" i="17"/>
  <c r="C33" i="17" s="1"/>
  <c r="E33" i="17"/>
  <c r="B33" i="17"/>
  <c r="D32" i="17"/>
  <c r="C32" i="17"/>
  <c r="B32" i="17"/>
  <c r="D31" i="17"/>
  <c r="C31" i="17"/>
  <c r="B31" i="17"/>
  <c r="G30" i="17"/>
  <c r="G34" i="17" s="1"/>
  <c r="D34" i="17" s="1"/>
  <c r="D30" i="17"/>
  <c r="C30" i="17"/>
  <c r="B30" i="17"/>
  <c r="D29" i="17"/>
  <c r="J28" i="17"/>
  <c r="F28" i="17"/>
  <c r="E28" i="17"/>
  <c r="B28" i="17" s="1"/>
  <c r="C28" i="17"/>
  <c r="I27" i="17"/>
  <c r="H27" i="17"/>
  <c r="G27" i="17"/>
  <c r="G36" i="17" s="1"/>
  <c r="D27" i="17"/>
  <c r="G26" i="17"/>
  <c r="D26" i="17" s="1"/>
  <c r="E26" i="17"/>
  <c r="B26" i="17" s="1"/>
  <c r="C26" i="17"/>
  <c r="G25" i="17"/>
  <c r="D25" i="17" s="1"/>
  <c r="F25" i="17"/>
  <c r="E25" i="17"/>
  <c r="C25" i="17"/>
  <c r="B25" i="17"/>
  <c r="G24" i="17"/>
  <c r="G28" i="17" s="1"/>
  <c r="D28" i="17" s="1"/>
  <c r="F24" i="17"/>
  <c r="F27" i="17" s="1"/>
  <c r="C27" i="17" s="1"/>
  <c r="E24" i="17"/>
  <c r="E27" i="17" s="1"/>
  <c r="B27" i="17" s="1"/>
  <c r="D24" i="17"/>
  <c r="C24" i="17"/>
  <c r="D23" i="17"/>
  <c r="J22" i="17"/>
  <c r="C22" i="17"/>
  <c r="B22" i="17"/>
  <c r="I21" i="17"/>
  <c r="H21" i="17"/>
  <c r="F21" i="17"/>
  <c r="C21" i="17" s="1"/>
  <c r="E21" i="17"/>
  <c r="D21" i="17"/>
  <c r="B21" i="17"/>
  <c r="D20" i="17"/>
  <c r="C20" i="17"/>
  <c r="B20" i="17"/>
  <c r="D19" i="17"/>
  <c r="C19" i="17"/>
  <c r="B19" i="17"/>
  <c r="G18" i="17"/>
  <c r="G22" i="17" s="1"/>
  <c r="D22" i="17" s="1"/>
  <c r="D18" i="17"/>
  <c r="C18" i="17"/>
  <c r="B18" i="17"/>
  <c r="D17" i="17"/>
  <c r="J16" i="17"/>
  <c r="G16" i="17"/>
  <c r="F16" i="17"/>
  <c r="E16" i="17"/>
  <c r="D16" i="17"/>
  <c r="C16" i="17"/>
  <c r="B16" i="17"/>
  <c r="I15" i="17"/>
  <c r="H15" i="17"/>
  <c r="D15" i="17"/>
  <c r="D14" i="17"/>
  <c r="C14" i="17"/>
  <c r="B14" i="17"/>
  <c r="D13" i="17"/>
  <c r="C13" i="17"/>
  <c r="B13" i="17"/>
  <c r="F12" i="17"/>
  <c r="F15" i="17" s="1"/>
  <c r="C15" i="17" s="1"/>
  <c r="E12" i="17"/>
  <c r="E15" i="17" s="1"/>
  <c r="B15" i="17" s="1"/>
  <c r="D12" i="17"/>
  <c r="B12" i="17"/>
  <c r="J10" i="17"/>
  <c r="G10" i="17"/>
  <c r="G37" i="17" s="1"/>
  <c r="C10" i="17"/>
  <c r="B10" i="17"/>
  <c r="I9" i="17"/>
  <c r="H9" i="17"/>
  <c r="F9" i="17"/>
  <c r="C9" i="17" s="1"/>
  <c r="E9" i="17"/>
  <c r="D9" i="17"/>
  <c r="B9" i="17"/>
  <c r="D8" i="17"/>
  <c r="C8" i="17"/>
  <c r="B8" i="17"/>
  <c r="D7" i="17"/>
  <c r="C7" i="17"/>
  <c r="B7" i="17"/>
  <c r="D6" i="17"/>
  <c r="C6" i="17"/>
  <c r="B6" i="17"/>
  <c r="H179" i="16"/>
  <c r="G179" i="16"/>
  <c r="F179" i="16"/>
  <c r="I179" i="16" s="1"/>
  <c r="E179" i="16"/>
  <c r="D179" i="16"/>
  <c r="C179" i="16"/>
  <c r="B179" i="16"/>
  <c r="I178" i="16"/>
  <c r="I177" i="16"/>
  <c r="I176" i="16"/>
  <c r="H174" i="16"/>
  <c r="G174" i="16"/>
  <c r="F174" i="16"/>
  <c r="E174" i="16"/>
  <c r="D174" i="16"/>
  <c r="C174" i="16"/>
  <c r="B174" i="16"/>
  <c r="I173" i="16"/>
  <c r="I172" i="16"/>
  <c r="I171" i="16"/>
  <c r="I170" i="16"/>
  <c r="I169" i="16"/>
  <c r="G168" i="16"/>
  <c r="F168" i="16"/>
  <c r="E168" i="16"/>
  <c r="D168" i="16"/>
  <c r="C168" i="16"/>
  <c r="I167" i="16"/>
  <c r="H166" i="16"/>
  <c r="I166" i="16" s="1"/>
  <c r="B166" i="16"/>
  <c r="H165" i="16"/>
  <c r="I165" i="16" s="1"/>
  <c r="B165" i="16"/>
  <c r="B168" i="16" s="1"/>
  <c r="H164" i="16"/>
  <c r="G164" i="16"/>
  <c r="F164" i="16"/>
  <c r="E164" i="16"/>
  <c r="D164" i="16"/>
  <c r="C164" i="16"/>
  <c r="B164" i="16"/>
  <c r="I163" i="16"/>
  <c r="H155" i="16"/>
  <c r="H156" i="16" s="1"/>
  <c r="G155" i="16"/>
  <c r="G156" i="16" s="1"/>
  <c r="F155" i="16"/>
  <c r="I155" i="16" s="1"/>
  <c r="E155" i="16"/>
  <c r="E156" i="16" s="1"/>
  <c r="D155" i="16"/>
  <c r="D156" i="16" s="1"/>
  <c r="C155" i="16"/>
  <c r="C156" i="16" s="1"/>
  <c r="B155" i="16"/>
  <c r="B156" i="16" s="1"/>
  <c r="I154" i="16"/>
  <c r="I153" i="16"/>
  <c r="I152" i="16"/>
  <c r="H150" i="16"/>
  <c r="G150" i="16"/>
  <c r="F150" i="16"/>
  <c r="I150" i="16" s="1"/>
  <c r="E150" i="16"/>
  <c r="D150" i="16"/>
  <c r="C150" i="16"/>
  <c r="B150" i="16"/>
  <c r="I149" i="16"/>
  <c r="I148" i="16"/>
  <c r="I147" i="16"/>
  <c r="I146" i="16"/>
  <c r="I145" i="16"/>
  <c r="H144" i="16"/>
  <c r="G144" i="16"/>
  <c r="F144" i="16"/>
  <c r="I144" i="16" s="1"/>
  <c r="E144" i="16"/>
  <c r="D144" i="16"/>
  <c r="C144" i="16"/>
  <c r="B144" i="16"/>
  <c r="I143" i="16"/>
  <c r="I142" i="16"/>
  <c r="I141" i="16"/>
  <c r="H140" i="16"/>
  <c r="G140" i="16"/>
  <c r="F140" i="16"/>
  <c r="I140" i="16" s="1"/>
  <c r="E140" i="16"/>
  <c r="D140" i="16"/>
  <c r="C140" i="16"/>
  <c r="B140" i="16"/>
  <c r="I139" i="16"/>
  <c r="H133" i="16"/>
  <c r="G133" i="16"/>
  <c r="G134" i="16" s="1"/>
  <c r="F133" i="16"/>
  <c r="E133" i="16"/>
  <c r="D133" i="16"/>
  <c r="C133" i="16"/>
  <c r="C134" i="16" s="1"/>
  <c r="B133" i="16"/>
  <c r="I132" i="16"/>
  <c r="I131" i="16"/>
  <c r="I130" i="16"/>
  <c r="H128" i="16"/>
  <c r="G128" i="16"/>
  <c r="F128" i="16"/>
  <c r="I128" i="16" s="1"/>
  <c r="E128" i="16"/>
  <c r="D128" i="16"/>
  <c r="C128" i="16"/>
  <c r="B128" i="16"/>
  <c r="I127" i="16"/>
  <c r="I126" i="16"/>
  <c r="I125" i="16"/>
  <c r="I124" i="16"/>
  <c r="I123" i="16"/>
  <c r="G122" i="16"/>
  <c r="F122" i="16"/>
  <c r="E122" i="16"/>
  <c r="D122" i="16"/>
  <c r="C122" i="16"/>
  <c r="I121" i="16"/>
  <c r="H120" i="16"/>
  <c r="H31" i="16" s="1"/>
  <c r="B120" i="16"/>
  <c r="B122" i="16" s="1"/>
  <c r="I119" i="16"/>
  <c r="H118" i="16"/>
  <c r="G118" i="16"/>
  <c r="F118" i="16"/>
  <c r="E118" i="16"/>
  <c r="D118" i="16"/>
  <c r="C118" i="16"/>
  <c r="B118" i="16"/>
  <c r="I117" i="16"/>
  <c r="H111" i="16"/>
  <c r="H112" i="16" s="1"/>
  <c r="G111" i="16"/>
  <c r="G112" i="16" s="1"/>
  <c r="F111" i="16"/>
  <c r="I111" i="16" s="1"/>
  <c r="E111" i="16"/>
  <c r="D111" i="16"/>
  <c r="D112" i="16" s="1"/>
  <c r="C111" i="16"/>
  <c r="C112" i="16" s="1"/>
  <c r="B111" i="16"/>
  <c r="I110" i="16"/>
  <c r="I109" i="16"/>
  <c r="I108" i="16"/>
  <c r="H106" i="16"/>
  <c r="G106" i="16"/>
  <c r="F106" i="16"/>
  <c r="E106" i="16"/>
  <c r="D106" i="16"/>
  <c r="C106" i="16"/>
  <c r="B106" i="16"/>
  <c r="I105" i="16"/>
  <c r="I104" i="16"/>
  <c r="I103" i="16"/>
  <c r="I102" i="16"/>
  <c r="I101" i="16"/>
  <c r="H100" i="16"/>
  <c r="G100" i="16"/>
  <c r="F100" i="16"/>
  <c r="I100" i="16" s="1"/>
  <c r="E100" i="16"/>
  <c r="D100" i="16"/>
  <c r="C100" i="16"/>
  <c r="B100" i="16"/>
  <c r="I99" i="16"/>
  <c r="I98" i="16"/>
  <c r="B98" i="16"/>
  <c r="I97" i="16"/>
  <c r="H96" i="16"/>
  <c r="G96" i="16"/>
  <c r="F96" i="16"/>
  <c r="I96" i="16" s="1"/>
  <c r="E96" i="16"/>
  <c r="D96" i="16"/>
  <c r="C96" i="16"/>
  <c r="B96" i="16"/>
  <c r="I95" i="16"/>
  <c r="H88" i="16"/>
  <c r="G88" i="16"/>
  <c r="F88" i="16"/>
  <c r="I88" i="16" s="1"/>
  <c r="E88" i="16"/>
  <c r="D88" i="16"/>
  <c r="C88" i="16"/>
  <c r="B88" i="16"/>
  <c r="I87" i="16"/>
  <c r="I86" i="16"/>
  <c r="I85" i="16"/>
  <c r="I83" i="16"/>
  <c r="H83" i="16"/>
  <c r="G83" i="16"/>
  <c r="F83" i="16"/>
  <c r="E83" i="16"/>
  <c r="D83" i="16"/>
  <c r="C83" i="16"/>
  <c r="B83" i="16"/>
  <c r="I82" i="16"/>
  <c r="I81" i="16"/>
  <c r="I80" i="16"/>
  <c r="I79" i="16"/>
  <c r="I78" i="16"/>
  <c r="G77" i="16"/>
  <c r="F77" i="16"/>
  <c r="E77" i="16"/>
  <c r="D77" i="16"/>
  <c r="C77" i="16"/>
  <c r="I76" i="16"/>
  <c r="H75" i="16"/>
  <c r="H77" i="16" s="1"/>
  <c r="B75" i="16"/>
  <c r="B77" i="16" s="1"/>
  <c r="I74" i="16"/>
  <c r="B74" i="16"/>
  <c r="H73" i="16"/>
  <c r="G73" i="16"/>
  <c r="F73" i="16"/>
  <c r="E73" i="16"/>
  <c r="D73" i="16"/>
  <c r="C73" i="16"/>
  <c r="B73" i="16"/>
  <c r="I72" i="16"/>
  <c r="I66" i="16"/>
  <c r="H66" i="16"/>
  <c r="G66" i="16"/>
  <c r="G67" i="16" s="1"/>
  <c r="F66" i="16"/>
  <c r="F67" i="16" s="1"/>
  <c r="E66" i="16"/>
  <c r="E67" i="16" s="1"/>
  <c r="D66" i="16"/>
  <c r="D67" i="16" s="1"/>
  <c r="C66" i="16"/>
  <c r="C67" i="16" s="1"/>
  <c r="B66" i="16"/>
  <c r="B67" i="16" s="1"/>
  <c r="I65" i="16"/>
  <c r="I64" i="16"/>
  <c r="I63" i="16"/>
  <c r="I62" i="16"/>
  <c r="I61" i="16"/>
  <c r="H61" i="16"/>
  <c r="G61" i="16"/>
  <c r="F61" i="16"/>
  <c r="E61" i="16"/>
  <c r="D61" i="16"/>
  <c r="C61" i="16"/>
  <c r="B61" i="16"/>
  <c r="I60" i="16"/>
  <c r="I59" i="16"/>
  <c r="I58" i="16"/>
  <c r="I57" i="16"/>
  <c r="I56" i="16"/>
  <c r="G55" i="16"/>
  <c r="F55" i="16"/>
  <c r="I55" i="16" s="1"/>
  <c r="E55" i="16"/>
  <c r="D55" i="16"/>
  <c r="C55" i="16"/>
  <c r="I54" i="16"/>
  <c r="H53" i="16"/>
  <c r="I53" i="16" s="1"/>
  <c r="B53" i="16"/>
  <c r="B55" i="16" s="1"/>
  <c r="H52" i="16"/>
  <c r="H55" i="16" s="1"/>
  <c r="B52" i="16"/>
  <c r="I51" i="16"/>
  <c r="H51" i="16"/>
  <c r="G51" i="16"/>
  <c r="F51" i="16"/>
  <c r="E51" i="16"/>
  <c r="D51" i="16"/>
  <c r="C51" i="16"/>
  <c r="B51" i="16"/>
  <c r="I50" i="16"/>
  <c r="H43" i="16"/>
  <c r="G43" i="16"/>
  <c r="F43" i="16"/>
  <c r="D43" i="16"/>
  <c r="C43" i="16"/>
  <c r="B43" i="16"/>
  <c r="G42" i="16"/>
  <c r="F42" i="16"/>
  <c r="D42" i="16"/>
  <c r="C42" i="16"/>
  <c r="B42" i="16"/>
  <c r="H41" i="16"/>
  <c r="G41" i="16"/>
  <c r="F41" i="16"/>
  <c r="E41" i="16"/>
  <c r="D41" i="16"/>
  <c r="B41" i="16"/>
  <c r="H40" i="16"/>
  <c r="G40" i="16"/>
  <c r="F40" i="16"/>
  <c r="E40" i="16"/>
  <c r="D40" i="16"/>
  <c r="D44" i="16" s="1"/>
  <c r="C40" i="16"/>
  <c r="B40" i="16"/>
  <c r="F38" i="16"/>
  <c r="D38" i="16"/>
  <c r="C38" i="16"/>
  <c r="B38" i="16"/>
  <c r="H37" i="16"/>
  <c r="G37" i="16"/>
  <c r="F37" i="16"/>
  <c r="E37" i="16"/>
  <c r="D37" i="16"/>
  <c r="C37" i="16"/>
  <c r="B37" i="16"/>
  <c r="F36" i="16"/>
  <c r="D36" i="16"/>
  <c r="C36" i="16"/>
  <c r="G35" i="16"/>
  <c r="F35" i="16"/>
  <c r="D35" i="16"/>
  <c r="C35" i="16"/>
  <c r="G34" i="16"/>
  <c r="F34" i="16"/>
  <c r="D34" i="16"/>
  <c r="C34" i="16"/>
  <c r="H32" i="16"/>
  <c r="G32" i="16"/>
  <c r="F32" i="16"/>
  <c r="E32" i="16"/>
  <c r="D32" i="16"/>
  <c r="C32" i="16"/>
  <c r="B32" i="16"/>
  <c r="G31" i="16"/>
  <c r="F31" i="16"/>
  <c r="D31" i="16"/>
  <c r="C31" i="16"/>
  <c r="B31" i="16"/>
  <c r="H30" i="16"/>
  <c r="H33" i="16" s="1"/>
  <c r="G30" i="16"/>
  <c r="F30" i="16"/>
  <c r="E30" i="16"/>
  <c r="D30" i="16"/>
  <c r="D33" i="16" s="1"/>
  <c r="C30" i="16"/>
  <c r="B30" i="16"/>
  <c r="H28" i="16"/>
  <c r="H29" i="16" s="1"/>
  <c r="F28" i="16"/>
  <c r="F29" i="16" s="1"/>
  <c r="E28" i="16"/>
  <c r="E29" i="16" s="1"/>
  <c r="D28" i="16"/>
  <c r="D29" i="16" s="1"/>
  <c r="G22" i="16"/>
  <c r="F22" i="16"/>
  <c r="D22" i="16"/>
  <c r="B22" i="16"/>
  <c r="I21" i="16"/>
  <c r="E21" i="16"/>
  <c r="E43" i="16" s="1"/>
  <c r="H20" i="16"/>
  <c r="H42" i="16" s="1"/>
  <c r="E20" i="16"/>
  <c r="E42" i="16" s="1"/>
  <c r="B20" i="16"/>
  <c r="I19" i="16"/>
  <c r="C19" i="16"/>
  <c r="C22" i="16" s="1"/>
  <c r="B19" i="16"/>
  <c r="I18" i="16"/>
  <c r="I40" i="16" s="1"/>
  <c r="B18" i="16"/>
  <c r="D17" i="16"/>
  <c r="C17" i="16"/>
  <c r="I16" i="16"/>
  <c r="I38" i="16" s="1"/>
  <c r="H16" i="16"/>
  <c r="H38" i="16" s="1"/>
  <c r="G16" i="16"/>
  <c r="G38" i="16" s="1"/>
  <c r="F16" i="16"/>
  <c r="F17" i="16" s="1"/>
  <c r="E16" i="16"/>
  <c r="E38" i="16" s="1"/>
  <c r="B16" i="16"/>
  <c r="I15" i="16"/>
  <c r="B15" i="16"/>
  <c r="I14" i="16"/>
  <c r="H14" i="16"/>
  <c r="H36" i="16" s="1"/>
  <c r="G14" i="16"/>
  <c r="G17" i="16" s="1"/>
  <c r="E14" i="16"/>
  <c r="E36" i="16" s="1"/>
  <c r="B14" i="16"/>
  <c r="B36" i="16" s="1"/>
  <c r="H13" i="16"/>
  <c r="H35" i="16" s="1"/>
  <c r="E13" i="16"/>
  <c r="E35" i="16" s="1"/>
  <c r="B13" i="16"/>
  <c r="B35" i="16" s="1"/>
  <c r="H12" i="16"/>
  <c r="H34" i="16" s="1"/>
  <c r="E12" i="16"/>
  <c r="E34" i="16" s="1"/>
  <c r="B12" i="16"/>
  <c r="B34" i="16" s="1"/>
  <c r="H11" i="16"/>
  <c r="G11" i="16"/>
  <c r="F11" i="16"/>
  <c r="F23" i="16" s="1"/>
  <c r="D11" i="16"/>
  <c r="D23" i="16" s="1"/>
  <c r="C11" i="16"/>
  <c r="B11" i="16"/>
  <c r="I10" i="16"/>
  <c r="I32" i="16" s="1"/>
  <c r="B10" i="16"/>
  <c r="I9" i="16"/>
  <c r="E9" i="16"/>
  <c r="E31" i="16" s="1"/>
  <c r="B9" i="16"/>
  <c r="I8" i="16"/>
  <c r="B8" i="16"/>
  <c r="F7" i="16"/>
  <c r="E7" i="16"/>
  <c r="D7" i="16"/>
  <c r="I6" i="16"/>
  <c r="H6" i="16"/>
  <c r="H7" i="16" s="1"/>
  <c r="G6" i="16"/>
  <c r="G7" i="16" s="1"/>
  <c r="C6" i="16"/>
  <c r="C7" i="16" s="1"/>
  <c r="C23" i="16" s="1"/>
  <c r="B6" i="16"/>
  <c r="B7" i="16" s="1"/>
  <c r="D10" i="17" l="1"/>
  <c r="C12" i="17"/>
  <c r="B24" i="17"/>
  <c r="G35" i="17"/>
  <c r="I36" i="16"/>
  <c r="I43" i="16"/>
  <c r="C39" i="16"/>
  <c r="I164" i="16"/>
  <c r="G180" i="16"/>
  <c r="E180" i="16"/>
  <c r="I28" i="16"/>
  <c r="F33" i="16"/>
  <c r="C180" i="16"/>
  <c r="H39" i="16"/>
  <c r="I174" i="16"/>
  <c r="D180" i="16"/>
  <c r="B33" i="16"/>
  <c r="D39" i="16"/>
  <c r="D45" i="16" s="1"/>
  <c r="C89" i="16"/>
  <c r="G89" i="16"/>
  <c r="D134" i="16"/>
  <c r="B39" i="16"/>
  <c r="I37" i="16"/>
  <c r="C33" i="16"/>
  <c r="G33" i="16"/>
  <c r="I33" i="16" s="1"/>
  <c r="F39" i="16"/>
  <c r="B44" i="16"/>
  <c r="F44" i="16"/>
  <c r="F89" i="16"/>
  <c r="D89" i="16"/>
  <c r="H89" i="16"/>
  <c r="I118" i="16"/>
  <c r="E134" i="16"/>
  <c r="I41" i="16"/>
  <c r="G44" i="16"/>
  <c r="I73" i="16"/>
  <c r="E89" i="16"/>
  <c r="E112" i="16"/>
  <c r="I106" i="16"/>
  <c r="B112" i="16"/>
  <c r="F112" i="16"/>
  <c r="I133" i="16"/>
  <c r="E39" i="16"/>
  <c r="I112" i="16"/>
  <c r="B134" i="16"/>
  <c r="B180" i="16"/>
  <c r="I7" i="16"/>
  <c r="G23" i="16"/>
  <c r="E33" i="16"/>
  <c r="H44" i="16"/>
  <c r="H67" i="16"/>
  <c r="B89" i="16"/>
  <c r="I67" i="16"/>
  <c r="E44" i="16"/>
  <c r="H180" i="16"/>
  <c r="E17" i="16"/>
  <c r="B17" i="16"/>
  <c r="B23" i="16" s="1"/>
  <c r="I20" i="16"/>
  <c r="I42" i="16" s="1"/>
  <c r="H22" i="16"/>
  <c r="H23" i="16" s="1"/>
  <c r="E11" i="16"/>
  <c r="E23" i="16" s="1"/>
  <c r="I11" i="16"/>
  <c r="I12" i="16"/>
  <c r="I13" i="16"/>
  <c r="I35" i="16" s="1"/>
  <c r="H17" i="16"/>
  <c r="E22" i="16"/>
  <c r="I52" i="16"/>
  <c r="I30" i="16" s="1"/>
  <c r="I77" i="16"/>
  <c r="F134" i="16"/>
  <c r="F156" i="16"/>
  <c r="I156" i="16" s="1"/>
  <c r="F180" i="16"/>
  <c r="B28" i="16"/>
  <c r="B29" i="16" s="1"/>
  <c r="B45" i="16" s="1"/>
  <c r="C28" i="16"/>
  <c r="C29" i="16" s="1"/>
  <c r="G28" i="16"/>
  <c r="G29" i="16" s="1"/>
  <c r="I29" i="16" s="1"/>
  <c r="G36" i="16"/>
  <c r="G39" i="16" s="1"/>
  <c r="C41" i="16"/>
  <c r="C44" i="16" s="1"/>
  <c r="I120" i="16"/>
  <c r="H122" i="16"/>
  <c r="I122" i="16" s="1"/>
  <c r="H168" i="16"/>
  <c r="I168" i="16" s="1"/>
  <c r="I75" i="16"/>
  <c r="H45" i="16" l="1"/>
  <c r="F45" i="16"/>
  <c r="I31" i="16"/>
  <c r="C45" i="16"/>
  <c r="I89" i="16"/>
  <c r="I39" i="16"/>
  <c r="G45" i="16"/>
  <c r="I180" i="16"/>
  <c r="I17" i="16"/>
  <c r="I23" i="16" s="1"/>
  <c r="I34" i="16"/>
  <c r="H134" i="16"/>
  <c r="I134" i="16" s="1"/>
  <c r="I44" i="16"/>
  <c r="I22" i="16"/>
  <c r="E45" i="16"/>
  <c r="I45" i="16"/>
  <c r="J54" i="3" l="1"/>
  <c r="J55" i="3"/>
  <c r="J56" i="3"/>
  <c r="J57" i="3"/>
  <c r="J53" i="3"/>
  <c r="J45" i="3"/>
  <c r="J46" i="3"/>
  <c r="J47" i="3"/>
  <c r="J48" i="3"/>
  <c r="J49" i="3"/>
  <c r="J43" i="3"/>
  <c r="J7" i="3"/>
  <c r="J8" i="3"/>
  <c r="J9" i="3"/>
  <c r="J10" i="3"/>
  <c r="J11" i="3"/>
  <c r="J12" i="3"/>
  <c r="J13" i="3"/>
  <c r="J14" i="3"/>
  <c r="J15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6" i="3"/>
  <c r="J61" i="2"/>
  <c r="J62" i="2"/>
  <c r="J63" i="2"/>
  <c r="J64" i="2"/>
  <c r="J60" i="2"/>
  <c r="J50" i="2"/>
  <c r="J51" i="2"/>
  <c r="J52" i="2"/>
  <c r="J53" i="2"/>
  <c r="J54" i="2"/>
  <c r="J55" i="2"/>
  <c r="J56" i="2"/>
  <c r="J47" i="2"/>
  <c r="J7" i="2"/>
  <c r="J8" i="2"/>
  <c r="J9" i="2"/>
  <c r="J10" i="2"/>
  <c r="J11" i="2"/>
  <c r="J12" i="2"/>
  <c r="J13" i="2"/>
  <c r="J14" i="2"/>
  <c r="J15" i="2"/>
  <c r="J16" i="2"/>
  <c r="J17" i="2"/>
  <c r="J18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6" i="2"/>
  <c r="J7" i="1"/>
  <c r="J8" i="1"/>
  <c r="J9" i="1"/>
  <c r="J10" i="1"/>
  <c r="J11" i="1"/>
  <c r="J12" i="1"/>
  <c r="J13" i="1"/>
  <c r="J14" i="1"/>
  <c r="J15" i="1"/>
  <c r="J16" i="1"/>
  <c r="J17" i="1"/>
  <c r="J18" i="1"/>
  <c r="J23" i="1"/>
  <c r="J24" i="1"/>
  <c r="J25" i="1"/>
  <c r="J26" i="1"/>
  <c r="J27" i="1"/>
  <c r="J28" i="1"/>
  <c r="J29" i="1"/>
  <c r="J30" i="1"/>
  <c r="J31" i="1"/>
  <c r="J32" i="1"/>
  <c r="J33" i="1"/>
  <c r="J35" i="1"/>
  <c r="J37" i="1"/>
  <c r="J38" i="1"/>
  <c r="J39" i="1"/>
  <c r="J40" i="1"/>
  <c r="J41" i="1"/>
  <c r="J42" i="1"/>
  <c r="J43" i="1"/>
  <c r="J45" i="1"/>
  <c r="J50" i="1"/>
  <c r="J51" i="1"/>
  <c r="J52" i="1"/>
  <c r="J53" i="1"/>
  <c r="J57" i="1"/>
  <c r="J59" i="1"/>
  <c r="J60" i="1"/>
  <c r="J61" i="1"/>
  <c r="J62" i="1"/>
  <c r="J63" i="1"/>
  <c r="J64" i="1"/>
  <c r="J65" i="1"/>
  <c r="J66" i="1"/>
  <c r="J68" i="1"/>
  <c r="J69" i="1"/>
  <c r="J70" i="1"/>
  <c r="J72" i="1"/>
  <c r="J73" i="1"/>
  <c r="J77" i="1"/>
  <c r="J78" i="1"/>
  <c r="J79" i="1"/>
  <c r="J80" i="1"/>
  <c r="J84" i="1"/>
  <c r="J85" i="1"/>
  <c r="J86" i="1"/>
  <c r="J87" i="1"/>
  <c r="J88" i="1"/>
  <c r="J89" i="1"/>
  <c r="J90" i="1"/>
  <c r="J96" i="1"/>
  <c r="J97" i="1"/>
  <c r="J98" i="1"/>
  <c r="J100" i="1"/>
  <c r="J101" i="1"/>
  <c r="J103" i="1"/>
  <c r="J104" i="1"/>
  <c r="J106" i="1"/>
  <c r="J108" i="1"/>
  <c r="J109" i="1"/>
  <c r="J111" i="1"/>
  <c r="J112" i="1"/>
  <c r="J114" i="1"/>
  <c r="J116" i="1"/>
  <c r="J117" i="1"/>
  <c r="J118" i="1"/>
  <c r="J119" i="1"/>
  <c r="J120" i="1"/>
  <c r="J121" i="1"/>
  <c r="J122" i="1"/>
  <c r="J123" i="1"/>
  <c r="J124" i="1"/>
  <c r="J125" i="1"/>
  <c r="J128" i="1"/>
  <c r="J130" i="1"/>
  <c r="J132" i="1"/>
  <c r="J133" i="1"/>
  <c r="J136" i="1"/>
  <c r="J137" i="1"/>
  <c r="J138" i="1"/>
  <c r="J139" i="1"/>
  <c r="J140" i="1"/>
  <c r="J141" i="1"/>
  <c r="J6" i="1"/>
  <c r="F47" i="13" l="1"/>
  <c r="F58" i="13" s="1"/>
  <c r="E48" i="13"/>
  <c r="G48" i="13" s="1"/>
  <c r="E47" i="13"/>
  <c r="D49" i="13"/>
  <c r="D48" i="13"/>
  <c r="D47" i="13"/>
  <c r="D37" i="13"/>
  <c r="D36" i="13"/>
  <c r="G36" i="13" s="1"/>
  <c r="D35" i="13"/>
  <c r="D46" i="13" s="1"/>
  <c r="F22" i="13"/>
  <c r="F21" i="13"/>
  <c r="F20" i="13"/>
  <c r="E22" i="13"/>
  <c r="E21" i="13"/>
  <c r="E20" i="13"/>
  <c r="D26" i="13"/>
  <c r="G26" i="13" s="1"/>
  <c r="H26" i="13" s="1"/>
  <c r="D24" i="13"/>
  <c r="G24" i="13" s="1"/>
  <c r="D23" i="13"/>
  <c r="D22" i="13"/>
  <c r="D21" i="13"/>
  <c r="D20" i="13"/>
  <c r="F13" i="13"/>
  <c r="E13" i="13"/>
  <c r="F11" i="13"/>
  <c r="F9" i="13"/>
  <c r="E11" i="13"/>
  <c r="E19" i="13" s="1"/>
  <c r="E59" i="13" s="1"/>
  <c r="D13" i="13"/>
  <c r="D12" i="13"/>
  <c r="D11" i="13"/>
  <c r="D10" i="13"/>
  <c r="G10" i="13" s="1"/>
  <c r="D9" i="13"/>
  <c r="D42" i="14"/>
  <c r="D25" i="14"/>
  <c r="G57" i="13"/>
  <c r="G56" i="13"/>
  <c r="G55" i="13"/>
  <c r="G54" i="13"/>
  <c r="G53" i="13"/>
  <c r="G52" i="13"/>
  <c r="G51" i="13"/>
  <c r="G50" i="13"/>
  <c r="G49" i="13"/>
  <c r="I46" i="13"/>
  <c r="H46" i="13"/>
  <c r="F46" i="13"/>
  <c r="E46" i="13"/>
  <c r="G45" i="13"/>
  <c r="G44" i="13"/>
  <c r="G43" i="13"/>
  <c r="G42" i="13"/>
  <c r="G41" i="13"/>
  <c r="G40" i="13"/>
  <c r="G39" i="13"/>
  <c r="G38" i="13"/>
  <c r="G37" i="13"/>
  <c r="G34" i="13"/>
  <c r="H31" i="13"/>
  <c r="I31" i="13" s="1"/>
  <c r="G31" i="13"/>
  <c r="G30" i="13"/>
  <c r="H30" i="13" s="1"/>
  <c r="I30" i="13" s="1"/>
  <c r="G29" i="13"/>
  <c r="H29" i="13" s="1"/>
  <c r="I29" i="13" s="1"/>
  <c r="I28" i="13"/>
  <c r="H28" i="13"/>
  <c r="G28" i="13"/>
  <c r="H27" i="13"/>
  <c r="I27" i="13" s="1"/>
  <c r="G27" i="13"/>
  <c r="G23" i="13"/>
  <c r="I21" i="13"/>
  <c r="I20" i="13"/>
  <c r="H18" i="13"/>
  <c r="I18" i="13" s="1"/>
  <c r="G18" i="13"/>
  <c r="G17" i="13"/>
  <c r="H17" i="13" s="1"/>
  <c r="I17" i="13" s="1"/>
  <c r="I16" i="13"/>
  <c r="H16" i="13"/>
  <c r="G16" i="13"/>
  <c r="I15" i="13"/>
  <c r="H15" i="13"/>
  <c r="G15" i="13"/>
  <c r="H14" i="13"/>
  <c r="I14" i="13" s="1"/>
  <c r="G14" i="13"/>
  <c r="G12" i="13"/>
  <c r="H12" i="13" s="1"/>
  <c r="I10" i="13"/>
  <c r="I9" i="13"/>
  <c r="E58" i="13" l="1"/>
  <c r="D58" i="13"/>
  <c r="G47" i="13"/>
  <c r="G58" i="13" s="1"/>
  <c r="G35" i="13"/>
  <c r="G46" i="13" s="1"/>
  <c r="G11" i="13"/>
  <c r="G20" i="13"/>
  <c r="G22" i="13"/>
  <c r="G21" i="13"/>
  <c r="F32" i="13"/>
  <c r="E32" i="13"/>
  <c r="D32" i="13"/>
  <c r="D60" i="13" s="1"/>
  <c r="G13" i="13"/>
  <c r="F19" i="13"/>
  <c r="F59" i="13" s="1"/>
  <c r="D19" i="13"/>
  <c r="D59" i="13" s="1"/>
  <c r="H19" i="13"/>
  <c r="H59" i="13" s="1"/>
  <c r="I12" i="13"/>
  <c r="I19" i="13" s="1"/>
  <c r="I59" i="13" s="1"/>
  <c r="H48" i="13"/>
  <c r="F60" i="13"/>
  <c r="H32" i="13"/>
  <c r="I26" i="13"/>
  <c r="I32" i="13" s="1"/>
  <c r="G9" i="13"/>
  <c r="E60" i="13" l="1"/>
  <c r="G32" i="13"/>
  <c r="G60" i="13" s="1"/>
  <c r="K60" i="13" s="1"/>
  <c r="G19" i="13"/>
  <c r="G59" i="13" s="1"/>
  <c r="K59" i="13" s="1"/>
  <c r="I48" i="13"/>
  <c r="I58" i="13" s="1"/>
  <c r="I60" i="13" s="1"/>
  <c r="H58" i="13"/>
  <c r="H60" i="13" s="1"/>
  <c r="K63" i="13" l="1"/>
  <c r="C11" i="12"/>
  <c r="B11" i="12"/>
</calcChain>
</file>

<file path=xl/sharedStrings.xml><?xml version="1.0" encoding="utf-8"?>
<sst xmlns="http://schemas.openxmlformats.org/spreadsheetml/2006/main" count="1379" uniqueCount="489">
  <si>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</si>
  <si>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</si>
  <si>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</si>
  <si>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</si>
  <si>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</si>
  <si>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</si>
  <si>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</si>
  <si>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</si>
  <si>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</si>
  <si>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</si>
  <si>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</si>
  <si>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</si>
  <si>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</si>
  <si>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</si>
  <si>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</si>
  <si>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</si>
  <si>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</si>
  <si>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</si>
  <si>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</si>
  <si>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</si>
  <si>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</si>
  <si>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</si>
  <si>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</si>
  <si>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</si>
  <si>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</si>
  <si>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</si>
  <si>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</si>
  <si>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</si>
  <si>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</si>
  <si>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</si>
  <si>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</si>
  <si>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</si>
  <si>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</si>
  <si>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</si>
  <si>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</si>
  <si>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</si>
  <si>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</si>
  <si>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</si>
  <si>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</si>
  <si>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</si>
  <si>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</si>
  <si>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</si>
  <si>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</si>
  <si>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</si>
  <si>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</si>
  <si>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</si>
  <si>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</si>
  <si>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</si>
  <si>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</si>
  <si>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</si>
  <si>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</si>
  <si>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</si>
  <si>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</si>
  <si>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</si>
  <si>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</si>
  <si>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</si>
  <si>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</si>
  <si>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</si>
  <si>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</si>
  <si>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</si>
  <si>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</si>
  <si>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</si>
  <si>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</si>
  <si>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</si>
  <si>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</si>
  <si>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</si>
  <si>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</si>
  <si>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</si>
  <si>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</si>
  <si>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</si>
  <si>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</si>
  <si>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</si>
  <si>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</si>
  <si>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</si>
  <si>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</si>
  <si>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</si>
  <si>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</si>
  <si>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</si>
  <si>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</si>
  <si>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</si>
  <si>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</si>
  <si>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</si>
  <si>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</si>
  <si>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</si>
  <si>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75</t>
  </si>
  <si>
    <t>Betegséggel kapcsolatos (nem társadalombiztosítási) ellátások (=76+…+82) (K44)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</si>
  <si>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</si>
  <si>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</si>
  <si>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</si>
  <si>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</si>
  <si>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</si>
  <si>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</si>
  <si>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</si>
  <si>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</si>
  <si>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</si>
  <si>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</si>
  <si>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</si>
  <si>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</si>
  <si>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</si>
  <si>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</si>
  <si>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</si>
  <si>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</si>
  <si>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</si>
  <si>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</si>
  <si>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</si>
  <si>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</si>
  <si>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</si>
  <si>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</si>
  <si>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178</t>
  </si>
  <si>
    <t>Működési célú támogatások az Európai Uniónak (K511)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</si>
  <si>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</si>
  <si>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</si>
  <si>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</si>
  <si>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</si>
  <si>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</si>
  <si>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</si>
  <si>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</si>
  <si>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</si>
  <si>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</si>
  <si>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</si>
  <si>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</si>
  <si>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</si>
  <si>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</si>
  <si>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</si>
  <si>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</si>
  <si>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</si>
  <si>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</si>
  <si>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</si>
  <si>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</si>
  <si>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</si>
  <si>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</si>
  <si>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</si>
  <si>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</si>
  <si>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</si>
  <si>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</si>
  <si>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</si>
  <si>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242</t>
  </si>
  <si>
    <t>Felhalmozási célú visszatérítendő támogatások, kölcsönök nyújtása államháztartáson kívülre (=243+…+253) (K86)</t>
  </si>
  <si>
    <t>246</t>
  </si>
  <si>
    <t>ebből: háztartások (K86)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</si>
  <si>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</si>
  <si>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</si>
  <si>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</si>
  <si>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</si>
  <si>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</si>
  <si>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</si>
  <si>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</si>
  <si>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</si>
  <si>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Követelés - Költségvetési évben esedékes</t>
  </si>
  <si>
    <t>Követelés - Költségvetési évet követően esedékes</t>
  </si>
  <si>
    <t>Helyi önkormányzatok működésének általános támogatása (B111)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</si>
  <si>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</si>
  <si>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</si>
  <si>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</si>
  <si>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</si>
  <si>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</si>
  <si>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</si>
  <si>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</si>
  <si>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</si>
  <si>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</si>
  <si>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</si>
  <si>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társadalombiztosítás pénzügyi alapjai (B16)</t>
  </si>
  <si>
    <t>ebből: elkülönített állami pénzalapok (B16)</t>
  </si>
  <si>
    <t>ebből: társulások és költségvetési szerveik (B16)</t>
  </si>
  <si>
    <t>ebből: nemzetiségi önkormányzatok és költségvetési szerveik (B16)</t>
  </si>
  <si>
    <t>43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</si>
  <si>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</si>
  <si>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</si>
  <si>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</si>
  <si>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</si>
  <si>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</si>
  <si>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</si>
  <si>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</si>
  <si>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</si>
  <si>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</si>
  <si>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</si>
  <si>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83</t>
  </si>
  <si>
    <t>ebből: termőföld bérbeadásából származó jövedelem utáni személyi jövedelemadó (B311)</t>
  </si>
  <si>
    <t>93</t>
  </si>
  <si>
    <t>Jövedelemadók (=80+84) (B31)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</si>
  <si>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</si>
  <si>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</si>
  <si>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</si>
  <si>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</si>
  <si>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</si>
  <si>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</si>
  <si>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</si>
  <si>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</si>
  <si>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</si>
  <si>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</si>
  <si>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184</t>
  </si>
  <si>
    <t>ebből: egyéb települési adók (B36)</t>
  </si>
  <si>
    <t>185</t>
  </si>
  <si>
    <t>Közhatalmi bevételek (=93+94+104+109+168+169) (B3)</t>
  </si>
  <si>
    <t>187</t>
  </si>
  <si>
    <t>Szolgáltatások ellenértéke (&gt;=188+189) (B402)</t>
  </si>
  <si>
    <t>188</t>
  </si>
  <si>
    <t>ebből:tárgyi eszközök bérbeadásából származó bevétel (B402)</t>
  </si>
  <si>
    <t>Közvetített szolgáltatások ellenértéke  (&gt;=191) (B403)</t>
  </si>
  <si>
    <t>ebből: államháztartáson belül (B403)</t>
  </si>
  <si>
    <t>192</t>
  </si>
  <si>
    <t>Tulajdonosi bevételek (&gt;=193+…+198)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</si>
  <si>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</si>
  <si>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</si>
  <si>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</si>
  <si>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</si>
  <si>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</si>
  <si>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</si>
  <si>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</si>
  <si>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</si>
  <si>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</si>
  <si>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</si>
  <si>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</si>
  <si>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</si>
  <si>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</si>
  <si>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</si>
  <si>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</si>
  <si>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</si>
  <si>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</si>
  <si>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</si>
  <si>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</si>
  <si>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</si>
  <si>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264</t>
  </si>
  <si>
    <t>ebből: háztartások (B74)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</si>
  <si>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</si>
  <si>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</si>
  <si>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</si>
  <si>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</si>
  <si>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</si>
  <si>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</si>
  <si>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</si>
  <si>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</si>
  <si>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04 - B8. Finanszírozási bevételek</t>
  </si>
  <si>
    <t>Követelés  - Költségvetési évben esedékes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</si>
  <si>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</si>
  <si>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</si>
  <si>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</si>
  <si>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</si>
  <si>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</si>
  <si>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</si>
  <si>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</si>
  <si>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</si>
  <si>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</si>
  <si>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 xml:space="preserve"> Finanszírozási kiadások</t>
  </si>
  <si>
    <t xml:space="preserve"> Költségvetési bevételek</t>
  </si>
  <si>
    <t>Céljuttatás, projektprémium (K1103)</t>
  </si>
  <si>
    <t>47</t>
  </si>
  <si>
    <t>Kiküldetések kiadásai (K341)</t>
  </si>
  <si>
    <t>49</t>
  </si>
  <si>
    <t>Kiküldetések, reklám- és propagandakiadások (=47+48) (K34)</t>
  </si>
  <si>
    <t>ebből: egyéb fejezeti kezelésű előirányzatok (B16)</t>
  </si>
  <si>
    <t>Központi, irányító szervi támogatás (B816)</t>
  </si>
  <si>
    <t xml:space="preserve"> Finanszírozási bevételek</t>
  </si>
  <si>
    <t xml:space="preserve"> költségvetési bevételek </t>
  </si>
  <si>
    <t>202</t>
  </si>
  <si>
    <t>Informatikai eszközök felújítása (K72)</t>
  </si>
  <si>
    <t>Finanszírozási bevételek</t>
  </si>
  <si>
    <t>Konszolidált beszámoló</t>
  </si>
  <si>
    <t>Konszolidálás előtti összeg</t>
  </si>
  <si>
    <t>Konszolidálás</t>
  </si>
  <si>
    <t>Konszolidált összeg</t>
  </si>
  <si>
    <t>K12 - Önkormányzati (irányító szervi) konszolidált beszámoló - Konszolidált mérleg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</si>
  <si>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</si>
  <si>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</si>
  <si>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</si>
  <si>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</si>
  <si>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C/II Pénztárak, csekkek, betétkönyvek (=C/II/1+C/II/2+C/II/3)</t>
  </si>
  <si>
    <t>11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</si>
  <si>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</si>
  <si>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</si>
  <si>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</si>
  <si>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</si>
  <si>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</si>
  <si>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</si>
  <si>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</si>
  <si>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</si>
  <si>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</si>
  <si>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</si>
  <si>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24</t>
  </si>
  <si>
    <t>G/ SAJÁT TŐKE  (= G/I+…+G/VI)</t>
  </si>
  <si>
    <t>H/II Költségvetési évet követően esedékes kötelezettségek (=H/II/1+…+H/II/9)</t>
  </si>
  <si>
    <t>27</t>
  </si>
  <si>
    <t>H/III Kötelezettség jellegű sajátos elszámolások (=H/III/1+…+H/III/10)</t>
  </si>
  <si>
    <t>H) KÖTELEZETTSÉGEK (=H/I+H/II+H/III)</t>
  </si>
  <si>
    <t>J) PASSZÍV IDŐBELI ELHATÁROLÁSOK (=J/1+J/2+J/3)</t>
  </si>
  <si>
    <t>31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</si>
  <si>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</si>
  <si>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</si>
  <si>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</si>
  <si>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</si>
  <si>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</si>
  <si>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08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</si>
  <si>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</si>
  <si>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</si>
  <si>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</si>
  <si>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</si>
  <si>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</si>
  <si>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</si>
  <si>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</si>
  <si>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</si>
  <si>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</si>
  <si>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</si>
  <si>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</si>
  <si>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</si>
  <si>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</si>
  <si>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</si>
  <si>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</si>
  <si>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</si>
  <si>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</si>
  <si>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</si>
  <si>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</si>
  <si>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</si>
  <si>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</si>
  <si>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</si>
  <si>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 xml:space="preserve"> Önkormányzati (irányító szervi) konszolidált beszámoló - K1-K8. Költségvetési kiadások</t>
  </si>
  <si>
    <t xml:space="preserve"> Önkormányzati (irányító szervi) konszolidált beszámoló - B1-B7. költségvetési bevételek</t>
  </si>
  <si>
    <t xml:space="preserve"> Önkormányzati (irányító szervi) konszolidált beszámoló - K9. Finanszírozási kiadások</t>
  </si>
  <si>
    <t xml:space="preserve"> Önkormányzati (irányító szervi) konszolidált beszámoló -  B8. Finanszírozási bevételek</t>
  </si>
  <si>
    <t xml:space="preserve"> Önkormányzati (irányító szervi) konszolidált beszámoló - Konszolidált eredménykimutatás</t>
  </si>
  <si>
    <t>Az önkormányzat közvetett támogatásai</t>
  </si>
  <si>
    <t>a.) Ellátottak térítési díjának, illetve kártérítésének méltányossági alapon történő elengedésének összege</t>
  </si>
  <si>
    <t>eFt</t>
  </si>
  <si>
    <t>Intézmény</t>
  </si>
  <si>
    <t>Kedvezményben részesülők száma</t>
  </si>
  <si>
    <t>Kedvezmény összege</t>
  </si>
  <si>
    <t>Óvoda</t>
  </si>
  <si>
    <t>Iskola</t>
  </si>
  <si>
    <t>Összesen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</si>
  <si>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</si>
  <si>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</si>
  <si>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d.) Helyiségek, eszközök hasznosításából származó bevételből nyújtott kedvezmény, mentesség összege:</t>
  </si>
  <si>
    <t xml:space="preserve">e.) Egyéb nyújtott kedvezmény, vagy kölcsön elengedésének összege (Ámr. 36.§ (2) bek.): </t>
  </si>
  <si>
    <t>A működési és felhalmozási célú bevételek és kiadások</t>
  </si>
  <si>
    <t>Sor-szám</t>
  </si>
  <si>
    <t>Önkor-mányzat</t>
  </si>
  <si>
    <t>Művelődési Ház</t>
  </si>
  <si>
    <t>Közös Hivatal</t>
  </si>
  <si>
    <t>2016 év összes törzsszám</t>
  </si>
  <si>
    <t>2017 év                     összes törzsszám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</si>
  <si>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</si>
  <si>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</si>
  <si>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</si>
  <si>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</si>
  <si>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Működési célú átvett pénzeszköz áh.-n kívülről</t>
  </si>
  <si>
    <t>Továbbadási (lebonyolítási) célú működési bevétel</t>
  </si>
  <si>
    <t>06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</si>
  <si>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</si>
  <si>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</si>
  <si>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</si>
  <si>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</si>
  <si>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összesen (01+....+10)</t>
  </si>
  <si>
    <t>Személyi juttatások</t>
  </si>
  <si>
    <t>Munkaadókat terhelő járulékok és szoc.hj. Adó</t>
  </si>
  <si>
    <t>Ellátottak pénzbeli juttatása</t>
  </si>
  <si>
    <t>Egyéb műk. Célú kiadások</t>
  </si>
  <si>
    <t xml:space="preserve">     - ebből Működési tartalékok</t>
  </si>
  <si>
    <t>Finanszírozási kiadások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</si>
  <si>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</si>
  <si>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</si>
  <si>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</si>
  <si>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</si>
  <si>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</si>
  <si>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>Működési célú kiadások összesen (12+....+23)</t>
  </si>
  <si>
    <t>II. Felhalmozási célú bevételek és kiadások</t>
  </si>
  <si>
    <t>Ingatlanok értékesítése</t>
  </si>
  <si>
    <t>Támogatásértékű felhalmozási bevétel</t>
  </si>
  <si>
    <t>Továbbadási (lebonyolítási) célú felhalmozási bevétel</t>
  </si>
  <si>
    <t>Beruházási és felújítási áfa visszatérülése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</si>
  <si>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</si>
  <si>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</si>
  <si>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</si>
  <si>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</si>
  <si>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</si>
  <si>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(25+....+36)</t>
  </si>
  <si>
    <t>Felújítási kiadások (áfa-val együtt)</t>
  </si>
  <si>
    <t>39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</si>
  <si>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</si>
  <si>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</si>
  <si>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</si>
  <si>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</si>
  <si>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</si>
  <si>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</si>
  <si>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</si>
  <si>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</si>
  <si>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Felhalmozási tartalékok</t>
  </si>
  <si>
    <t>48</t>
  </si>
  <si>
    <t>Felhalmozási célú kiadások összesen (38+....+48)</t>
  </si>
  <si>
    <t>Önkormányzat bevételei összesen (11+37)</t>
  </si>
  <si>
    <t>Önkormányzat kiadásai összesen (24+49)</t>
  </si>
  <si>
    <t>Önkormányzat</t>
  </si>
  <si>
    <t>sorsz.</t>
  </si>
  <si>
    <t xml:space="preserve">Cofog </t>
  </si>
  <si>
    <t xml:space="preserve">megnevezés </t>
  </si>
  <si>
    <t>összeg</t>
  </si>
  <si>
    <t>Ivóvíz és csatornahálózat felújítás</t>
  </si>
  <si>
    <t>számítógép felújítás</t>
  </si>
  <si>
    <t>József telepi partfal</t>
  </si>
  <si>
    <t>összesen</t>
  </si>
  <si>
    <t xml:space="preserve">Dologi kiadások </t>
  </si>
  <si>
    <t>Felhalmozási bevételek</t>
  </si>
  <si>
    <t>Felhalmozási célú átvett pénzeszközök</t>
  </si>
  <si>
    <t>Felhalmozási célú önkormányzati támogatások</t>
  </si>
  <si>
    <t>Beruházási kiadások (áfa-val együtt)</t>
  </si>
  <si>
    <t>Teljesítés %</t>
  </si>
  <si>
    <t>Felhalmozási kiadások bemutatása 2016.évben</t>
  </si>
  <si>
    <t>pince vétel (árverés)</t>
  </si>
  <si>
    <t>földterület vásárlás</t>
  </si>
  <si>
    <t>focilabda</t>
  </si>
  <si>
    <t>kávéfőző</t>
  </si>
  <si>
    <t>szerszámok (útőr pr.)</t>
  </si>
  <si>
    <t>fűkasza (útőr pr.)</t>
  </si>
  <si>
    <t>hómaró (útőr pr.)</t>
  </si>
  <si>
    <t>kerékpár (útőr pr.)</t>
  </si>
  <si>
    <t>Eszközök (útőr pr)</t>
  </si>
  <si>
    <t>kisértékű te. Védőnő</t>
  </si>
  <si>
    <t>vízkezelő (uszoda)</t>
  </si>
  <si>
    <t>egyéb eszközök</t>
  </si>
  <si>
    <t>ASP pályázat számítógépek</t>
  </si>
  <si>
    <t>Emlék tábla</t>
  </si>
  <si>
    <t>beruházás (nettó)</t>
  </si>
  <si>
    <t>Uszoda energetika</t>
  </si>
  <si>
    <t>Óvoda ablakok</t>
  </si>
  <si>
    <t>Bányász művelődési ház tető</t>
  </si>
  <si>
    <t>Arany János utca</t>
  </si>
  <si>
    <t>Orvosi rendelő ENERGETIKA</t>
  </si>
  <si>
    <t>Szent János park</t>
  </si>
  <si>
    <t>egyéb felújítás</t>
  </si>
  <si>
    <t>felújítás (nettó)</t>
  </si>
  <si>
    <t xml:space="preserve"> Vagyonkimutatás bontása törzsvagyon és egyéb vagyon szerint 2016.12.31 -én MINDÖSSZESEN    Ft-ban</t>
  </si>
  <si>
    <t>Eszköz-                              csoport         Bruttó                                                 értéke</t>
  </si>
  <si>
    <t>Bruttó értékből                 0-ra leírt                    használatba lévő eszközök értéke</t>
  </si>
  <si>
    <t>Bruttó értékből                 0-ra leírt                    kisértékű eszközök értéke</t>
  </si>
  <si>
    <t>Eszköz-                                  csoport         Nettó                                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</si>
  <si>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</si>
  <si>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</si>
  <si>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</si>
  <si>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</si>
  <si>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</si>
  <si>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</si>
  <si>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</si>
  <si>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</si>
  <si>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</si>
  <si>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</si>
  <si>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</si>
  <si>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</si>
  <si>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</si>
  <si>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</si>
  <si>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</si>
  <si>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</si>
  <si>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</si>
  <si>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>Konyha üzemektetésre átadott gépek</t>
  </si>
  <si>
    <t>Csatorna üzemeltetésre átadott gépek</t>
  </si>
  <si>
    <t>Csatorna üzemeltetésre átadott építmények</t>
  </si>
  <si>
    <t>Víztorony üzemeltetésre átadott építmények</t>
  </si>
  <si>
    <t>Üzemelésre átadott eszközök összesen</t>
  </si>
  <si>
    <t xml:space="preserve"> T Á R G Y I   E S Z K Ö Z Ö K                                                                  Ö S S Z E S E N </t>
  </si>
  <si>
    <t xml:space="preserve"> Vagyonkimutatás bontása törzsvagyon és egyéb vagyon szerint 2016.12.31 -én ÖNKORMÁNYZAT</t>
  </si>
  <si>
    <t xml:space="preserve"> Vagyonkimutatás bontása törzsvagyon és egyéb vagyon szerint 2016.12.31 -én Műv Ház</t>
  </si>
  <si>
    <t>Törzsvagyon (bruttó érték)</t>
  </si>
  <si>
    <t xml:space="preserve">Egyéb           vagyon (bruttó érték) </t>
  </si>
  <si>
    <t xml:space="preserve"> Vagyonkimutatás bontása törzsvagyon és egyéb vagyon szerint 2016.12.31 -én  Óvoda (Társulás óta)</t>
  </si>
  <si>
    <t xml:space="preserve"> Vagyonkimutatás bontása törzsvagyon és egyéb vagyon szerint 2016.12.31 -én Társulás pályázat</t>
  </si>
  <si>
    <t xml:space="preserve"> Vagyonkimutatás bontása törzsvagyon és egyéb vagyon szerint 2016.12.31 -én CSANA pályázat</t>
  </si>
  <si>
    <t xml:space="preserve"> Vagyonkimutatás bontása törzsvagyon és egyéb vagyon szerint 2016.12.31 -én Csolnoki Közös Önkormányzati Hivatal</t>
  </si>
  <si>
    <t xml:space="preserve"> Vagyonkimutatás bontása törzsvagyon és egyéb vagyon szerint 2016.12.31 -én Német Nemzetiségi Általános Iskola</t>
  </si>
  <si>
    <t>Önkormányzat és szakfeladatai és Műv Ház Összesen</t>
  </si>
  <si>
    <t>Önkormányzat és szakfeladatai</t>
  </si>
  <si>
    <t>Műv Ház</t>
  </si>
  <si>
    <t>Vagyoni értékű jogok és szellemi termékek</t>
  </si>
  <si>
    <t>Bruttó</t>
  </si>
  <si>
    <t>Bruttóból 0-ig leírt</t>
  </si>
  <si>
    <t>Bruttóból Kisértékű</t>
  </si>
  <si>
    <t xml:space="preserve">Écs </t>
  </si>
  <si>
    <t>Nettó</t>
  </si>
  <si>
    <t>Ingatlanok üzemeltetésre átadottal</t>
  </si>
  <si>
    <t>Ügyvitel és számtechnika</t>
  </si>
  <si>
    <t>Egyéb gépek üzemeltetésre átadottal</t>
  </si>
  <si>
    <t>Ellenőrző szám</t>
  </si>
  <si>
    <t>4. melléklet a        /2017(....) önkormányzati rendelethez</t>
  </si>
  <si>
    <t>1. melléklet a        /2017(....) önkormányzati rendelethez</t>
  </si>
  <si>
    <t>2. melléklet a        /2017(....) önkormányzati rendelethez</t>
  </si>
  <si>
    <t>3. melléklet a        /2017(....) önkormányzati rendelethez</t>
  </si>
  <si>
    <t>5. melléklet a        /2017(....) önkormányzati rendelethez</t>
  </si>
  <si>
    <t>6. melléklet a        /2017(....) önkormányzati rendelethez</t>
  </si>
  <si>
    <t>7. melléklet a        /2017(....) önkormányzati rendelethez</t>
  </si>
  <si>
    <t>8. melléklet a        /2017(....) önkormányzati rendelethez</t>
  </si>
  <si>
    <t>9. melléklet a        /2017(....) önkormányzati rendelethez</t>
  </si>
  <si>
    <t>függöny</t>
  </si>
  <si>
    <t>szám.tech eszköz 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</si>
</sst>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164" formatCode="0__"/>
  </numFmts>
  <fonts count="34" x14ac:knownFonts="1"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22"/>
      <name val="Times New Roman"/>
      <family val="1"/>
      <charset val="238"/>
    </font>
    <font>
      <sz val="9"/>
      <name val="Arial CE"/>
      <charset val="238"/>
    </font>
    <font>
      <sz val="12"/>
      <name val="Arial CE"/>
      <charset val="238"/>
    </font>
    <font>
      <sz val="24"/>
      <name val="Arial CE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2"/>
      <name val="Arial CE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25" fillId="0" borderId="0"/>
  </cellStyleXfs>
  <cellXfs count="233">
    <xf numFmtId="0" fontId="0" fillId="0" borderId="0" xfId="0"/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top" wrapText="1"/>
    </xf>
    <xf numFmtId="0" fontId="12" fillId="0" borderId="0" xfId="0" applyFont="1"/>
    <xf numFmtId="0" fontId="2" fillId="0" borderId="0" xfId="1" applyFont="1"/>
    <xf numFmtId="0" fontId="2" fillId="0" borderId="0" xfId="1"/>
    <xf numFmtId="0" fontId="3" fillId="0" borderId="1" xfId="1" applyFont="1" applyBorder="1"/>
    <xf numFmtId="0" fontId="2" fillId="0" borderId="1" xfId="1" applyBorder="1"/>
    <xf numFmtId="0" fontId="17" fillId="0" borderId="0" xfId="2" applyFont="1" applyAlignment="1">
      <alignment horizontal="left"/>
    </xf>
    <xf numFmtId="49" fontId="17" fillId="0" borderId="0" xfId="2" applyNumberFormat="1" applyFont="1" applyAlignment="1">
      <alignment horizontal="center"/>
    </xf>
    <xf numFmtId="0" fontId="17" fillId="0" borderId="0" xfId="2" applyFont="1"/>
    <xf numFmtId="0" fontId="18" fillId="0" borderId="0" xfId="2" applyFont="1"/>
    <xf numFmtId="0" fontId="11" fillId="0" borderId="0" xfId="2"/>
    <xf numFmtId="0" fontId="11" fillId="0" borderId="0" xfId="2" applyAlignment="1"/>
    <xf numFmtId="0" fontId="17" fillId="2" borderId="0" xfId="2" applyFont="1" applyFill="1"/>
    <xf numFmtId="0" fontId="20" fillId="2" borderId="0" xfId="2" applyFont="1" applyFill="1" applyBorder="1" applyAlignment="1">
      <alignment horizontal="center"/>
    </xf>
    <xf numFmtId="0" fontId="21" fillId="2" borderId="0" xfId="2" applyFont="1" applyFill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7" fillId="0" borderId="2" xfId="2" applyFont="1" applyBorder="1" applyAlignment="1">
      <alignment horizontal="left" vertical="center" wrapText="1"/>
    </xf>
    <xf numFmtId="49" fontId="24" fillId="0" borderId="3" xfId="2" applyNumberFormat="1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2" borderId="0" xfId="2" applyFont="1" applyFill="1" applyAlignment="1">
      <alignment wrapText="1"/>
    </xf>
    <xf numFmtId="0" fontId="17" fillId="0" borderId="0" xfId="2" applyFont="1" applyAlignment="1">
      <alignment wrapText="1"/>
    </xf>
    <xf numFmtId="0" fontId="11" fillId="0" borderId="0" xfId="2" applyAlignment="1">
      <alignment wrapText="1"/>
    </xf>
    <xf numFmtId="0" fontId="17" fillId="0" borderId="5" xfId="2" applyFont="1" applyBorder="1" applyAlignment="1">
      <alignment horizontal="center" vertical="center" wrapText="1"/>
    </xf>
    <xf numFmtId="49" fontId="17" fillId="0" borderId="6" xfId="2" applyNumberFormat="1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wrapText="1"/>
    </xf>
    <xf numFmtId="0" fontId="19" fillId="0" borderId="8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3" fontId="17" fillId="2" borderId="13" xfId="2" applyNumberFormat="1" applyFont="1" applyFill="1" applyBorder="1" applyAlignment="1">
      <alignment horizontal="left" vertical="center" wrapText="1"/>
    </xf>
    <xf numFmtId="3" fontId="17" fillId="2" borderId="14" xfId="2" quotePrefix="1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right" vertical="center"/>
    </xf>
    <xf numFmtId="3" fontId="18" fillId="2" borderId="15" xfId="2" applyNumberFormat="1" applyFont="1" applyFill="1" applyBorder="1" applyAlignment="1">
      <alignment horizontal="right" vertical="center"/>
    </xf>
    <xf numFmtId="3" fontId="17" fillId="2" borderId="16" xfId="2" applyNumberFormat="1" applyFont="1" applyFill="1" applyBorder="1" applyAlignment="1">
      <alignment horizontal="right" vertical="center"/>
    </xf>
    <xf numFmtId="3" fontId="17" fillId="2" borderId="1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Alignment="1">
      <alignment vertical="center"/>
    </xf>
    <xf numFmtId="3" fontId="17" fillId="2" borderId="13" xfId="2" applyNumberFormat="1" applyFont="1" applyFill="1" applyBorder="1" applyAlignment="1">
      <alignment horizontal="right" vertical="center"/>
    </xf>
    <xf numFmtId="3" fontId="17" fillId="2" borderId="14" xfId="2" applyNumberFormat="1" applyFont="1" applyFill="1" applyBorder="1" applyAlignment="1">
      <alignment horizontal="center" vertical="center"/>
    </xf>
    <xf numFmtId="3" fontId="28" fillId="3" borderId="13" xfId="2" applyNumberFormat="1" applyFont="1" applyFill="1" applyBorder="1" applyAlignment="1">
      <alignment horizontal="left" vertical="center" wrapText="1"/>
    </xf>
    <xf numFmtId="3" fontId="28" fillId="3" borderId="14" xfId="2" quotePrefix="1" applyNumberFormat="1" applyFont="1" applyFill="1" applyBorder="1" applyAlignment="1">
      <alignment horizontal="center" vertical="center"/>
    </xf>
    <xf numFmtId="3" fontId="28" fillId="3" borderId="13" xfId="2" applyNumberFormat="1" applyFont="1" applyFill="1" applyBorder="1" applyAlignment="1">
      <alignment horizontal="right" vertical="center"/>
    </xf>
    <xf numFmtId="3" fontId="18" fillId="3" borderId="15" xfId="2" applyNumberFormat="1" applyFont="1" applyFill="1" applyBorder="1" applyAlignment="1">
      <alignment horizontal="right" vertical="center"/>
    </xf>
    <xf numFmtId="3" fontId="28" fillId="3" borderId="16" xfId="2" applyNumberFormat="1" applyFont="1" applyFill="1" applyBorder="1" applyAlignment="1">
      <alignment horizontal="right" vertical="center"/>
    </xf>
    <xf numFmtId="3" fontId="28" fillId="3" borderId="15" xfId="2" applyNumberFormat="1" applyFont="1" applyFill="1" applyBorder="1" applyAlignment="1">
      <alignment horizontal="right" vertical="center"/>
    </xf>
    <xf numFmtId="3" fontId="17" fillId="0" borderId="14" xfId="2" quotePrefix="1" applyNumberFormat="1" applyFont="1" applyBorder="1" applyAlignment="1">
      <alignment horizontal="center" vertical="center"/>
    </xf>
    <xf numFmtId="3" fontId="17" fillId="0" borderId="14" xfId="2" quotePrefix="1" applyNumberFormat="1" applyFont="1" applyBorder="1" applyAlignment="1">
      <alignment horizontal="center" vertical="center" wrapText="1"/>
    </xf>
    <xf numFmtId="3" fontId="17" fillId="0" borderId="14" xfId="2" applyNumberFormat="1" applyFont="1" applyBorder="1" applyAlignment="1">
      <alignment horizontal="center" vertical="center" wrapText="1"/>
    </xf>
    <xf numFmtId="3" fontId="28" fillId="4" borderId="13" xfId="2" applyNumberFormat="1" applyFont="1" applyFill="1" applyBorder="1" applyAlignment="1">
      <alignment horizontal="left" vertical="center" wrapText="1"/>
    </xf>
    <xf numFmtId="3" fontId="28" fillId="4" borderId="14" xfId="2" applyNumberFormat="1" applyFont="1" applyFill="1" applyBorder="1" applyAlignment="1">
      <alignment horizontal="center" vertical="center"/>
    </xf>
    <xf numFmtId="3" fontId="28" fillId="4" borderId="13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horizontal="right" vertical="center"/>
    </xf>
    <xf numFmtId="3" fontId="18" fillId="4" borderId="15" xfId="2" applyNumberFormat="1" applyFont="1" applyFill="1" applyBorder="1" applyAlignment="1">
      <alignment horizontal="right" vertical="center"/>
    </xf>
    <xf numFmtId="3" fontId="17" fillId="0" borderId="0" xfId="2" applyNumberFormat="1" applyFont="1" applyAlignment="1">
      <alignment vertical="center"/>
    </xf>
    <xf numFmtId="3" fontId="19" fillId="0" borderId="17" xfId="2" applyNumberFormat="1" applyFont="1" applyBorder="1" applyAlignment="1">
      <alignment horizontal="center" vertical="center"/>
    </xf>
    <xf numFmtId="3" fontId="19" fillId="0" borderId="18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" xfId="2" applyNumberFormat="1" applyFont="1" applyBorder="1" applyAlignment="1">
      <alignment horizontal="center" vertical="center"/>
    </xf>
    <xf numFmtId="3" fontId="18" fillId="0" borderId="15" xfId="2" applyNumberFormat="1" applyFont="1" applyBorder="1" applyAlignment="1">
      <alignment horizontal="center" vertical="center"/>
    </xf>
    <xf numFmtId="3" fontId="19" fillId="0" borderId="19" xfId="2" applyNumberFormat="1" applyFont="1" applyBorder="1" applyAlignment="1">
      <alignment horizontal="center" vertical="center"/>
    </xf>
    <xf numFmtId="3" fontId="28" fillId="3" borderId="14" xfId="2" applyNumberFormat="1" applyFont="1" applyFill="1" applyBorder="1" applyAlignment="1">
      <alignment horizontal="center" vertical="center"/>
    </xf>
    <xf numFmtId="3" fontId="18" fillId="3" borderId="1" xfId="2" applyNumberFormat="1" applyFont="1" applyFill="1" applyBorder="1" applyAlignment="1">
      <alignment horizontal="right" vertical="center"/>
    </xf>
    <xf numFmtId="3" fontId="17" fillId="0" borderId="14" xfId="2" applyNumberFormat="1" applyFont="1" applyBorder="1" applyAlignment="1">
      <alignment horizontal="center" vertical="center"/>
    </xf>
    <xf numFmtId="3" fontId="28" fillId="4" borderId="20" xfId="2" applyNumberFormat="1" applyFont="1" applyFill="1" applyBorder="1" applyAlignment="1">
      <alignment horizontal="left" vertical="center" wrapText="1"/>
    </xf>
    <xf numFmtId="3" fontId="28" fillId="4" borderId="21" xfId="2" applyNumberFormat="1" applyFont="1" applyFill="1" applyBorder="1" applyAlignment="1">
      <alignment horizontal="center" vertical="center"/>
    </xf>
    <xf numFmtId="3" fontId="29" fillId="4" borderId="13" xfId="2" applyNumberFormat="1" applyFont="1" applyFill="1" applyBorder="1" applyAlignment="1">
      <alignment horizontal="right" vertical="center"/>
    </xf>
    <xf numFmtId="3" fontId="28" fillId="3" borderId="22" xfId="2" applyNumberFormat="1" applyFont="1" applyFill="1" applyBorder="1" applyAlignment="1">
      <alignment horizontal="left" vertical="center" wrapText="1"/>
    </xf>
    <xf numFmtId="3" fontId="28" fillId="3" borderId="23" xfId="2" applyNumberFormat="1" applyFont="1" applyFill="1" applyBorder="1" applyAlignment="1">
      <alignment horizontal="center" vertical="center"/>
    </xf>
    <xf numFmtId="3" fontId="29" fillId="3" borderId="13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center" vertical="center"/>
    </xf>
    <xf numFmtId="3" fontId="11" fillId="0" borderId="0" xfId="2" applyNumberFormat="1" applyAlignment="1">
      <alignment vertical="center"/>
    </xf>
    <xf numFmtId="3" fontId="28" fillId="5" borderId="24" xfId="2" applyNumberFormat="1" applyFont="1" applyFill="1" applyBorder="1" applyAlignment="1">
      <alignment horizontal="left" vertical="center" wrapText="1"/>
    </xf>
    <xf numFmtId="3" fontId="28" fillId="5" borderId="25" xfId="2" applyNumberFormat="1" applyFont="1" applyFill="1" applyBorder="1" applyAlignment="1">
      <alignment horizontal="center" vertical="center"/>
    </xf>
    <xf numFmtId="3" fontId="29" fillId="5" borderId="5" xfId="2" applyNumberFormat="1" applyFont="1" applyFill="1" applyBorder="1" applyAlignment="1">
      <alignment horizontal="right" vertical="center"/>
    </xf>
    <xf numFmtId="3" fontId="18" fillId="5" borderId="7" xfId="2" applyNumberFormat="1" applyFont="1" applyFill="1" applyBorder="1" applyAlignment="1">
      <alignment horizontal="right" vertical="center"/>
    </xf>
    <xf numFmtId="49" fontId="17" fillId="0" borderId="0" xfId="2" quotePrefix="1" applyNumberFormat="1" applyFont="1" applyBorder="1" applyAlignment="1">
      <alignment horizontal="center" vertical="center"/>
    </xf>
    <xf numFmtId="0" fontId="17" fillId="0" borderId="0" xfId="2" applyFont="1" applyBorder="1"/>
    <xf numFmtId="0" fontId="18" fillId="0" borderId="0" xfId="2" applyFont="1" applyBorder="1"/>
    <xf numFmtId="164" fontId="17" fillId="0" borderId="0" xfId="2" applyNumberFormat="1" applyFont="1" applyAlignment="1">
      <alignment horizontal="left"/>
    </xf>
    <xf numFmtId="0" fontId="2" fillId="0" borderId="1" xfId="1" applyFont="1" applyBorder="1" applyAlignment="1"/>
    <xf numFmtId="0" fontId="2" fillId="0" borderId="1" xfId="1" applyBorder="1" applyAlignment="1"/>
    <xf numFmtId="0" fontId="2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/>
    <xf numFmtId="41" fontId="2" fillId="0" borderId="1" xfId="1" applyNumberFormat="1" applyBorder="1"/>
    <xf numFmtId="41" fontId="3" fillId="0" borderId="1" xfId="1" applyNumberFormat="1" applyFont="1" applyBorder="1"/>
    <xf numFmtId="49" fontId="2" fillId="0" borderId="1" xfId="1" applyNumberFormat="1" applyFont="1" applyBorder="1"/>
    <xf numFmtId="3" fontId="17" fillId="0" borderId="0" xfId="2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9" fontId="0" fillId="0" borderId="0" xfId="0" applyNumberFormat="1"/>
    <xf numFmtId="0" fontId="5" fillId="0" borderId="27" xfId="0" applyFont="1" applyFill="1" applyBorder="1" applyAlignment="1">
      <alignment horizontal="center" vertical="top" wrapText="1"/>
    </xf>
    <xf numFmtId="9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justify" wrapText="1"/>
    </xf>
    <xf numFmtId="9" fontId="0" fillId="0" borderId="1" xfId="0" applyNumberFormat="1" applyBorder="1" applyAlignment="1">
      <alignment horizontal="center" vertical="justify"/>
    </xf>
    <xf numFmtId="3" fontId="3" fillId="0" borderId="1" xfId="0" applyNumberFormat="1" applyFont="1" applyBorder="1" applyAlignment="1">
      <alignment horizontal="center" vertical="justify" wrapText="1"/>
    </xf>
    <xf numFmtId="0" fontId="0" fillId="0" borderId="1" xfId="0" applyBorder="1" applyAlignment="1">
      <alignment horizontal="center" vertical="justify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wrapText="1"/>
    </xf>
    <xf numFmtId="0" fontId="32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/>
    </xf>
    <xf numFmtId="3" fontId="2" fillId="0" borderId="13" xfId="1" applyNumberFormat="1" applyBorder="1" applyAlignment="1">
      <alignment horizontal="left" wrapText="1"/>
    </xf>
    <xf numFmtId="3" fontId="2" fillId="0" borderId="1" xfId="1" applyNumberFormat="1" applyBorder="1" applyAlignment="1">
      <alignment wrapText="1"/>
    </xf>
    <xf numFmtId="3" fontId="2" fillId="0" borderId="33" xfId="1" applyNumberFormat="1" applyBorder="1" applyAlignment="1">
      <alignment wrapText="1"/>
    </xf>
    <xf numFmtId="3" fontId="2" fillId="0" borderId="1" xfId="1" applyNumberFormat="1" applyBorder="1"/>
    <xf numFmtId="0" fontId="32" fillId="0" borderId="1" xfId="1" applyFont="1" applyBorder="1" applyAlignment="1">
      <alignment horizontal="center" wrapText="1"/>
    </xf>
    <xf numFmtId="0" fontId="3" fillId="0" borderId="15" xfId="1" applyFont="1" applyBorder="1" applyAlignment="1">
      <alignment horizontal="center"/>
    </xf>
    <xf numFmtId="3" fontId="2" fillId="0" borderId="1" xfId="1" applyNumberFormat="1" applyBorder="1" applyAlignment="1">
      <alignment horizontal="right" wrapText="1"/>
    </xf>
    <xf numFmtId="3" fontId="2" fillId="0" borderId="33" xfId="1" applyNumberFormat="1" applyBorder="1" applyAlignment="1">
      <alignment horizontal="right" wrapText="1"/>
    </xf>
    <xf numFmtId="3" fontId="2" fillId="0" borderId="13" xfId="1" applyNumberFormat="1" applyBorder="1" applyAlignment="1">
      <alignment horizontal="right" wrapText="1"/>
    </xf>
    <xf numFmtId="3" fontId="2" fillId="0" borderId="1" xfId="1" applyNumberFormat="1" applyBorder="1" applyAlignment="1">
      <alignment horizontal="right"/>
    </xf>
    <xf numFmtId="3" fontId="2" fillId="0" borderId="0" xfId="1" applyNumberFormat="1"/>
    <xf numFmtId="3" fontId="3" fillId="4" borderId="22" xfId="1" applyNumberFormat="1" applyFont="1" applyFill="1" applyBorder="1" applyAlignment="1">
      <alignment horizontal="center" wrapText="1"/>
    </xf>
    <xf numFmtId="3" fontId="3" fillId="4" borderId="34" xfId="1" applyNumberFormat="1" applyFont="1" applyFill="1" applyBorder="1" applyAlignment="1">
      <alignment horizontal="right" wrapText="1"/>
    </xf>
    <xf numFmtId="3" fontId="2" fillId="6" borderId="8" xfId="1" applyNumberFormat="1" applyFill="1" applyBorder="1" applyAlignment="1">
      <alignment horizontal="left" wrapText="1"/>
    </xf>
    <xf numFmtId="3" fontId="2" fillId="6" borderId="11" xfId="1" applyNumberFormat="1" applyFill="1" applyBorder="1" applyAlignment="1">
      <alignment horizontal="right" wrapText="1"/>
    </xf>
    <xf numFmtId="3" fontId="2" fillId="6" borderId="1" xfId="1" applyNumberFormat="1" applyFill="1" applyBorder="1" applyAlignment="1">
      <alignment horizontal="right" wrapText="1"/>
    </xf>
    <xf numFmtId="3" fontId="2" fillId="6" borderId="8" xfId="1" applyNumberFormat="1" applyFill="1" applyBorder="1" applyAlignment="1">
      <alignment horizontal="right" wrapText="1"/>
    </xf>
    <xf numFmtId="3" fontId="2" fillId="6" borderId="11" xfId="1" applyNumberFormat="1" applyFill="1" applyBorder="1" applyAlignment="1">
      <alignment horizontal="right"/>
    </xf>
    <xf numFmtId="3" fontId="2" fillId="6" borderId="35" xfId="1" applyNumberFormat="1" applyFill="1" applyBorder="1" applyAlignment="1">
      <alignment horizontal="right" wrapText="1"/>
    </xf>
    <xf numFmtId="3" fontId="2" fillId="6" borderId="13" xfId="1" applyNumberFormat="1" applyFill="1" applyBorder="1" applyAlignment="1">
      <alignment horizontal="left" wrapText="1"/>
    </xf>
    <xf numFmtId="3" fontId="2" fillId="6" borderId="13" xfId="1" applyNumberFormat="1" applyFill="1" applyBorder="1" applyAlignment="1">
      <alignment horizontal="right" wrapText="1"/>
    </xf>
    <xf numFmtId="3" fontId="2" fillId="6" borderId="1" xfId="1" applyNumberFormat="1" applyFill="1" applyBorder="1" applyAlignment="1">
      <alignment horizontal="right"/>
    </xf>
    <xf numFmtId="3" fontId="2" fillId="0" borderId="11" xfId="1" applyNumberFormat="1" applyBorder="1" applyAlignment="1">
      <alignment horizontal="right"/>
    </xf>
    <xf numFmtId="3" fontId="2" fillId="0" borderId="2" xfId="1" applyNumberFormat="1" applyBorder="1" applyAlignment="1">
      <alignment horizontal="left" wrapText="1"/>
    </xf>
    <xf numFmtId="3" fontId="2" fillId="0" borderId="2" xfId="1" applyNumberFormat="1" applyBorder="1" applyAlignment="1">
      <alignment horizontal="right" wrapText="1"/>
    </xf>
    <xf numFmtId="3" fontId="2" fillId="0" borderId="20" xfId="1" applyNumberFormat="1" applyBorder="1" applyAlignment="1">
      <alignment horizontal="left" wrapText="1"/>
    </xf>
    <xf numFmtId="3" fontId="2" fillId="0" borderId="5" xfId="1" applyNumberFormat="1" applyBorder="1" applyAlignment="1">
      <alignment horizontal="left" wrapText="1"/>
    </xf>
    <xf numFmtId="3" fontId="2" fillId="0" borderId="0" xfId="1" applyNumberFormat="1" applyAlignment="1">
      <alignment horizontal="center" wrapText="1"/>
    </xf>
    <xf numFmtId="3" fontId="3" fillId="7" borderId="0" xfId="1" applyNumberFormat="1" applyFont="1" applyFill="1" applyBorder="1" applyAlignment="1">
      <alignment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3" fillId="0" borderId="0" xfId="1" applyFont="1"/>
    <xf numFmtId="14" fontId="31" fillId="0" borderId="1" xfId="1" applyNumberFormat="1" applyFont="1" applyBorder="1" applyAlignment="1">
      <alignment horizontal="center" wrapText="1"/>
    </xf>
    <xf numFmtId="0" fontId="33" fillId="0" borderId="1" xfId="1" applyFont="1" applyBorder="1"/>
    <xf numFmtId="0" fontId="31" fillId="0" borderId="1" xfId="1" applyFont="1" applyBorder="1" applyAlignment="1">
      <alignment horizontal="center" wrapText="1"/>
    </xf>
    <xf numFmtId="0" fontId="31" fillId="0" borderId="1" xfId="1" applyFont="1" applyBorder="1" applyAlignment="1">
      <alignment horizontal="center"/>
    </xf>
    <xf numFmtId="3" fontId="2" fillId="0" borderId="1" xfId="1" applyNumberFormat="1" applyFont="1" applyBorder="1"/>
    <xf numFmtId="0" fontId="3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0" fillId="0" borderId="26" xfId="0" applyBorder="1" applyAlignment="1"/>
    <xf numFmtId="0" fontId="1" fillId="0" borderId="9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/>
    <xf numFmtId="0" fontId="1" fillId="0" borderId="14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6" xfId="0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top" wrapText="1"/>
    </xf>
    <xf numFmtId="0" fontId="0" fillId="0" borderId="28" xfId="0" applyFill="1" applyBorder="1" applyAlignment="1"/>
    <xf numFmtId="0" fontId="3" fillId="0" borderId="0" xfId="1" applyFont="1" applyAlignment="1">
      <alignment horizontal="center" vertical="center"/>
    </xf>
    <xf numFmtId="0" fontId="2" fillId="0" borderId="0" xfId="1" applyAlignment="1"/>
    <xf numFmtId="0" fontId="16" fillId="0" borderId="0" xfId="1" applyFont="1" applyAlignment="1">
      <alignment vertical="center" wrapText="1"/>
    </xf>
    <xf numFmtId="0" fontId="31" fillId="0" borderId="30" xfId="1" applyFont="1" applyBorder="1" applyAlignment="1">
      <alignment horizontal="center" wrapText="1"/>
    </xf>
    <xf numFmtId="0" fontId="2" fillId="0" borderId="30" xfId="1" applyBorder="1" applyAlignment="1"/>
    <xf numFmtId="3" fontId="30" fillId="0" borderId="29" xfId="1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3" fillId="0" borderId="31" xfId="1" applyFont="1" applyBorder="1" applyAlignment="1">
      <alignment horizontal="center" wrapText="1"/>
    </xf>
    <xf numFmtId="0" fontId="3" fillId="0" borderId="32" xfId="1" applyFont="1" applyBorder="1" applyAlignment="1">
      <alignment horizontal="center" wrapText="1"/>
    </xf>
    <xf numFmtId="0" fontId="31" fillId="0" borderId="14" xfId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13" fillId="0" borderId="0" xfId="2" applyFont="1" applyBorder="1" applyAlignment="1">
      <alignment horizontal="center" wrapText="1"/>
    </xf>
    <xf numFmtId="0" fontId="11" fillId="0" borderId="0" xfId="2" applyAlignment="1"/>
    <xf numFmtId="0" fontId="19" fillId="2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11" fillId="0" borderId="0" xfId="2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" fillId="0" borderId="14" xfId="1" applyFont="1" applyBorder="1" applyAlignment="1">
      <alignment vertical="center"/>
    </xf>
    <xf numFmtId="0" fontId="2" fillId="0" borderId="18" xfId="1" applyBorder="1" applyAlignment="1">
      <alignment vertical="center"/>
    </xf>
    <xf numFmtId="0" fontId="2" fillId="0" borderId="16" xfId="1" applyBorder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</cellXfs>
  <cellStyles count="4">
    <cellStyle name="Normál" xfId="0" builtinId="0"/>
    <cellStyle name="Normál 2" xfId="1"/>
    <cellStyle name="Normál_5Ktsgv05" xfId="3"/>
    <cellStyle name="Normál_Munkafüzet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workbookViewId="0">
      <pane ySplit="5" topLeftCell="A6" activePane="bottomLeft" state="frozen"/>
      <selection pane="bottomLeft"/>
    </sheetView>
  </sheetViews>
  <sheetFormatPr defaultRowHeight="12.75" x14ac:dyDescent="0.2"/>
  <cols>
    <col min="1" max="1" width="8.140625" customWidth="1"/>
    <col min="2" max="2" width="50" customWidth="1"/>
    <col min="3" max="3" width="17" bestFit="1" customWidth="1"/>
    <col min="4" max="4" width="20" customWidth="1"/>
    <col min="5" max="7" width="32.85546875" hidden="1" customWidth="1"/>
    <col min="8" max="8" width="43.140625" hidden="1" customWidth="1"/>
    <col min="9" max="9" width="11.140625" bestFit="1" customWidth="1"/>
    <col min="10" max="10" width="11.7109375" customWidth="1"/>
  </cols>
  <sheetData>
    <row r="1" spans="1:10" x14ac:dyDescent="0.2">
      <c r="A1" s="29" t="s">
        <v>479</v>
      </c>
    </row>
    <row r="3" spans="1:10" ht="23.25" customHeight="1" x14ac:dyDescent="0.2">
      <c r="A3" s="184" t="s">
        <v>242</v>
      </c>
      <c r="B3" s="185"/>
      <c r="C3" s="185"/>
      <c r="D3" s="185"/>
      <c r="E3" s="185"/>
      <c r="F3" s="185"/>
      <c r="G3" s="185"/>
      <c r="H3" s="185"/>
      <c r="I3" s="185"/>
      <c r="J3" s="186"/>
    </row>
    <row r="4" spans="1:10" ht="31.5" customHeight="1" x14ac:dyDescent="0.2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403</v>
      </c>
    </row>
    <row r="5" spans="1:10" ht="15.75" x14ac:dyDescent="0.2">
      <c r="A5" s="1">
        <v>1</v>
      </c>
      <c r="B5" s="1">
        <v>2</v>
      </c>
      <c r="C5" s="1">
        <v>3</v>
      </c>
      <c r="D5" s="1">
        <v>4</v>
      </c>
      <c r="E5" s="1">
        <v>6</v>
      </c>
      <c r="F5" s="1">
        <v>7</v>
      </c>
      <c r="G5" s="1">
        <v>8</v>
      </c>
      <c r="H5" s="1">
        <v>9</v>
      </c>
      <c r="I5" s="1">
        <v>5</v>
      </c>
      <c r="J5" s="125">
        <v>6</v>
      </c>
    </row>
    <row r="6" spans="1:10" x14ac:dyDescent="0.2">
      <c r="A6" s="2" t="s">
        <v>8</v>
      </c>
      <c r="B6" s="3" t="s">
        <v>9</v>
      </c>
      <c r="C6" s="4">
        <v>19187000</v>
      </c>
      <c r="D6" s="4">
        <v>22223997</v>
      </c>
      <c r="E6" s="4">
        <v>0</v>
      </c>
      <c r="F6" s="4">
        <v>22223997</v>
      </c>
      <c r="G6" s="4">
        <v>34942000</v>
      </c>
      <c r="H6" s="4">
        <v>0</v>
      </c>
      <c r="I6" s="4">
        <v>22223997</v>
      </c>
      <c r="J6" s="126">
        <f>I6/D6</f>
        <v>1</v>
      </c>
    </row>
    <row r="7" spans="1:10" x14ac:dyDescent="0.2">
      <c r="A7" s="2" t="s">
        <v>10</v>
      </c>
      <c r="B7" s="3" t="s">
        <v>11</v>
      </c>
      <c r="C7" s="4">
        <v>0</v>
      </c>
      <c r="D7" s="4">
        <v>94030</v>
      </c>
      <c r="E7" s="4">
        <v>0</v>
      </c>
      <c r="F7" s="4">
        <v>94030</v>
      </c>
      <c r="G7" s="4">
        <v>0</v>
      </c>
      <c r="H7" s="4">
        <v>0</v>
      </c>
      <c r="I7" s="4">
        <v>94030</v>
      </c>
      <c r="J7" s="126">
        <f t="shared" ref="J7:J70" si="0">I7/D7</f>
        <v>1</v>
      </c>
    </row>
    <row r="8" spans="1:10" x14ac:dyDescent="0.2">
      <c r="A8" s="2" t="s">
        <v>12</v>
      </c>
      <c r="B8" s="3" t="s">
        <v>13</v>
      </c>
      <c r="C8" s="4">
        <v>569000</v>
      </c>
      <c r="D8" s="4">
        <v>388400</v>
      </c>
      <c r="E8" s="4">
        <v>0</v>
      </c>
      <c r="F8" s="4">
        <v>388400</v>
      </c>
      <c r="G8" s="4">
        <v>0</v>
      </c>
      <c r="H8" s="4">
        <v>0</v>
      </c>
      <c r="I8" s="4">
        <v>388400</v>
      </c>
      <c r="J8" s="126">
        <f t="shared" si="0"/>
        <v>1</v>
      </c>
    </row>
    <row r="9" spans="1:10" x14ac:dyDescent="0.2">
      <c r="A9" s="2" t="s">
        <v>14</v>
      </c>
      <c r="B9" s="3" t="s">
        <v>15</v>
      </c>
      <c r="C9" s="4">
        <v>234000</v>
      </c>
      <c r="D9" s="4">
        <v>234864</v>
      </c>
      <c r="E9" s="4">
        <v>0</v>
      </c>
      <c r="F9" s="4">
        <v>234864</v>
      </c>
      <c r="G9" s="4">
        <v>0</v>
      </c>
      <c r="H9" s="4">
        <v>0</v>
      </c>
      <c r="I9" s="4">
        <v>234864</v>
      </c>
      <c r="J9" s="126">
        <f t="shared" si="0"/>
        <v>1</v>
      </c>
    </row>
    <row r="10" spans="1:10" x14ac:dyDescent="0.2">
      <c r="A10" s="2" t="s">
        <v>16</v>
      </c>
      <c r="B10" s="3" t="s">
        <v>17</v>
      </c>
      <c r="C10" s="4">
        <v>127000</v>
      </c>
      <c r="D10" s="4">
        <v>119040</v>
      </c>
      <c r="E10" s="4">
        <v>0</v>
      </c>
      <c r="F10" s="4">
        <v>119040</v>
      </c>
      <c r="G10" s="4">
        <v>0</v>
      </c>
      <c r="H10" s="4">
        <v>0</v>
      </c>
      <c r="I10" s="4">
        <v>119040</v>
      </c>
      <c r="J10" s="126">
        <f t="shared" si="0"/>
        <v>1</v>
      </c>
    </row>
    <row r="11" spans="1:10" ht="25.5" x14ac:dyDescent="0.2">
      <c r="A11" s="2" t="s">
        <v>18</v>
      </c>
      <c r="B11" s="3" t="s">
        <v>19</v>
      </c>
      <c r="C11" s="4">
        <v>0</v>
      </c>
      <c r="D11" s="4">
        <v>892365</v>
      </c>
      <c r="E11" s="4">
        <v>0</v>
      </c>
      <c r="F11" s="4">
        <v>891965</v>
      </c>
      <c r="G11" s="4">
        <v>0</v>
      </c>
      <c r="H11" s="4">
        <v>0</v>
      </c>
      <c r="I11" s="4">
        <v>891965</v>
      </c>
      <c r="J11" s="126">
        <f t="shared" si="0"/>
        <v>0.9995517529262129</v>
      </c>
    </row>
    <row r="12" spans="1:10" x14ac:dyDescent="0.2">
      <c r="A12" s="2" t="s">
        <v>20</v>
      </c>
      <c r="B12" s="3" t="s">
        <v>21</v>
      </c>
      <c r="C12" s="4">
        <v>20117000</v>
      </c>
      <c r="D12" s="4">
        <v>23952696</v>
      </c>
      <c r="E12" s="4">
        <v>0</v>
      </c>
      <c r="F12" s="4">
        <v>23952296</v>
      </c>
      <c r="G12" s="4">
        <v>34942000</v>
      </c>
      <c r="H12" s="4">
        <v>0</v>
      </c>
      <c r="I12" s="4">
        <v>23952296</v>
      </c>
      <c r="J12" s="126">
        <f t="shared" si="0"/>
        <v>0.99998330041845807</v>
      </c>
    </row>
    <row r="13" spans="1:10" x14ac:dyDescent="0.2">
      <c r="A13" s="2" t="s">
        <v>22</v>
      </c>
      <c r="B13" s="3" t="s">
        <v>23</v>
      </c>
      <c r="C13" s="4">
        <v>11943000</v>
      </c>
      <c r="D13" s="4">
        <v>11457263</v>
      </c>
      <c r="E13" s="4">
        <v>0</v>
      </c>
      <c r="F13" s="4">
        <v>11457263</v>
      </c>
      <c r="G13" s="4">
        <v>26120000</v>
      </c>
      <c r="H13" s="4">
        <v>0</v>
      </c>
      <c r="I13" s="4">
        <v>11457263</v>
      </c>
      <c r="J13" s="126">
        <f t="shared" si="0"/>
        <v>1</v>
      </c>
    </row>
    <row r="14" spans="1:10" ht="25.5" x14ac:dyDescent="0.2">
      <c r="A14" s="2" t="s">
        <v>24</v>
      </c>
      <c r="B14" s="3" t="s">
        <v>25</v>
      </c>
      <c r="C14" s="4">
        <v>0</v>
      </c>
      <c r="D14" s="4">
        <v>816183</v>
      </c>
      <c r="E14" s="4">
        <v>0</v>
      </c>
      <c r="F14" s="4">
        <v>816183</v>
      </c>
      <c r="G14" s="4">
        <v>0</v>
      </c>
      <c r="H14" s="4">
        <v>0</v>
      </c>
      <c r="I14" s="4">
        <v>816183</v>
      </c>
      <c r="J14" s="126">
        <f t="shared" si="0"/>
        <v>1</v>
      </c>
    </row>
    <row r="15" spans="1:10" x14ac:dyDescent="0.2">
      <c r="A15" s="2" t="s">
        <v>26</v>
      </c>
      <c r="B15" s="3" t="s">
        <v>27</v>
      </c>
      <c r="C15" s="4">
        <v>300000</v>
      </c>
      <c r="D15" s="4">
        <v>347868</v>
      </c>
      <c r="E15" s="4">
        <v>0</v>
      </c>
      <c r="F15" s="4">
        <v>347868</v>
      </c>
      <c r="G15" s="4">
        <v>0</v>
      </c>
      <c r="H15" s="4">
        <v>0</v>
      </c>
      <c r="I15" s="4">
        <v>347868</v>
      </c>
      <c r="J15" s="126">
        <f t="shared" si="0"/>
        <v>1</v>
      </c>
    </row>
    <row r="16" spans="1:10" x14ac:dyDescent="0.2">
      <c r="A16" s="2" t="s">
        <v>28</v>
      </c>
      <c r="B16" s="3" t="s">
        <v>29</v>
      </c>
      <c r="C16" s="4">
        <v>12243000</v>
      </c>
      <c r="D16" s="4">
        <v>12621314</v>
      </c>
      <c r="E16" s="4">
        <v>0</v>
      </c>
      <c r="F16" s="4">
        <v>12621314</v>
      </c>
      <c r="G16" s="4">
        <v>26120000</v>
      </c>
      <c r="H16" s="4">
        <v>0</v>
      </c>
      <c r="I16" s="4">
        <v>12621314</v>
      </c>
      <c r="J16" s="126">
        <f t="shared" si="0"/>
        <v>1</v>
      </c>
    </row>
    <row r="17" spans="1:10" x14ac:dyDescent="0.2">
      <c r="A17" s="5" t="s">
        <v>30</v>
      </c>
      <c r="B17" s="6" t="s">
        <v>31</v>
      </c>
      <c r="C17" s="7">
        <v>32360000</v>
      </c>
      <c r="D17" s="7">
        <v>36574010</v>
      </c>
      <c r="E17" s="7">
        <v>0</v>
      </c>
      <c r="F17" s="7">
        <v>36573610</v>
      </c>
      <c r="G17" s="7">
        <v>61062000</v>
      </c>
      <c r="H17" s="7">
        <v>0</v>
      </c>
      <c r="I17" s="7">
        <v>36573610</v>
      </c>
      <c r="J17" s="126">
        <f t="shared" si="0"/>
        <v>0.99998906327197923</v>
      </c>
    </row>
    <row r="18" spans="1:10" ht="25.5" x14ac:dyDescent="0.2">
      <c r="A18" s="5" t="s">
        <v>32</v>
      </c>
      <c r="B18" s="6" t="s">
        <v>33</v>
      </c>
      <c r="C18" s="7">
        <v>7881000</v>
      </c>
      <c r="D18" s="7">
        <v>8472492</v>
      </c>
      <c r="E18" s="7">
        <v>0</v>
      </c>
      <c r="F18" s="7">
        <v>8472186</v>
      </c>
      <c r="G18" s="7">
        <v>18890000</v>
      </c>
      <c r="H18" s="7">
        <v>0</v>
      </c>
      <c r="I18" s="7">
        <v>8472186</v>
      </c>
      <c r="J18" s="126">
        <f t="shared" si="0"/>
        <v>0.99996388311726936</v>
      </c>
    </row>
    <row r="19" spans="1:10" x14ac:dyDescent="0.2">
      <c r="A19" s="2" t="s">
        <v>34</v>
      </c>
      <c r="B19" s="3" t="s">
        <v>35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8148850</v>
      </c>
      <c r="J19" s="126"/>
    </row>
    <row r="20" spans="1:10" x14ac:dyDescent="0.2">
      <c r="A20" s="2" t="s">
        <v>36</v>
      </c>
      <c r="B20" s="3" t="s">
        <v>37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112545</v>
      </c>
      <c r="J20" s="126"/>
    </row>
    <row r="21" spans="1:10" x14ac:dyDescent="0.2">
      <c r="A21" s="2" t="s">
        <v>38</v>
      </c>
      <c r="B21" s="3" t="s">
        <v>39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102439</v>
      </c>
      <c r="J21" s="126"/>
    </row>
    <row r="22" spans="1:10" x14ac:dyDescent="0.2">
      <c r="A22" s="2" t="s">
        <v>40</v>
      </c>
      <c r="B22" s="3" t="s">
        <v>41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108352</v>
      </c>
      <c r="J22" s="126"/>
    </row>
    <row r="23" spans="1:10" x14ac:dyDescent="0.2">
      <c r="A23" s="2" t="s">
        <v>42</v>
      </c>
      <c r="B23" s="3" t="s">
        <v>43</v>
      </c>
      <c r="C23" s="4">
        <v>30000</v>
      </c>
      <c r="D23" s="4">
        <v>11000</v>
      </c>
      <c r="E23" s="4">
        <v>0</v>
      </c>
      <c r="F23" s="4">
        <v>9817</v>
      </c>
      <c r="G23" s="4">
        <v>0</v>
      </c>
      <c r="H23" s="4">
        <v>0</v>
      </c>
      <c r="I23" s="4">
        <v>9817</v>
      </c>
      <c r="J23" s="126">
        <f t="shared" si="0"/>
        <v>0.8924545454545455</v>
      </c>
    </row>
    <row r="24" spans="1:10" x14ac:dyDescent="0.2">
      <c r="A24" s="2" t="s">
        <v>44</v>
      </c>
      <c r="B24" s="3" t="s">
        <v>45</v>
      </c>
      <c r="C24" s="4">
        <v>5140000</v>
      </c>
      <c r="D24" s="4">
        <v>6803585</v>
      </c>
      <c r="E24" s="4">
        <v>0</v>
      </c>
      <c r="F24" s="4">
        <v>6302782</v>
      </c>
      <c r="G24" s="4">
        <v>0</v>
      </c>
      <c r="H24" s="4">
        <v>0</v>
      </c>
      <c r="I24" s="4">
        <v>6302782</v>
      </c>
      <c r="J24" s="126">
        <f t="shared" si="0"/>
        <v>0.92639130693597571</v>
      </c>
    </row>
    <row r="25" spans="1:10" x14ac:dyDescent="0.2">
      <c r="A25" s="2" t="s">
        <v>46</v>
      </c>
      <c r="B25" s="3" t="s">
        <v>47</v>
      </c>
      <c r="C25" s="4">
        <v>5170000</v>
      </c>
      <c r="D25" s="4">
        <v>6814585</v>
      </c>
      <c r="E25" s="4">
        <v>0</v>
      </c>
      <c r="F25" s="4">
        <v>6312599</v>
      </c>
      <c r="G25" s="4">
        <v>0</v>
      </c>
      <c r="H25" s="4">
        <v>0</v>
      </c>
      <c r="I25" s="4">
        <v>6312599</v>
      </c>
      <c r="J25" s="126">
        <f t="shared" si="0"/>
        <v>0.92633652672906719</v>
      </c>
    </row>
    <row r="26" spans="1:10" x14ac:dyDescent="0.2">
      <c r="A26" s="2" t="s">
        <v>48</v>
      </c>
      <c r="B26" s="3" t="s">
        <v>49</v>
      </c>
      <c r="C26" s="4">
        <v>120000</v>
      </c>
      <c r="D26" s="4">
        <v>207756</v>
      </c>
      <c r="E26" s="4">
        <v>0</v>
      </c>
      <c r="F26" s="4">
        <v>206656</v>
      </c>
      <c r="G26" s="4">
        <v>0</v>
      </c>
      <c r="H26" s="4">
        <v>0</v>
      </c>
      <c r="I26" s="4">
        <v>206656</v>
      </c>
      <c r="J26" s="126">
        <f t="shared" si="0"/>
        <v>0.99470532740329998</v>
      </c>
    </row>
    <row r="27" spans="1:10" x14ac:dyDescent="0.2">
      <c r="A27" s="2" t="s">
        <v>50</v>
      </c>
      <c r="B27" s="3" t="s">
        <v>51</v>
      </c>
      <c r="C27" s="4">
        <v>180000</v>
      </c>
      <c r="D27" s="4">
        <v>148927</v>
      </c>
      <c r="E27" s="4">
        <v>0</v>
      </c>
      <c r="F27" s="4">
        <v>148196</v>
      </c>
      <c r="G27" s="4">
        <v>0</v>
      </c>
      <c r="H27" s="4">
        <v>0</v>
      </c>
      <c r="I27" s="4">
        <v>148196</v>
      </c>
      <c r="J27" s="126">
        <f t="shared" si="0"/>
        <v>0.9950915549228817</v>
      </c>
    </row>
    <row r="28" spans="1:10" x14ac:dyDescent="0.2">
      <c r="A28" s="2" t="s">
        <v>52</v>
      </c>
      <c r="B28" s="3" t="s">
        <v>53</v>
      </c>
      <c r="C28" s="4">
        <v>300000</v>
      </c>
      <c r="D28" s="4">
        <v>356683</v>
      </c>
      <c r="E28" s="4">
        <v>0</v>
      </c>
      <c r="F28" s="4">
        <v>354852</v>
      </c>
      <c r="G28" s="4">
        <v>0</v>
      </c>
      <c r="H28" s="4">
        <v>0</v>
      </c>
      <c r="I28" s="4">
        <v>354852</v>
      </c>
      <c r="J28" s="126">
        <f t="shared" si="0"/>
        <v>0.99486659022156931</v>
      </c>
    </row>
    <row r="29" spans="1:10" x14ac:dyDescent="0.2">
      <c r="A29" s="2" t="s">
        <v>54</v>
      </c>
      <c r="B29" s="3" t="s">
        <v>55</v>
      </c>
      <c r="C29" s="4">
        <v>25763000</v>
      </c>
      <c r="D29" s="4">
        <v>26743299</v>
      </c>
      <c r="E29" s="4">
        <v>0</v>
      </c>
      <c r="F29" s="4">
        <v>25403023</v>
      </c>
      <c r="G29" s="4">
        <v>53551462</v>
      </c>
      <c r="H29" s="4">
        <v>0</v>
      </c>
      <c r="I29" s="4">
        <v>25403023</v>
      </c>
      <c r="J29" s="126">
        <f t="shared" si="0"/>
        <v>0.94988366992419293</v>
      </c>
    </row>
    <row r="30" spans="1:10" x14ac:dyDescent="0.2">
      <c r="A30" s="2" t="s">
        <v>56</v>
      </c>
      <c r="B30" s="3" t="s">
        <v>57</v>
      </c>
      <c r="C30" s="4">
        <v>15000000</v>
      </c>
      <c r="D30" s="4">
        <v>19048367</v>
      </c>
      <c r="E30" s="4">
        <v>0</v>
      </c>
      <c r="F30" s="4">
        <v>19048367</v>
      </c>
      <c r="G30" s="4">
        <v>0</v>
      </c>
      <c r="H30" s="4">
        <v>0</v>
      </c>
      <c r="I30" s="4">
        <v>19048367</v>
      </c>
      <c r="J30" s="126">
        <f t="shared" si="0"/>
        <v>1</v>
      </c>
    </row>
    <row r="31" spans="1:10" x14ac:dyDescent="0.2">
      <c r="A31" s="2" t="s">
        <v>58</v>
      </c>
      <c r="B31" s="3" t="s">
        <v>59</v>
      </c>
      <c r="C31" s="4">
        <v>0</v>
      </c>
      <c r="D31" s="4">
        <v>216848</v>
      </c>
      <c r="E31" s="4">
        <v>0</v>
      </c>
      <c r="F31" s="4">
        <v>216848</v>
      </c>
      <c r="G31" s="4">
        <v>0</v>
      </c>
      <c r="H31" s="4">
        <v>0</v>
      </c>
      <c r="I31" s="4">
        <v>216848</v>
      </c>
      <c r="J31" s="126">
        <f t="shared" si="0"/>
        <v>1</v>
      </c>
    </row>
    <row r="32" spans="1:10" x14ac:dyDescent="0.2">
      <c r="A32" s="2" t="s">
        <v>60</v>
      </c>
      <c r="B32" s="3" t="s">
        <v>61</v>
      </c>
      <c r="C32" s="4">
        <v>3300000</v>
      </c>
      <c r="D32" s="4">
        <v>3048800</v>
      </c>
      <c r="E32" s="4">
        <v>0</v>
      </c>
      <c r="F32" s="4">
        <v>3047295</v>
      </c>
      <c r="G32" s="4">
        <v>0</v>
      </c>
      <c r="H32" s="4">
        <v>0</v>
      </c>
      <c r="I32" s="4">
        <v>3047295</v>
      </c>
      <c r="J32" s="126">
        <f t="shared" si="0"/>
        <v>0.99950636315927577</v>
      </c>
    </row>
    <row r="33" spans="1:10" x14ac:dyDescent="0.2">
      <c r="A33" s="2" t="s">
        <v>62</v>
      </c>
      <c r="B33" s="3" t="s">
        <v>63</v>
      </c>
      <c r="C33" s="4">
        <v>3010000</v>
      </c>
      <c r="D33" s="4">
        <v>2910743</v>
      </c>
      <c r="E33" s="4">
        <v>0</v>
      </c>
      <c r="F33" s="4">
        <v>2860809</v>
      </c>
      <c r="G33" s="4">
        <v>0</v>
      </c>
      <c r="H33" s="4">
        <v>0</v>
      </c>
      <c r="I33" s="4">
        <v>2860809</v>
      </c>
      <c r="J33" s="126">
        <f t="shared" si="0"/>
        <v>0.98284492997148842</v>
      </c>
    </row>
    <row r="34" spans="1:10" x14ac:dyDescent="0.2">
      <c r="A34" s="2" t="s">
        <v>64</v>
      </c>
      <c r="B34" s="3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2784956</v>
      </c>
      <c r="J34" s="126"/>
    </row>
    <row r="35" spans="1:10" x14ac:dyDescent="0.2">
      <c r="A35" s="2" t="s">
        <v>66</v>
      </c>
      <c r="B35" s="3" t="s">
        <v>67</v>
      </c>
      <c r="C35" s="4">
        <v>8546000</v>
      </c>
      <c r="D35" s="4">
        <v>9114125</v>
      </c>
      <c r="E35" s="4">
        <v>0</v>
      </c>
      <c r="F35" s="4">
        <v>8937809</v>
      </c>
      <c r="G35" s="4">
        <v>0</v>
      </c>
      <c r="H35" s="4">
        <v>0</v>
      </c>
      <c r="I35" s="4">
        <v>8937809</v>
      </c>
      <c r="J35" s="126">
        <f t="shared" si="0"/>
        <v>0.98065464320491547</v>
      </c>
    </row>
    <row r="36" spans="1:10" x14ac:dyDescent="0.2">
      <c r="A36" s="2" t="s">
        <v>68</v>
      </c>
      <c r="B36" s="3" t="s">
        <v>69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894123</v>
      </c>
      <c r="J36" s="126"/>
    </row>
    <row r="37" spans="1:10" x14ac:dyDescent="0.2">
      <c r="A37" s="2" t="s">
        <v>70</v>
      </c>
      <c r="B37" s="3" t="s">
        <v>71</v>
      </c>
      <c r="C37" s="4">
        <v>55619000</v>
      </c>
      <c r="D37" s="4">
        <v>61082182</v>
      </c>
      <c r="E37" s="4">
        <v>0</v>
      </c>
      <c r="F37" s="4">
        <v>59514151</v>
      </c>
      <c r="G37" s="4">
        <v>53551462</v>
      </c>
      <c r="H37" s="4">
        <v>0</v>
      </c>
      <c r="I37" s="4">
        <v>59514151</v>
      </c>
      <c r="J37" s="126">
        <f t="shared" si="0"/>
        <v>0.9743291587062165</v>
      </c>
    </row>
    <row r="38" spans="1:10" ht="25.5" x14ac:dyDescent="0.2">
      <c r="A38" s="2" t="s">
        <v>72</v>
      </c>
      <c r="B38" s="3" t="s">
        <v>73</v>
      </c>
      <c r="C38" s="4">
        <v>16013000</v>
      </c>
      <c r="D38" s="4">
        <v>15406617</v>
      </c>
      <c r="E38" s="4">
        <v>0</v>
      </c>
      <c r="F38" s="4">
        <v>15404571</v>
      </c>
      <c r="G38" s="4">
        <v>14332538</v>
      </c>
      <c r="H38" s="4">
        <v>0</v>
      </c>
      <c r="I38" s="4">
        <v>15404571</v>
      </c>
      <c r="J38" s="126">
        <f t="shared" si="0"/>
        <v>0.99986719991806117</v>
      </c>
    </row>
    <row r="39" spans="1:10" x14ac:dyDescent="0.2">
      <c r="A39" s="2" t="s">
        <v>74</v>
      </c>
      <c r="B39" s="3" t="s">
        <v>75</v>
      </c>
      <c r="C39" s="4">
        <v>0</v>
      </c>
      <c r="D39" s="4">
        <v>14733000</v>
      </c>
      <c r="E39" s="4">
        <v>0</v>
      </c>
      <c r="F39" s="4">
        <v>14733000</v>
      </c>
      <c r="G39" s="4">
        <v>0</v>
      </c>
      <c r="H39" s="4">
        <v>0</v>
      </c>
      <c r="I39" s="4">
        <v>14733000</v>
      </c>
      <c r="J39" s="126">
        <f t="shared" si="0"/>
        <v>1</v>
      </c>
    </row>
    <row r="40" spans="1:10" x14ac:dyDescent="0.2">
      <c r="A40" s="2" t="s">
        <v>76</v>
      </c>
      <c r="B40" s="3" t="s">
        <v>77</v>
      </c>
      <c r="C40" s="4">
        <v>0</v>
      </c>
      <c r="D40" s="4">
        <v>17000</v>
      </c>
      <c r="E40" s="4">
        <v>0</v>
      </c>
      <c r="F40" s="4">
        <v>16287</v>
      </c>
      <c r="G40" s="4">
        <v>0</v>
      </c>
      <c r="H40" s="4">
        <v>0</v>
      </c>
      <c r="I40" s="4">
        <v>16287</v>
      </c>
      <c r="J40" s="126">
        <f t="shared" si="0"/>
        <v>0.95805882352941174</v>
      </c>
    </row>
    <row r="41" spans="1:10" x14ac:dyDescent="0.2">
      <c r="A41" s="2" t="s">
        <v>78</v>
      </c>
      <c r="B41" s="3" t="s">
        <v>79</v>
      </c>
      <c r="C41" s="4">
        <v>0</v>
      </c>
      <c r="D41" s="4">
        <v>2387224</v>
      </c>
      <c r="E41" s="4">
        <v>0</v>
      </c>
      <c r="F41" s="4">
        <v>2387224</v>
      </c>
      <c r="G41" s="4">
        <v>0</v>
      </c>
      <c r="H41" s="4">
        <v>0</v>
      </c>
      <c r="I41" s="4">
        <v>2387224</v>
      </c>
      <c r="J41" s="126">
        <f t="shared" si="0"/>
        <v>1</v>
      </c>
    </row>
    <row r="42" spans="1:10" ht="25.5" x14ac:dyDescent="0.2">
      <c r="A42" s="2" t="s">
        <v>80</v>
      </c>
      <c r="B42" s="3" t="s">
        <v>81</v>
      </c>
      <c r="C42" s="4">
        <v>16013000</v>
      </c>
      <c r="D42" s="4">
        <v>32543841</v>
      </c>
      <c r="E42" s="4">
        <v>0</v>
      </c>
      <c r="F42" s="4">
        <v>32541082</v>
      </c>
      <c r="G42" s="4">
        <v>14332538</v>
      </c>
      <c r="H42" s="4">
        <v>0</v>
      </c>
      <c r="I42" s="4">
        <v>32541082</v>
      </c>
      <c r="J42" s="126">
        <f t="shared" si="0"/>
        <v>0.9999152220538442</v>
      </c>
    </row>
    <row r="43" spans="1:10" x14ac:dyDescent="0.2">
      <c r="A43" s="5" t="s">
        <v>82</v>
      </c>
      <c r="B43" s="6" t="s">
        <v>83</v>
      </c>
      <c r="C43" s="7">
        <v>77102000</v>
      </c>
      <c r="D43" s="7">
        <v>100797291</v>
      </c>
      <c r="E43" s="7">
        <v>0</v>
      </c>
      <c r="F43" s="7">
        <v>98722684</v>
      </c>
      <c r="G43" s="7">
        <v>67884000</v>
      </c>
      <c r="H43" s="7">
        <v>0</v>
      </c>
      <c r="I43" s="7">
        <v>98722684</v>
      </c>
      <c r="J43" s="126">
        <f t="shared" si="0"/>
        <v>0.97941802820871449</v>
      </c>
    </row>
    <row r="44" spans="1:10" ht="25.5" x14ac:dyDescent="0.2">
      <c r="A44" s="2" t="s">
        <v>84</v>
      </c>
      <c r="B44" s="3" t="s">
        <v>85</v>
      </c>
      <c r="C44" s="4">
        <v>500000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126"/>
    </row>
    <row r="45" spans="1:10" x14ac:dyDescent="0.2">
      <c r="A45" s="2" t="s">
        <v>86</v>
      </c>
      <c r="B45" s="3" t="s">
        <v>87</v>
      </c>
      <c r="C45" s="4">
        <v>4100000</v>
      </c>
      <c r="D45" s="4">
        <v>4955526</v>
      </c>
      <c r="E45" s="4">
        <v>0</v>
      </c>
      <c r="F45" s="4">
        <v>4955526</v>
      </c>
      <c r="G45" s="4">
        <v>0</v>
      </c>
      <c r="H45" s="4">
        <v>0</v>
      </c>
      <c r="I45" s="4">
        <v>4955526</v>
      </c>
      <c r="J45" s="126">
        <f t="shared" si="0"/>
        <v>1</v>
      </c>
    </row>
    <row r="46" spans="1:10" ht="25.5" x14ac:dyDescent="0.2">
      <c r="A46" s="2" t="s">
        <v>88</v>
      </c>
      <c r="B46" s="3" t="s">
        <v>89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870000</v>
      </c>
      <c r="J46" s="126"/>
    </row>
    <row r="47" spans="1:10" x14ac:dyDescent="0.2">
      <c r="A47" s="2" t="s">
        <v>90</v>
      </c>
      <c r="B47" s="3" t="s">
        <v>91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152400</v>
      </c>
      <c r="J47" s="126"/>
    </row>
    <row r="48" spans="1:10" x14ac:dyDescent="0.2">
      <c r="A48" s="2" t="s">
        <v>92</v>
      </c>
      <c r="B48" s="3" t="s">
        <v>93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3362026</v>
      </c>
      <c r="J48" s="126"/>
    </row>
    <row r="49" spans="1:10" ht="38.25" x14ac:dyDescent="0.2">
      <c r="A49" s="2" t="s">
        <v>94</v>
      </c>
      <c r="B49" s="3" t="s">
        <v>95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571100</v>
      </c>
      <c r="J49" s="126"/>
    </row>
    <row r="50" spans="1:10" ht="25.5" x14ac:dyDescent="0.2">
      <c r="A50" s="5" t="s">
        <v>96</v>
      </c>
      <c r="B50" s="6" t="s">
        <v>97</v>
      </c>
      <c r="C50" s="7">
        <v>4600000</v>
      </c>
      <c r="D50" s="7">
        <v>4955526</v>
      </c>
      <c r="E50" s="7">
        <v>0</v>
      </c>
      <c r="F50" s="7">
        <v>4955526</v>
      </c>
      <c r="G50" s="7">
        <v>0</v>
      </c>
      <c r="H50" s="7">
        <v>0</v>
      </c>
      <c r="I50" s="7">
        <v>4955526</v>
      </c>
      <c r="J50" s="126">
        <f t="shared" si="0"/>
        <v>1</v>
      </c>
    </row>
    <row r="51" spans="1:10" ht="25.5" x14ac:dyDescent="0.2">
      <c r="A51" s="2" t="s">
        <v>98</v>
      </c>
      <c r="B51" s="3" t="s">
        <v>99</v>
      </c>
      <c r="C51" s="4">
        <v>0</v>
      </c>
      <c r="D51" s="4">
        <v>2130506</v>
      </c>
      <c r="E51" s="4">
        <v>0</v>
      </c>
      <c r="F51" s="4">
        <v>2130506</v>
      </c>
      <c r="G51" s="4">
        <v>0</v>
      </c>
      <c r="H51" s="4">
        <v>0</v>
      </c>
      <c r="I51" s="4">
        <v>2130506</v>
      </c>
      <c r="J51" s="126">
        <f t="shared" si="0"/>
        <v>1</v>
      </c>
    </row>
    <row r="52" spans="1:10" x14ac:dyDescent="0.2">
      <c r="A52" s="2" t="s">
        <v>100</v>
      </c>
      <c r="B52" s="3" t="s">
        <v>101</v>
      </c>
      <c r="C52" s="4">
        <v>0</v>
      </c>
      <c r="D52" s="4">
        <v>2130506</v>
      </c>
      <c r="E52" s="4">
        <v>0</v>
      </c>
      <c r="F52" s="4">
        <v>2130506</v>
      </c>
      <c r="G52" s="4">
        <v>0</v>
      </c>
      <c r="H52" s="4">
        <v>0</v>
      </c>
      <c r="I52" s="4">
        <v>2130506</v>
      </c>
      <c r="J52" s="126">
        <f t="shared" si="0"/>
        <v>1</v>
      </c>
    </row>
    <row r="53" spans="1:10" ht="25.5" x14ac:dyDescent="0.2">
      <c r="A53" s="2" t="s">
        <v>102</v>
      </c>
      <c r="B53" s="3" t="s">
        <v>103</v>
      </c>
      <c r="C53" s="4">
        <v>103388000</v>
      </c>
      <c r="D53" s="4">
        <v>108374006</v>
      </c>
      <c r="E53" s="4">
        <v>0</v>
      </c>
      <c r="F53" s="4">
        <v>108373220</v>
      </c>
      <c r="G53" s="4">
        <v>0</v>
      </c>
      <c r="H53" s="4">
        <v>0</v>
      </c>
      <c r="I53" s="4">
        <v>108373220</v>
      </c>
      <c r="J53" s="126">
        <f t="shared" si="0"/>
        <v>0.99999274733832388</v>
      </c>
    </row>
    <row r="54" spans="1:10" ht="25.5" x14ac:dyDescent="0.2">
      <c r="A54" s="2" t="s">
        <v>104</v>
      </c>
      <c r="B54" s="3" t="s">
        <v>105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441792</v>
      </c>
      <c r="J54" s="126"/>
    </row>
    <row r="55" spans="1:10" x14ac:dyDescent="0.2">
      <c r="A55" s="2" t="s">
        <v>106</v>
      </c>
      <c r="B55" s="3" t="s">
        <v>107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107931428</v>
      </c>
      <c r="J55" s="126"/>
    </row>
    <row r="56" spans="1:10" x14ac:dyDescent="0.2">
      <c r="A56" s="2" t="s">
        <v>108</v>
      </c>
      <c r="B56" s="3" t="s">
        <v>109</v>
      </c>
      <c r="C56" s="4">
        <v>3260000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126"/>
    </row>
    <row r="57" spans="1:10" ht="25.5" x14ac:dyDescent="0.2">
      <c r="A57" s="2" t="s">
        <v>110</v>
      </c>
      <c r="B57" s="3" t="s">
        <v>111</v>
      </c>
      <c r="C57" s="4">
        <v>0</v>
      </c>
      <c r="D57" s="4">
        <v>2652565</v>
      </c>
      <c r="E57" s="4">
        <v>0</v>
      </c>
      <c r="F57" s="4">
        <v>2652565</v>
      </c>
      <c r="G57" s="4">
        <v>0</v>
      </c>
      <c r="H57" s="4">
        <v>0</v>
      </c>
      <c r="I57" s="4">
        <v>2652565</v>
      </c>
      <c r="J57" s="126">
        <f t="shared" si="0"/>
        <v>1</v>
      </c>
    </row>
    <row r="58" spans="1:10" x14ac:dyDescent="0.2">
      <c r="A58" s="2" t="s">
        <v>112</v>
      </c>
      <c r="B58" s="3" t="s">
        <v>113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2652565</v>
      </c>
      <c r="J58" s="126"/>
    </row>
    <row r="59" spans="1:10" x14ac:dyDescent="0.2">
      <c r="A59" s="2" t="s">
        <v>114</v>
      </c>
      <c r="B59" s="3" t="s">
        <v>115</v>
      </c>
      <c r="C59" s="4">
        <v>5947102</v>
      </c>
      <c r="D59" s="4">
        <v>167356539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126">
        <f t="shared" si="0"/>
        <v>0</v>
      </c>
    </row>
    <row r="60" spans="1:10" ht="38.25" x14ac:dyDescent="0.2">
      <c r="A60" s="5" t="s">
        <v>116</v>
      </c>
      <c r="B60" s="6" t="s">
        <v>117</v>
      </c>
      <c r="C60" s="7">
        <v>112595102</v>
      </c>
      <c r="D60" s="7">
        <v>280513616</v>
      </c>
      <c r="E60" s="7">
        <v>0</v>
      </c>
      <c r="F60" s="7">
        <v>113156291</v>
      </c>
      <c r="G60" s="7">
        <v>0</v>
      </c>
      <c r="H60" s="7">
        <v>0</v>
      </c>
      <c r="I60" s="7">
        <v>113156291</v>
      </c>
      <c r="J60" s="126">
        <f t="shared" si="0"/>
        <v>0.40338965578055935</v>
      </c>
    </row>
    <row r="61" spans="1:10" x14ac:dyDescent="0.2">
      <c r="A61" s="2" t="s">
        <v>118</v>
      </c>
      <c r="B61" s="3" t="s">
        <v>119</v>
      </c>
      <c r="C61" s="4">
        <v>0</v>
      </c>
      <c r="D61" s="4">
        <v>1639800</v>
      </c>
      <c r="E61" s="4">
        <v>0</v>
      </c>
      <c r="F61" s="4">
        <v>1639800</v>
      </c>
      <c r="G61" s="4">
        <v>0</v>
      </c>
      <c r="H61" s="4">
        <v>0</v>
      </c>
      <c r="I61" s="4">
        <v>1639800</v>
      </c>
      <c r="J61" s="126">
        <f t="shared" si="0"/>
        <v>1</v>
      </c>
    </row>
    <row r="62" spans="1:10" x14ac:dyDescent="0.2">
      <c r="A62" s="2" t="s">
        <v>120</v>
      </c>
      <c r="B62" s="3" t="s">
        <v>121</v>
      </c>
      <c r="C62" s="4">
        <v>0</v>
      </c>
      <c r="D62" s="4">
        <v>2236771</v>
      </c>
      <c r="E62" s="4">
        <v>0</v>
      </c>
      <c r="F62" s="4">
        <v>2236771</v>
      </c>
      <c r="G62" s="4">
        <v>0</v>
      </c>
      <c r="H62" s="4">
        <v>0</v>
      </c>
      <c r="I62" s="4">
        <v>2236771</v>
      </c>
      <c r="J62" s="126">
        <f t="shared" si="0"/>
        <v>1</v>
      </c>
    </row>
    <row r="63" spans="1:10" x14ac:dyDescent="0.2">
      <c r="A63" s="2" t="s">
        <v>122</v>
      </c>
      <c r="B63" s="3" t="s">
        <v>123</v>
      </c>
      <c r="C63" s="4">
        <v>566000</v>
      </c>
      <c r="D63" s="4">
        <v>1521066</v>
      </c>
      <c r="E63" s="4">
        <v>0</v>
      </c>
      <c r="F63" s="4">
        <v>1520596</v>
      </c>
      <c r="G63" s="4">
        <v>0</v>
      </c>
      <c r="H63" s="4">
        <v>0</v>
      </c>
      <c r="I63" s="4">
        <v>1520596</v>
      </c>
      <c r="J63" s="126">
        <f t="shared" si="0"/>
        <v>0.99969100617593187</v>
      </c>
    </row>
    <row r="64" spans="1:10" ht="25.5" x14ac:dyDescent="0.2">
      <c r="A64" s="2" t="s">
        <v>124</v>
      </c>
      <c r="B64" s="3" t="s">
        <v>125</v>
      </c>
      <c r="C64" s="4">
        <v>154000</v>
      </c>
      <c r="D64" s="4">
        <v>1014648</v>
      </c>
      <c r="E64" s="4">
        <v>0</v>
      </c>
      <c r="F64" s="4">
        <v>1013422</v>
      </c>
      <c r="G64" s="4">
        <v>0</v>
      </c>
      <c r="H64" s="4">
        <v>0</v>
      </c>
      <c r="I64" s="4">
        <v>1013422</v>
      </c>
      <c r="J64" s="126">
        <f t="shared" si="0"/>
        <v>0.99879169919026101</v>
      </c>
    </row>
    <row r="65" spans="1:10" x14ac:dyDescent="0.2">
      <c r="A65" s="5" t="s">
        <v>126</v>
      </c>
      <c r="B65" s="6" t="s">
        <v>127</v>
      </c>
      <c r="C65" s="7">
        <v>720000</v>
      </c>
      <c r="D65" s="7">
        <v>6412285</v>
      </c>
      <c r="E65" s="7">
        <v>0</v>
      </c>
      <c r="F65" s="7">
        <v>6410589</v>
      </c>
      <c r="G65" s="7">
        <v>0</v>
      </c>
      <c r="H65" s="7">
        <v>0</v>
      </c>
      <c r="I65" s="7">
        <v>6410589</v>
      </c>
      <c r="J65" s="126">
        <f t="shared" si="0"/>
        <v>0.99973550770123287</v>
      </c>
    </row>
    <row r="66" spans="1:10" x14ac:dyDescent="0.2">
      <c r="A66" s="2" t="s">
        <v>128</v>
      </c>
      <c r="B66" s="3" t="s">
        <v>129</v>
      </c>
      <c r="C66" s="4">
        <v>117316000</v>
      </c>
      <c r="D66" s="4">
        <v>94940825</v>
      </c>
      <c r="E66" s="4">
        <v>0</v>
      </c>
      <c r="F66" s="4">
        <v>92298923</v>
      </c>
      <c r="G66" s="4">
        <v>0</v>
      </c>
      <c r="H66" s="4">
        <v>0</v>
      </c>
      <c r="I66" s="4">
        <v>92298923</v>
      </c>
      <c r="J66" s="126">
        <f t="shared" si="0"/>
        <v>0.97217317207850262</v>
      </c>
    </row>
    <row r="67" spans="1:10" x14ac:dyDescent="0.2">
      <c r="A67" s="2" t="s">
        <v>130</v>
      </c>
      <c r="B67" s="3" t="s">
        <v>131</v>
      </c>
      <c r="C67" s="4">
        <v>3937000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126"/>
    </row>
    <row r="68" spans="1:10" ht="25.5" x14ac:dyDescent="0.2">
      <c r="A68" s="2" t="s">
        <v>132</v>
      </c>
      <c r="B68" s="3" t="s">
        <v>133</v>
      </c>
      <c r="C68" s="4">
        <v>32737000</v>
      </c>
      <c r="D68" s="4">
        <v>12752764</v>
      </c>
      <c r="E68" s="4">
        <v>0</v>
      </c>
      <c r="F68" s="4">
        <v>12039450</v>
      </c>
      <c r="G68" s="4">
        <v>0</v>
      </c>
      <c r="H68" s="4">
        <v>0</v>
      </c>
      <c r="I68" s="4">
        <v>12039450</v>
      </c>
      <c r="J68" s="126">
        <f t="shared" si="0"/>
        <v>0.94406592955064483</v>
      </c>
    </row>
    <row r="69" spans="1:10" x14ac:dyDescent="0.2">
      <c r="A69" s="5" t="s">
        <v>134</v>
      </c>
      <c r="B69" s="6" t="s">
        <v>135</v>
      </c>
      <c r="C69" s="7">
        <v>153990000</v>
      </c>
      <c r="D69" s="7">
        <v>107693589</v>
      </c>
      <c r="E69" s="7">
        <v>0</v>
      </c>
      <c r="F69" s="7">
        <v>104338373</v>
      </c>
      <c r="G69" s="7">
        <v>0</v>
      </c>
      <c r="H69" s="7">
        <v>0</v>
      </c>
      <c r="I69" s="7">
        <v>104338373</v>
      </c>
      <c r="J69" s="126">
        <f t="shared" si="0"/>
        <v>0.96884479353733866</v>
      </c>
    </row>
    <row r="70" spans="1:10" ht="38.25" x14ac:dyDescent="0.2">
      <c r="A70" s="2" t="s">
        <v>136</v>
      </c>
      <c r="B70" s="3" t="s">
        <v>137</v>
      </c>
      <c r="C70" s="4">
        <v>0</v>
      </c>
      <c r="D70" s="4">
        <v>62518</v>
      </c>
      <c r="E70" s="4">
        <v>0</v>
      </c>
      <c r="F70" s="4">
        <v>62518</v>
      </c>
      <c r="G70" s="4">
        <v>0</v>
      </c>
      <c r="H70" s="4">
        <v>0</v>
      </c>
      <c r="I70" s="4">
        <v>62518</v>
      </c>
      <c r="J70" s="126">
        <f t="shared" si="0"/>
        <v>1</v>
      </c>
    </row>
    <row r="71" spans="1:10" x14ac:dyDescent="0.2">
      <c r="A71" s="2" t="s">
        <v>138</v>
      </c>
      <c r="B71" s="3" t="s">
        <v>139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62518</v>
      </c>
      <c r="J71" s="126"/>
    </row>
    <row r="72" spans="1:10" ht="25.5" x14ac:dyDescent="0.2">
      <c r="A72" s="5" t="s">
        <v>140</v>
      </c>
      <c r="B72" s="6" t="s">
        <v>141</v>
      </c>
      <c r="C72" s="7">
        <v>0</v>
      </c>
      <c r="D72" s="7">
        <v>62518</v>
      </c>
      <c r="E72" s="7">
        <v>0</v>
      </c>
      <c r="F72" s="7">
        <v>62518</v>
      </c>
      <c r="G72" s="7">
        <v>0</v>
      </c>
      <c r="H72" s="7">
        <v>0</v>
      </c>
      <c r="I72" s="7">
        <v>62518</v>
      </c>
      <c r="J72" s="126">
        <f t="shared" ref="J72:J133" si="1">I72/D72</f>
        <v>1</v>
      </c>
    </row>
    <row r="73" spans="1:10" ht="25.5" x14ac:dyDescent="0.2">
      <c r="A73" s="5" t="s">
        <v>142</v>
      </c>
      <c r="B73" s="6" t="s">
        <v>143</v>
      </c>
      <c r="C73" s="7">
        <v>389248102</v>
      </c>
      <c r="D73" s="7">
        <v>545481327</v>
      </c>
      <c r="E73" s="7">
        <v>0</v>
      </c>
      <c r="F73" s="7">
        <v>372691777</v>
      </c>
      <c r="G73" s="7">
        <v>147836000</v>
      </c>
      <c r="H73" s="7">
        <v>0</v>
      </c>
      <c r="I73" s="7">
        <v>372691777</v>
      </c>
      <c r="J73" s="126">
        <f t="shared" si="1"/>
        <v>0.68323471135062341</v>
      </c>
    </row>
    <row r="74" spans="1:10" ht="27" customHeight="1" x14ac:dyDescent="0.2">
      <c r="A74" s="178" t="s">
        <v>243</v>
      </c>
      <c r="B74" s="179"/>
      <c r="C74" s="179"/>
      <c r="D74" s="179"/>
      <c r="E74" s="179"/>
      <c r="F74" s="179"/>
      <c r="G74" s="179"/>
      <c r="H74" s="179"/>
      <c r="I74" s="179"/>
      <c r="J74" s="124"/>
    </row>
    <row r="75" spans="1:10" ht="37.5" customHeight="1" x14ac:dyDescent="0.2">
      <c r="A75" s="1"/>
      <c r="B75" s="1" t="s">
        <v>0</v>
      </c>
      <c r="C75" s="1" t="s">
        <v>1</v>
      </c>
      <c r="D75" s="1" t="s">
        <v>2</v>
      </c>
      <c r="E75" s="1" t="s">
        <v>3</v>
      </c>
      <c r="F75" s="1" t="s">
        <v>4</v>
      </c>
      <c r="G75" s="1" t="s">
        <v>5</v>
      </c>
      <c r="H75" s="1" t="s">
        <v>6</v>
      </c>
      <c r="I75" s="1" t="s">
        <v>7</v>
      </c>
      <c r="J75" s="1" t="s">
        <v>403</v>
      </c>
    </row>
    <row r="76" spans="1:10" ht="15.75" x14ac:dyDescent="0.2">
      <c r="A76" s="1">
        <v>1</v>
      </c>
      <c r="B76" s="1">
        <v>2</v>
      </c>
      <c r="C76" s="1">
        <v>3</v>
      </c>
      <c r="D76" s="1">
        <v>4</v>
      </c>
      <c r="E76" s="1">
        <v>6</v>
      </c>
      <c r="F76" s="1">
        <v>7</v>
      </c>
      <c r="G76" s="1">
        <v>8</v>
      </c>
      <c r="H76" s="1">
        <v>9</v>
      </c>
      <c r="I76" s="1">
        <v>5</v>
      </c>
      <c r="J76" s="126"/>
    </row>
    <row r="77" spans="1:10" ht="25.5" x14ac:dyDescent="0.2">
      <c r="A77" s="2" t="s">
        <v>32</v>
      </c>
      <c r="B77" s="3" t="s">
        <v>144</v>
      </c>
      <c r="C77" s="4">
        <v>0</v>
      </c>
      <c r="D77" s="4">
        <v>7151439</v>
      </c>
      <c r="E77" s="4">
        <v>0</v>
      </c>
      <c r="F77" s="4">
        <v>7151439</v>
      </c>
      <c r="G77" s="4">
        <v>0</v>
      </c>
      <c r="H77" s="4">
        <v>7089432</v>
      </c>
      <c r="I77" s="4">
        <v>7151439</v>
      </c>
      <c r="J77" s="126">
        <f t="shared" si="1"/>
        <v>1</v>
      </c>
    </row>
    <row r="78" spans="1:10" x14ac:dyDescent="0.2">
      <c r="A78" s="2" t="s">
        <v>34</v>
      </c>
      <c r="B78" s="3" t="s">
        <v>145</v>
      </c>
      <c r="C78" s="4">
        <v>68817000</v>
      </c>
      <c r="D78" s="4">
        <v>67531920</v>
      </c>
      <c r="E78" s="4">
        <v>0</v>
      </c>
      <c r="F78" s="4">
        <v>67531920</v>
      </c>
      <c r="G78" s="4">
        <v>0</v>
      </c>
      <c r="H78" s="4">
        <v>0</v>
      </c>
      <c r="I78" s="4">
        <v>67531920</v>
      </c>
      <c r="J78" s="126">
        <f t="shared" si="1"/>
        <v>1</v>
      </c>
    </row>
    <row r="79" spans="1:10" x14ac:dyDescent="0.2">
      <c r="A79" s="2" t="s">
        <v>42</v>
      </c>
      <c r="B79" s="3" t="s">
        <v>146</v>
      </c>
      <c r="C79" s="4">
        <v>68817000</v>
      </c>
      <c r="D79" s="4">
        <v>74683359</v>
      </c>
      <c r="E79" s="4">
        <v>0</v>
      </c>
      <c r="F79" s="4">
        <v>74683359</v>
      </c>
      <c r="G79" s="4">
        <v>0</v>
      </c>
      <c r="H79" s="4">
        <v>7089432</v>
      </c>
      <c r="I79" s="4">
        <v>74683359</v>
      </c>
      <c r="J79" s="126">
        <f t="shared" si="1"/>
        <v>1</v>
      </c>
    </row>
    <row r="80" spans="1:10" x14ac:dyDescent="0.2">
      <c r="A80" s="5" t="s">
        <v>60</v>
      </c>
      <c r="B80" s="6" t="s">
        <v>147</v>
      </c>
      <c r="C80" s="7">
        <v>68817000</v>
      </c>
      <c r="D80" s="7">
        <v>74683359</v>
      </c>
      <c r="E80" s="7">
        <v>0</v>
      </c>
      <c r="F80" s="7">
        <v>74683359</v>
      </c>
      <c r="G80" s="7">
        <v>0</v>
      </c>
      <c r="H80" s="7">
        <v>7089432</v>
      </c>
      <c r="I80" s="7">
        <v>74683359</v>
      </c>
      <c r="J80" s="126">
        <f t="shared" si="1"/>
        <v>1</v>
      </c>
    </row>
    <row r="81" spans="1:10" ht="24" customHeight="1" x14ac:dyDescent="0.2">
      <c r="A81" s="180" t="s">
        <v>244</v>
      </c>
      <c r="B81" s="180"/>
      <c r="C81" s="180"/>
      <c r="D81" s="180"/>
      <c r="E81" s="180"/>
      <c r="F81" s="180"/>
      <c r="G81" s="180"/>
      <c r="H81" s="180"/>
      <c r="I81" s="180"/>
      <c r="J81" s="124"/>
    </row>
    <row r="82" spans="1:10" ht="26.25" customHeight="1" x14ac:dyDescent="0.2">
      <c r="A82" s="8"/>
      <c r="B82" s="8" t="s">
        <v>0</v>
      </c>
      <c r="C82" s="8" t="s">
        <v>1</v>
      </c>
      <c r="D82" s="9" t="s">
        <v>2</v>
      </c>
      <c r="E82" s="9" t="s">
        <v>148</v>
      </c>
      <c r="F82" s="9" t="s">
        <v>149</v>
      </c>
      <c r="G82" s="9" t="s">
        <v>7</v>
      </c>
      <c r="H82" s="9"/>
      <c r="I82" s="10" t="s">
        <v>7</v>
      </c>
      <c r="J82" s="1" t="s">
        <v>403</v>
      </c>
    </row>
    <row r="83" spans="1:10" ht="15" x14ac:dyDescent="0.2">
      <c r="A83" s="11">
        <v>1</v>
      </c>
      <c r="B83" s="11">
        <v>2</v>
      </c>
      <c r="C83" s="11">
        <v>3</v>
      </c>
      <c r="D83" s="12">
        <v>4</v>
      </c>
      <c r="E83" s="12">
        <v>6</v>
      </c>
      <c r="F83" s="12">
        <v>7</v>
      </c>
      <c r="G83" s="12">
        <v>8</v>
      </c>
      <c r="H83" s="12"/>
      <c r="I83" s="13">
        <v>5</v>
      </c>
      <c r="J83" s="127">
        <v>6</v>
      </c>
    </row>
    <row r="84" spans="1:10" x14ac:dyDescent="0.2">
      <c r="A84" s="11" t="s">
        <v>8</v>
      </c>
      <c r="B84" s="11" t="s">
        <v>150</v>
      </c>
      <c r="C84" s="11">
        <v>79957252</v>
      </c>
      <c r="D84" s="11">
        <v>79957252</v>
      </c>
      <c r="E84" s="11">
        <v>79957252</v>
      </c>
      <c r="F84" s="11">
        <v>0</v>
      </c>
      <c r="G84" s="11">
        <v>79957252</v>
      </c>
      <c r="H84" s="11"/>
      <c r="I84" s="4">
        <v>79957252</v>
      </c>
      <c r="J84" s="126">
        <f t="shared" si="1"/>
        <v>1</v>
      </c>
    </row>
    <row r="85" spans="1:10" x14ac:dyDescent="0.2">
      <c r="A85" s="11" t="s">
        <v>10</v>
      </c>
      <c r="B85" s="11" t="s">
        <v>151</v>
      </c>
      <c r="C85" s="11">
        <v>91306134</v>
      </c>
      <c r="D85" s="11">
        <v>90183767</v>
      </c>
      <c r="E85" s="11">
        <v>90183767</v>
      </c>
      <c r="F85" s="11">
        <v>0</v>
      </c>
      <c r="G85" s="11">
        <v>90183767</v>
      </c>
      <c r="H85" s="11"/>
      <c r="I85" s="4">
        <v>90183767</v>
      </c>
      <c r="J85" s="126">
        <f t="shared" si="1"/>
        <v>1</v>
      </c>
    </row>
    <row r="86" spans="1:10" x14ac:dyDescent="0.2">
      <c r="A86" s="11" t="s">
        <v>152</v>
      </c>
      <c r="B86" s="11" t="s">
        <v>153</v>
      </c>
      <c r="C86" s="11">
        <v>36283876</v>
      </c>
      <c r="D86" s="11">
        <v>34576954</v>
      </c>
      <c r="E86" s="11">
        <v>34576954</v>
      </c>
      <c r="F86" s="11">
        <v>0</v>
      </c>
      <c r="G86" s="11">
        <v>34576954</v>
      </c>
      <c r="H86" s="11"/>
      <c r="I86" s="4">
        <v>34576954</v>
      </c>
      <c r="J86" s="126">
        <f t="shared" si="1"/>
        <v>1</v>
      </c>
    </row>
    <row r="87" spans="1:10" x14ac:dyDescent="0.2">
      <c r="A87" s="11" t="s">
        <v>154</v>
      </c>
      <c r="B87" s="11" t="s">
        <v>155</v>
      </c>
      <c r="C87" s="11">
        <v>3768840</v>
      </c>
      <c r="D87" s="11">
        <v>3768840</v>
      </c>
      <c r="E87" s="11">
        <v>3768840</v>
      </c>
      <c r="F87" s="11">
        <v>0</v>
      </c>
      <c r="G87" s="11">
        <v>3768840</v>
      </c>
      <c r="H87" s="11"/>
      <c r="I87" s="4">
        <v>3768840</v>
      </c>
      <c r="J87" s="126">
        <f t="shared" si="1"/>
        <v>1</v>
      </c>
    </row>
    <row r="88" spans="1:10" x14ac:dyDescent="0.2">
      <c r="A88" s="11" t="s">
        <v>156</v>
      </c>
      <c r="B88" s="11" t="s">
        <v>157</v>
      </c>
      <c r="C88" s="11">
        <v>0</v>
      </c>
      <c r="D88" s="11">
        <v>2696282</v>
      </c>
      <c r="E88" s="11">
        <v>2696282</v>
      </c>
      <c r="F88" s="11">
        <v>0</v>
      </c>
      <c r="G88" s="11">
        <v>2696282</v>
      </c>
      <c r="H88" s="11"/>
      <c r="I88" s="4">
        <v>2696282</v>
      </c>
      <c r="J88" s="126">
        <f t="shared" si="1"/>
        <v>1</v>
      </c>
    </row>
    <row r="89" spans="1:10" x14ac:dyDescent="0.2">
      <c r="A89" s="11" t="s">
        <v>12</v>
      </c>
      <c r="B89" s="11" t="s">
        <v>158</v>
      </c>
      <c r="C89" s="11">
        <v>211316102</v>
      </c>
      <c r="D89" s="11">
        <v>211183095</v>
      </c>
      <c r="E89" s="11">
        <v>211183095</v>
      </c>
      <c r="F89" s="11">
        <v>0</v>
      </c>
      <c r="G89" s="11">
        <v>211183095</v>
      </c>
      <c r="H89" s="11"/>
      <c r="I89" s="4">
        <v>211183095</v>
      </c>
      <c r="J89" s="126">
        <f t="shared" si="1"/>
        <v>1</v>
      </c>
    </row>
    <row r="90" spans="1:10" x14ac:dyDescent="0.2">
      <c r="A90" s="11" t="s">
        <v>46</v>
      </c>
      <c r="B90" s="11" t="s">
        <v>159</v>
      </c>
      <c r="C90" s="11">
        <v>16079000</v>
      </c>
      <c r="D90" s="11">
        <v>22612239</v>
      </c>
      <c r="E90" s="11">
        <v>22611664</v>
      </c>
      <c r="F90" s="11">
        <v>0</v>
      </c>
      <c r="G90" s="11">
        <v>22611664</v>
      </c>
      <c r="H90" s="11"/>
      <c r="I90" s="4">
        <v>22611664</v>
      </c>
      <c r="J90" s="126">
        <f t="shared" si="1"/>
        <v>0.99997457129300638</v>
      </c>
    </row>
    <row r="91" spans="1:10" x14ac:dyDescent="0.2">
      <c r="A91" s="11" t="s">
        <v>50</v>
      </c>
      <c r="B91" s="11" t="s">
        <v>160</v>
      </c>
      <c r="C91" s="11">
        <v>0</v>
      </c>
      <c r="D91" s="11">
        <v>0</v>
      </c>
      <c r="E91" s="11">
        <v>0</v>
      </c>
      <c r="F91" s="11">
        <v>0</v>
      </c>
      <c r="G91" s="11">
        <v>526329</v>
      </c>
      <c r="H91" s="11"/>
      <c r="I91" s="4">
        <v>526329</v>
      </c>
      <c r="J91" s="126"/>
    </row>
    <row r="92" spans="1:10" x14ac:dyDescent="0.2">
      <c r="A92" s="11" t="s">
        <v>56</v>
      </c>
      <c r="B92" s="11" t="s">
        <v>161</v>
      </c>
      <c r="C92" s="11">
        <v>0</v>
      </c>
      <c r="D92" s="11">
        <v>0</v>
      </c>
      <c r="E92" s="11">
        <v>0</v>
      </c>
      <c r="F92" s="11">
        <v>0</v>
      </c>
      <c r="G92" s="11">
        <v>5271300</v>
      </c>
      <c r="H92" s="11"/>
      <c r="I92" s="4">
        <v>5271300</v>
      </c>
      <c r="J92" s="126"/>
    </row>
    <row r="93" spans="1:10" x14ac:dyDescent="0.2">
      <c r="A93" s="11" t="s">
        <v>58</v>
      </c>
      <c r="B93" s="11" t="s">
        <v>162</v>
      </c>
      <c r="C93" s="11">
        <v>0</v>
      </c>
      <c r="D93" s="11">
        <v>0</v>
      </c>
      <c r="E93" s="11">
        <v>0</v>
      </c>
      <c r="F93" s="11">
        <v>0</v>
      </c>
      <c r="G93" s="11">
        <v>11522622</v>
      </c>
      <c r="H93" s="11"/>
      <c r="I93" s="4">
        <v>11522622</v>
      </c>
      <c r="J93" s="126"/>
    </row>
    <row r="94" spans="1:10" x14ac:dyDescent="0.2">
      <c r="A94" s="11" t="s">
        <v>60</v>
      </c>
      <c r="B94" s="11" t="s">
        <v>163</v>
      </c>
      <c r="C94" s="11">
        <v>0</v>
      </c>
      <c r="D94" s="11">
        <v>0</v>
      </c>
      <c r="E94" s="11">
        <v>0</v>
      </c>
      <c r="F94" s="11">
        <v>0</v>
      </c>
      <c r="G94" s="11">
        <v>5068413</v>
      </c>
      <c r="H94" s="11"/>
      <c r="I94" s="4">
        <v>5068413</v>
      </c>
      <c r="J94" s="126"/>
    </row>
    <row r="95" spans="1:10" x14ac:dyDescent="0.2">
      <c r="A95" s="11" t="s">
        <v>62</v>
      </c>
      <c r="B95" s="11" t="s">
        <v>164</v>
      </c>
      <c r="C95" s="11">
        <v>0</v>
      </c>
      <c r="D95" s="11">
        <v>0</v>
      </c>
      <c r="E95" s="11">
        <v>0</v>
      </c>
      <c r="F95" s="11">
        <v>0</v>
      </c>
      <c r="G95" s="11">
        <v>223000</v>
      </c>
      <c r="H95" s="11"/>
      <c r="I95" s="4">
        <v>223000</v>
      </c>
      <c r="J95" s="126"/>
    </row>
    <row r="96" spans="1:10" x14ac:dyDescent="0.2">
      <c r="A96" s="11" t="s">
        <v>165</v>
      </c>
      <c r="B96" s="11" t="s">
        <v>166</v>
      </c>
      <c r="C96" s="11">
        <v>227395102</v>
      </c>
      <c r="D96" s="11">
        <v>233795334</v>
      </c>
      <c r="E96" s="11">
        <v>233794759</v>
      </c>
      <c r="F96" s="11">
        <v>0</v>
      </c>
      <c r="G96" s="11">
        <v>233794759</v>
      </c>
      <c r="H96" s="11"/>
      <c r="I96" s="7">
        <v>233794759</v>
      </c>
      <c r="J96" s="126">
        <f t="shared" si="1"/>
        <v>0.99999754058393653</v>
      </c>
    </row>
    <row r="97" spans="1:10" x14ac:dyDescent="0.2">
      <c r="A97" s="11" t="s">
        <v>66</v>
      </c>
      <c r="B97" s="11" t="s">
        <v>167</v>
      </c>
      <c r="C97" s="11">
        <v>22680000</v>
      </c>
      <c r="D97" s="11">
        <v>129411706</v>
      </c>
      <c r="E97" s="11">
        <v>129411706</v>
      </c>
      <c r="F97" s="11">
        <v>0</v>
      </c>
      <c r="G97" s="11">
        <v>129411706</v>
      </c>
      <c r="H97" s="11"/>
      <c r="I97" s="4">
        <v>129411706</v>
      </c>
      <c r="J97" s="126">
        <f t="shared" si="1"/>
        <v>1</v>
      </c>
    </row>
    <row r="98" spans="1:10" x14ac:dyDescent="0.2">
      <c r="A98" s="11" t="s">
        <v>168</v>
      </c>
      <c r="B98" s="11" t="s">
        <v>169</v>
      </c>
      <c r="C98" s="11">
        <v>0</v>
      </c>
      <c r="D98" s="11">
        <v>7064000</v>
      </c>
      <c r="E98" s="11">
        <v>7064000</v>
      </c>
      <c r="F98" s="11">
        <v>0</v>
      </c>
      <c r="G98" s="11">
        <v>7064000</v>
      </c>
      <c r="H98" s="11"/>
      <c r="I98" s="4">
        <v>7064000</v>
      </c>
      <c r="J98" s="126">
        <f t="shared" si="1"/>
        <v>1</v>
      </c>
    </row>
    <row r="99" spans="1:10" x14ac:dyDescent="0.2">
      <c r="A99" s="11" t="s">
        <v>170</v>
      </c>
      <c r="B99" s="11" t="s">
        <v>171</v>
      </c>
      <c r="C99" s="11">
        <v>0</v>
      </c>
      <c r="D99" s="11">
        <v>0</v>
      </c>
      <c r="E99" s="11">
        <v>0</v>
      </c>
      <c r="F99" s="11">
        <v>0</v>
      </c>
      <c r="G99" s="11">
        <v>7064000</v>
      </c>
      <c r="H99" s="11"/>
      <c r="I99" s="4">
        <v>7064000</v>
      </c>
      <c r="J99" s="126"/>
    </row>
    <row r="100" spans="1:10" x14ac:dyDescent="0.2">
      <c r="A100" s="11" t="s">
        <v>172</v>
      </c>
      <c r="B100" s="11" t="s">
        <v>173</v>
      </c>
      <c r="C100" s="11">
        <v>22680000</v>
      </c>
      <c r="D100" s="11">
        <v>136475706</v>
      </c>
      <c r="E100" s="11">
        <v>136475706</v>
      </c>
      <c r="F100" s="11">
        <v>0</v>
      </c>
      <c r="G100" s="11">
        <v>136475706</v>
      </c>
      <c r="H100" s="11"/>
      <c r="I100" s="7">
        <v>136475706</v>
      </c>
      <c r="J100" s="126">
        <f t="shared" si="1"/>
        <v>1</v>
      </c>
    </row>
    <row r="101" spans="1:10" x14ac:dyDescent="0.2">
      <c r="A101" s="11" t="s">
        <v>174</v>
      </c>
      <c r="B101" s="11" t="s">
        <v>175</v>
      </c>
      <c r="C101" s="11">
        <v>0</v>
      </c>
      <c r="D101" s="11">
        <v>16455</v>
      </c>
      <c r="E101" s="11">
        <v>16455</v>
      </c>
      <c r="F101" s="11">
        <v>0</v>
      </c>
      <c r="G101" s="11">
        <v>16455</v>
      </c>
      <c r="H101" s="11"/>
      <c r="I101" s="4">
        <v>16455</v>
      </c>
      <c r="J101" s="126">
        <f t="shared" si="1"/>
        <v>1</v>
      </c>
    </row>
    <row r="102" spans="1:10" x14ac:dyDescent="0.2">
      <c r="A102" s="11" t="s">
        <v>176</v>
      </c>
      <c r="B102" s="11" t="s">
        <v>177</v>
      </c>
      <c r="C102" s="11">
        <v>0</v>
      </c>
      <c r="D102" s="11">
        <v>0</v>
      </c>
      <c r="E102" s="11">
        <v>0</v>
      </c>
      <c r="F102" s="11">
        <v>0</v>
      </c>
      <c r="G102" s="11">
        <v>16455</v>
      </c>
      <c r="H102" s="11"/>
      <c r="I102" s="4">
        <v>16455</v>
      </c>
      <c r="J102" s="126"/>
    </row>
    <row r="103" spans="1:10" x14ac:dyDescent="0.2">
      <c r="A103" s="11" t="s">
        <v>178</v>
      </c>
      <c r="B103" s="11" t="s">
        <v>179</v>
      </c>
      <c r="C103" s="11">
        <v>0</v>
      </c>
      <c r="D103" s="11">
        <v>16455</v>
      </c>
      <c r="E103" s="11">
        <v>16455</v>
      </c>
      <c r="F103" s="11">
        <v>0</v>
      </c>
      <c r="G103" s="11">
        <v>16455</v>
      </c>
      <c r="H103" s="11"/>
      <c r="I103" s="4">
        <v>16455</v>
      </c>
      <c r="J103" s="126">
        <f t="shared" si="1"/>
        <v>1</v>
      </c>
    </row>
    <row r="104" spans="1:10" x14ac:dyDescent="0.2">
      <c r="A104" s="11" t="s">
        <v>90</v>
      </c>
      <c r="B104" s="11" t="s">
        <v>180</v>
      </c>
      <c r="C104" s="11">
        <v>40000000</v>
      </c>
      <c r="D104" s="11">
        <v>60148259</v>
      </c>
      <c r="E104" s="11">
        <v>60148259</v>
      </c>
      <c r="F104" s="11">
        <v>0</v>
      </c>
      <c r="G104" s="11">
        <v>55555083</v>
      </c>
      <c r="H104" s="11"/>
      <c r="I104" s="4">
        <v>55555083</v>
      </c>
      <c r="J104" s="126">
        <f t="shared" si="1"/>
        <v>0.92363576142744219</v>
      </c>
    </row>
    <row r="105" spans="1:10" x14ac:dyDescent="0.2">
      <c r="A105" s="11" t="s">
        <v>98</v>
      </c>
      <c r="B105" s="11" t="s">
        <v>181</v>
      </c>
      <c r="C105" s="11">
        <v>0</v>
      </c>
      <c r="D105" s="11">
        <v>0</v>
      </c>
      <c r="E105" s="11">
        <v>0</v>
      </c>
      <c r="F105" s="11">
        <v>0</v>
      </c>
      <c r="G105" s="11">
        <v>55555083</v>
      </c>
      <c r="H105" s="11"/>
      <c r="I105" s="4">
        <v>55555083</v>
      </c>
      <c r="J105" s="126"/>
    </row>
    <row r="106" spans="1:10" x14ac:dyDescent="0.2">
      <c r="A106" s="11" t="s">
        <v>182</v>
      </c>
      <c r="B106" s="11" t="s">
        <v>183</v>
      </c>
      <c r="C106" s="11">
        <v>7000000</v>
      </c>
      <c r="D106" s="11">
        <v>9974922</v>
      </c>
      <c r="E106" s="11">
        <v>10524922</v>
      </c>
      <c r="F106" s="11">
        <v>0</v>
      </c>
      <c r="G106" s="11">
        <v>9725410</v>
      </c>
      <c r="H106" s="11"/>
      <c r="I106" s="4">
        <v>9725410</v>
      </c>
      <c r="J106" s="126">
        <f t="shared" si="1"/>
        <v>0.97498607006651283</v>
      </c>
    </row>
    <row r="107" spans="1:10" x14ac:dyDescent="0.2">
      <c r="A107" s="11" t="s">
        <v>184</v>
      </c>
      <c r="B107" s="11" t="s">
        <v>185</v>
      </c>
      <c r="C107" s="11">
        <v>0</v>
      </c>
      <c r="D107" s="11">
        <v>0</v>
      </c>
      <c r="E107" s="11">
        <v>0</v>
      </c>
      <c r="F107" s="11">
        <v>0</v>
      </c>
      <c r="G107" s="11">
        <v>9725410</v>
      </c>
      <c r="H107" s="11"/>
      <c r="I107" s="4">
        <v>9725410</v>
      </c>
      <c r="J107" s="126"/>
    </row>
    <row r="108" spans="1:10" x14ac:dyDescent="0.2">
      <c r="A108" s="11" t="s">
        <v>186</v>
      </c>
      <c r="B108" s="11" t="s">
        <v>187</v>
      </c>
      <c r="C108" s="11">
        <v>47000000</v>
      </c>
      <c r="D108" s="11">
        <v>70123181</v>
      </c>
      <c r="E108" s="11">
        <v>70673181</v>
      </c>
      <c r="F108" s="11">
        <v>0</v>
      </c>
      <c r="G108" s="11">
        <v>65280493</v>
      </c>
      <c r="H108" s="11"/>
      <c r="I108" s="4">
        <v>65280493</v>
      </c>
      <c r="J108" s="126">
        <f t="shared" si="1"/>
        <v>0.93094026923849904</v>
      </c>
    </row>
    <row r="109" spans="1:10" x14ac:dyDescent="0.2">
      <c r="A109" s="11" t="s">
        <v>188</v>
      </c>
      <c r="B109" s="11" t="s">
        <v>189</v>
      </c>
      <c r="C109" s="11">
        <v>0</v>
      </c>
      <c r="D109" s="11">
        <v>1668771</v>
      </c>
      <c r="E109" s="11">
        <v>1674779</v>
      </c>
      <c r="F109" s="11">
        <v>0</v>
      </c>
      <c r="G109" s="11">
        <v>489487</v>
      </c>
      <c r="H109" s="11"/>
      <c r="I109" s="4">
        <v>489487</v>
      </c>
      <c r="J109" s="126">
        <f t="shared" si="1"/>
        <v>0.29332185182987958</v>
      </c>
    </row>
    <row r="110" spans="1:10" x14ac:dyDescent="0.2">
      <c r="A110" s="11" t="s">
        <v>190</v>
      </c>
      <c r="B110" s="11" t="s">
        <v>191</v>
      </c>
      <c r="C110" s="11">
        <v>0</v>
      </c>
      <c r="D110" s="11">
        <v>0</v>
      </c>
      <c r="E110" s="11">
        <v>0</v>
      </c>
      <c r="F110" s="11">
        <v>0</v>
      </c>
      <c r="G110" s="11">
        <v>139254</v>
      </c>
      <c r="H110" s="11"/>
      <c r="I110" s="4">
        <v>139254</v>
      </c>
      <c r="J110" s="126"/>
    </row>
    <row r="111" spans="1:10" x14ac:dyDescent="0.2">
      <c r="A111" s="11" t="s">
        <v>192</v>
      </c>
      <c r="B111" s="11" t="s">
        <v>193</v>
      </c>
      <c r="C111" s="11">
        <v>47000000</v>
      </c>
      <c r="D111" s="11">
        <v>71808407</v>
      </c>
      <c r="E111" s="11">
        <v>72364415</v>
      </c>
      <c r="F111" s="11">
        <v>0</v>
      </c>
      <c r="G111" s="11">
        <v>65786435</v>
      </c>
      <c r="H111" s="11"/>
      <c r="I111" s="7">
        <v>65786435</v>
      </c>
      <c r="J111" s="126">
        <f t="shared" si="1"/>
        <v>0.91613834296588703</v>
      </c>
    </row>
    <row r="112" spans="1:10" x14ac:dyDescent="0.2">
      <c r="A112" s="11" t="s">
        <v>194</v>
      </c>
      <c r="B112" s="11" t="s">
        <v>195</v>
      </c>
      <c r="C112" s="11">
        <v>20164000</v>
      </c>
      <c r="D112" s="11">
        <v>26243626</v>
      </c>
      <c r="E112" s="11">
        <v>28287864</v>
      </c>
      <c r="F112" s="11">
        <v>0</v>
      </c>
      <c r="G112" s="11">
        <v>26113050</v>
      </c>
      <c r="H112" s="11"/>
      <c r="I112" s="4">
        <v>26113050</v>
      </c>
      <c r="J112" s="126">
        <f t="shared" si="1"/>
        <v>0.99502446803654343</v>
      </c>
    </row>
    <row r="113" spans="1:10" x14ac:dyDescent="0.2">
      <c r="A113" s="11" t="s">
        <v>196</v>
      </c>
      <c r="B113" s="11" t="s">
        <v>197</v>
      </c>
      <c r="C113" s="11">
        <v>0</v>
      </c>
      <c r="D113" s="11">
        <v>0</v>
      </c>
      <c r="E113" s="11">
        <v>0</v>
      </c>
      <c r="F113" s="11">
        <v>0</v>
      </c>
      <c r="G113" s="11">
        <v>23638897</v>
      </c>
      <c r="H113" s="11"/>
      <c r="I113" s="4">
        <v>23638897</v>
      </c>
      <c r="J113" s="126"/>
    </row>
    <row r="114" spans="1:10" x14ac:dyDescent="0.2">
      <c r="A114" s="11" t="s">
        <v>114</v>
      </c>
      <c r="B114" s="11" t="s">
        <v>198</v>
      </c>
      <c r="C114" s="11">
        <v>3010000</v>
      </c>
      <c r="D114" s="11">
        <v>2797569</v>
      </c>
      <c r="E114" s="11">
        <v>2797370</v>
      </c>
      <c r="F114" s="11">
        <v>0</v>
      </c>
      <c r="G114" s="11">
        <v>2794582</v>
      </c>
      <c r="H114" s="11"/>
      <c r="I114" s="4">
        <v>2794582</v>
      </c>
      <c r="J114" s="126">
        <f t="shared" si="1"/>
        <v>0.99893228728227967</v>
      </c>
    </row>
    <row r="115" spans="1:10" x14ac:dyDescent="0.2">
      <c r="A115" s="11" t="s">
        <v>116</v>
      </c>
      <c r="B115" s="11" t="s">
        <v>199</v>
      </c>
      <c r="C115" s="11">
        <v>0</v>
      </c>
      <c r="D115" s="11">
        <v>0</v>
      </c>
      <c r="E115" s="11">
        <v>0</v>
      </c>
      <c r="F115" s="11">
        <v>0</v>
      </c>
      <c r="G115" s="11">
        <v>2401091</v>
      </c>
      <c r="H115" s="11"/>
      <c r="I115" s="4">
        <v>2401091</v>
      </c>
      <c r="J115" s="126"/>
    </row>
    <row r="116" spans="1:10" x14ac:dyDescent="0.2">
      <c r="A116" s="11" t="s">
        <v>200</v>
      </c>
      <c r="B116" s="11" t="s">
        <v>201</v>
      </c>
      <c r="C116" s="11">
        <v>1110000</v>
      </c>
      <c r="D116" s="11">
        <v>8000</v>
      </c>
      <c r="E116" s="11">
        <v>7087</v>
      </c>
      <c r="F116" s="11">
        <v>0</v>
      </c>
      <c r="G116" s="11">
        <v>7087</v>
      </c>
      <c r="H116" s="11"/>
      <c r="I116" s="4">
        <v>7087</v>
      </c>
      <c r="J116" s="126">
        <f t="shared" si="1"/>
        <v>0.88587499999999997</v>
      </c>
    </row>
    <row r="117" spans="1:10" x14ac:dyDescent="0.2">
      <c r="A117" s="11" t="s">
        <v>124</v>
      </c>
      <c r="B117" s="11" t="s">
        <v>202</v>
      </c>
      <c r="C117" s="11">
        <v>4000000</v>
      </c>
      <c r="D117" s="11">
        <v>5796994</v>
      </c>
      <c r="E117" s="11">
        <v>5934187</v>
      </c>
      <c r="F117" s="11">
        <v>0</v>
      </c>
      <c r="G117" s="11">
        <v>5796994</v>
      </c>
      <c r="H117" s="11"/>
      <c r="I117" s="4">
        <v>5796994</v>
      </c>
      <c r="J117" s="126">
        <f t="shared" si="1"/>
        <v>1</v>
      </c>
    </row>
    <row r="118" spans="1:10" x14ac:dyDescent="0.2">
      <c r="A118" s="11" t="s">
        <v>126</v>
      </c>
      <c r="B118" s="11" t="s">
        <v>203</v>
      </c>
      <c r="C118" s="11">
        <v>2322000</v>
      </c>
      <c r="D118" s="11">
        <v>2486232</v>
      </c>
      <c r="E118" s="11">
        <v>2521635</v>
      </c>
      <c r="F118" s="11">
        <v>0</v>
      </c>
      <c r="G118" s="11">
        <v>2478470</v>
      </c>
      <c r="H118" s="11"/>
      <c r="I118" s="4">
        <v>2478470</v>
      </c>
      <c r="J118" s="126">
        <f t="shared" si="1"/>
        <v>0.99687800655771464</v>
      </c>
    </row>
    <row r="119" spans="1:10" x14ac:dyDescent="0.2">
      <c r="A119" s="11" t="s">
        <v>128</v>
      </c>
      <c r="B119" s="11" t="s">
        <v>204</v>
      </c>
      <c r="C119" s="11">
        <v>0</v>
      </c>
      <c r="D119" s="11">
        <v>4740000</v>
      </c>
      <c r="E119" s="11">
        <v>4740000</v>
      </c>
      <c r="F119" s="11">
        <v>0</v>
      </c>
      <c r="G119" s="11">
        <v>4740000</v>
      </c>
      <c r="H119" s="11"/>
      <c r="I119" s="4">
        <v>4740000</v>
      </c>
      <c r="J119" s="126">
        <f t="shared" si="1"/>
        <v>1</v>
      </c>
    </row>
    <row r="120" spans="1:10" x14ac:dyDescent="0.2">
      <c r="A120" s="11" t="s">
        <v>134</v>
      </c>
      <c r="B120" s="11" t="s">
        <v>205</v>
      </c>
      <c r="C120" s="11">
        <v>0</v>
      </c>
      <c r="D120" s="11">
        <v>584393</v>
      </c>
      <c r="E120" s="11">
        <v>584393</v>
      </c>
      <c r="F120" s="11">
        <v>0</v>
      </c>
      <c r="G120" s="11">
        <v>584393</v>
      </c>
      <c r="H120" s="11"/>
      <c r="I120" s="4">
        <v>584393</v>
      </c>
      <c r="J120" s="126">
        <f t="shared" si="1"/>
        <v>1</v>
      </c>
    </row>
    <row r="121" spans="1:10" x14ac:dyDescent="0.2">
      <c r="A121" s="11" t="s">
        <v>206</v>
      </c>
      <c r="B121" s="11" t="s">
        <v>207</v>
      </c>
      <c r="C121" s="11">
        <v>0</v>
      </c>
      <c r="D121" s="11">
        <v>584393</v>
      </c>
      <c r="E121" s="11">
        <v>584393</v>
      </c>
      <c r="F121" s="11">
        <v>0</v>
      </c>
      <c r="G121" s="11">
        <v>584393</v>
      </c>
      <c r="H121" s="11"/>
      <c r="I121" s="4">
        <v>584393</v>
      </c>
      <c r="J121" s="126">
        <f t="shared" si="1"/>
        <v>1</v>
      </c>
    </row>
    <row r="122" spans="1:10" x14ac:dyDescent="0.2">
      <c r="A122" s="11" t="s">
        <v>208</v>
      </c>
      <c r="B122" s="11" t="s">
        <v>209</v>
      </c>
      <c r="C122" s="11">
        <v>0</v>
      </c>
      <c r="D122" s="11">
        <v>3226148</v>
      </c>
      <c r="E122" s="11">
        <v>6409806</v>
      </c>
      <c r="F122" s="11">
        <v>0</v>
      </c>
      <c r="G122" s="11">
        <v>3202578</v>
      </c>
      <c r="H122" s="11"/>
      <c r="I122" s="4">
        <v>3202578</v>
      </c>
      <c r="J122" s="126">
        <f t="shared" si="1"/>
        <v>0.99269407355149242</v>
      </c>
    </row>
    <row r="123" spans="1:10" x14ac:dyDescent="0.2">
      <c r="A123" s="11" t="s">
        <v>210</v>
      </c>
      <c r="B123" s="11" t="s">
        <v>211</v>
      </c>
      <c r="C123" s="11">
        <v>30606000</v>
      </c>
      <c r="D123" s="11">
        <v>45882962</v>
      </c>
      <c r="E123" s="11">
        <v>51282342</v>
      </c>
      <c r="F123" s="11">
        <v>0</v>
      </c>
      <c r="G123" s="11">
        <v>45717154</v>
      </c>
      <c r="H123" s="11"/>
      <c r="I123" s="7">
        <v>45717154</v>
      </c>
      <c r="J123" s="126">
        <f t="shared" si="1"/>
        <v>0.99638628386720107</v>
      </c>
    </row>
    <row r="124" spans="1:10" x14ac:dyDescent="0.2">
      <c r="A124" s="11" t="s">
        <v>212</v>
      </c>
      <c r="B124" s="11" t="s">
        <v>213</v>
      </c>
      <c r="C124" s="11">
        <v>18718000</v>
      </c>
      <c r="D124" s="11">
        <v>4547762</v>
      </c>
      <c r="E124" s="11">
        <v>4547762</v>
      </c>
      <c r="F124" s="11">
        <v>0</v>
      </c>
      <c r="G124" s="11">
        <v>4547762</v>
      </c>
      <c r="H124" s="11"/>
      <c r="I124" s="4">
        <v>4547762</v>
      </c>
      <c r="J124" s="126">
        <f t="shared" si="1"/>
        <v>1</v>
      </c>
    </row>
    <row r="125" spans="1:10" x14ac:dyDescent="0.2">
      <c r="A125" s="11" t="s">
        <v>214</v>
      </c>
      <c r="B125" s="11" t="s">
        <v>215</v>
      </c>
      <c r="C125" s="11">
        <v>18718000</v>
      </c>
      <c r="D125" s="11">
        <v>4547762</v>
      </c>
      <c r="E125" s="11">
        <v>4547762</v>
      </c>
      <c r="F125" s="11">
        <v>0</v>
      </c>
      <c r="G125" s="11">
        <v>4547762</v>
      </c>
      <c r="H125" s="11"/>
      <c r="I125" s="7">
        <v>4547762</v>
      </c>
      <c r="J125" s="126">
        <f t="shared" si="1"/>
        <v>1</v>
      </c>
    </row>
    <row r="126" spans="1:10" x14ac:dyDescent="0.2">
      <c r="A126" s="11" t="s">
        <v>216</v>
      </c>
      <c r="B126" s="11" t="s">
        <v>217</v>
      </c>
      <c r="C126" s="11">
        <v>0</v>
      </c>
      <c r="D126" s="11">
        <v>0</v>
      </c>
      <c r="E126" s="11">
        <v>45000</v>
      </c>
      <c r="F126" s="11">
        <v>0</v>
      </c>
      <c r="G126" s="11">
        <v>0</v>
      </c>
      <c r="H126" s="11"/>
      <c r="I126" s="4">
        <v>0</v>
      </c>
      <c r="J126" s="126"/>
    </row>
    <row r="127" spans="1:10" x14ac:dyDescent="0.2">
      <c r="A127" s="11" t="s">
        <v>218</v>
      </c>
      <c r="B127" s="11" t="s">
        <v>219</v>
      </c>
      <c r="C127" s="11">
        <v>0</v>
      </c>
      <c r="D127" s="11">
        <v>0</v>
      </c>
      <c r="E127" s="11">
        <v>45000</v>
      </c>
      <c r="F127" s="11">
        <v>0</v>
      </c>
      <c r="G127" s="11">
        <v>0</v>
      </c>
      <c r="H127" s="11"/>
      <c r="I127" s="7">
        <v>0</v>
      </c>
      <c r="J127" s="126"/>
    </row>
    <row r="128" spans="1:10" x14ac:dyDescent="0.2">
      <c r="A128" s="11" t="s">
        <v>220</v>
      </c>
      <c r="B128" s="11" t="s">
        <v>221</v>
      </c>
      <c r="C128" s="11">
        <v>1775000</v>
      </c>
      <c r="D128" s="11">
        <v>1775000</v>
      </c>
      <c r="E128" s="11">
        <v>14756348</v>
      </c>
      <c r="F128" s="11">
        <v>0</v>
      </c>
      <c r="G128" s="11">
        <v>811660</v>
      </c>
      <c r="H128" s="11"/>
      <c r="I128" s="4">
        <v>811660</v>
      </c>
      <c r="J128" s="126">
        <f t="shared" si="1"/>
        <v>0.45727323943661974</v>
      </c>
    </row>
    <row r="129" spans="1:10" x14ac:dyDescent="0.2">
      <c r="A129" s="11" t="s">
        <v>222</v>
      </c>
      <c r="B129" s="11" t="s">
        <v>223</v>
      </c>
      <c r="C129" s="11">
        <v>0</v>
      </c>
      <c r="D129" s="11">
        <v>0</v>
      </c>
      <c r="E129" s="11">
        <v>0</v>
      </c>
      <c r="F129" s="11">
        <v>0</v>
      </c>
      <c r="G129" s="11">
        <v>811660</v>
      </c>
      <c r="H129" s="11"/>
      <c r="I129" s="4">
        <v>811660</v>
      </c>
      <c r="J129" s="126"/>
    </row>
    <row r="130" spans="1:10" x14ac:dyDescent="0.2">
      <c r="A130" s="11" t="s">
        <v>224</v>
      </c>
      <c r="B130" s="11" t="s">
        <v>225</v>
      </c>
      <c r="C130" s="11">
        <v>0</v>
      </c>
      <c r="D130" s="11">
        <v>220000</v>
      </c>
      <c r="E130" s="11">
        <v>220000</v>
      </c>
      <c r="F130" s="11">
        <v>0</v>
      </c>
      <c r="G130" s="11">
        <v>220000</v>
      </c>
      <c r="H130" s="11"/>
      <c r="I130" s="4">
        <v>220000</v>
      </c>
      <c r="J130" s="126">
        <f t="shared" si="1"/>
        <v>1</v>
      </c>
    </row>
    <row r="131" spans="1:10" x14ac:dyDescent="0.2">
      <c r="A131" s="11" t="s">
        <v>226</v>
      </c>
      <c r="B131" s="11" t="s">
        <v>227</v>
      </c>
      <c r="C131" s="11">
        <v>0</v>
      </c>
      <c r="D131" s="11">
        <v>0</v>
      </c>
      <c r="E131" s="11">
        <v>0</v>
      </c>
      <c r="F131" s="11">
        <v>0</v>
      </c>
      <c r="G131" s="11">
        <v>220000</v>
      </c>
      <c r="H131" s="11"/>
      <c r="I131" s="4">
        <v>220000</v>
      </c>
      <c r="J131" s="126"/>
    </row>
    <row r="132" spans="1:10" x14ac:dyDescent="0.2">
      <c r="A132" s="11" t="s">
        <v>228</v>
      </c>
      <c r="B132" s="11" t="s">
        <v>229</v>
      </c>
      <c r="C132" s="11">
        <v>1775000</v>
      </c>
      <c r="D132" s="11">
        <v>1995000</v>
      </c>
      <c r="E132" s="11">
        <v>14976348</v>
      </c>
      <c r="F132" s="11">
        <v>0</v>
      </c>
      <c r="G132" s="11">
        <v>1031660</v>
      </c>
      <c r="H132" s="11"/>
      <c r="I132" s="7">
        <v>1031660</v>
      </c>
      <c r="J132" s="126">
        <f t="shared" si="1"/>
        <v>0.51712280701754387</v>
      </c>
    </row>
    <row r="133" spans="1:10" x14ac:dyDescent="0.2">
      <c r="A133" s="11" t="s">
        <v>230</v>
      </c>
      <c r="B133" s="11" t="s">
        <v>231</v>
      </c>
      <c r="C133" s="11">
        <v>348174102</v>
      </c>
      <c r="D133" s="11">
        <v>494505171</v>
      </c>
      <c r="E133" s="11">
        <v>513486332</v>
      </c>
      <c r="F133" s="11">
        <v>0</v>
      </c>
      <c r="G133" s="11">
        <v>487353476</v>
      </c>
      <c r="H133" s="11"/>
      <c r="I133" s="7">
        <v>487353476</v>
      </c>
      <c r="J133" s="126">
        <f t="shared" si="1"/>
        <v>0.98553767398319081</v>
      </c>
    </row>
    <row r="134" spans="1:10" ht="27" customHeight="1" x14ac:dyDescent="0.2">
      <c r="A134" s="181" t="s">
        <v>232</v>
      </c>
      <c r="B134" s="182"/>
      <c r="C134" s="182"/>
      <c r="D134" s="182"/>
      <c r="E134" s="182"/>
      <c r="F134" s="182"/>
      <c r="G134" s="182"/>
      <c r="H134" s="183"/>
      <c r="I134" s="183"/>
      <c r="J134" s="124"/>
    </row>
    <row r="135" spans="1:10" ht="31.5" x14ac:dyDescent="0.2">
      <c r="A135" s="14"/>
      <c r="B135" s="14" t="s">
        <v>0</v>
      </c>
      <c r="C135" s="14" t="s">
        <v>1</v>
      </c>
      <c r="D135" s="14" t="s">
        <v>2</v>
      </c>
      <c r="E135" s="14" t="s">
        <v>233</v>
      </c>
      <c r="F135" s="14" t="s">
        <v>149</v>
      </c>
      <c r="G135" s="14" t="s">
        <v>7</v>
      </c>
      <c r="H135" s="15"/>
      <c r="I135" s="14" t="s">
        <v>7</v>
      </c>
      <c r="J135" s="1" t="s">
        <v>403</v>
      </c>
    </row>
    <row r="136" spans="1:10" ht="15.75" x14ac:dyDescent="0.2">
      <c r="A136" s="1">
        <v>1</v>
      </c>
      <c r="B136" s="1">
        <v>2</v>
      </c>
      <c r="C136" s="1">
        <v>3</v>
      </c>
      <c r="D136" s="1">
        <v>4</v>
      </c>
      <c r="E136" s="1">
        <v>6</v>
      </c>
      <c r="F136" s="1">
        <v>7</v>
      </c>
      <c r="G136" s="1">
        <v>8</v>
      </c>
      <c r="H136" s="16"/>
      <c r="I136" s="1">
        <v>5</v>
      </c>
      <c r="J136" s="126">
        <f t="shared" ref="J136:J141" si="2">I136/D136</f>
        <v>1.25</v>
      </c>
    </row>
    <row r="137" spans="1:10" ht="25.5" x14ac:dyDescent="0.2">
      <c r="A137" s="2" t="s">
        <v>234</v>
      </c>
      <c r="B137" s="3" t="s">
        <v>235</v>
      </c>
      <c r="C137" s="4">
        <v>109891000</v>
      </c>
      <c r="D137" s="4">
        <v>118570083</v>
      </c>
      <c r="E137" s="4">
        <v>118570083</v>
      </c>
      <c r="F137" s="4">
        <v>0</v>
      </c>
      <c r="G137" s="4">
        <v>118570083</v>
      </c>
      <c r="H137" s="11"/>
      <c r="I137" s="4">
        <v>118570083</v>
      </c>
      <c r="J137" s="126">
        <f t="shared" si="2"/>
        <v>1</v>
      </c>
    </row>
    <row r="138" spans="1:10" x14ac:dyDescent="0.2">
      <c r="A138" s="2" t="s">
        <v>236</v>
      </c>
      <c r="B138" s="3" t="s">
        <v>237</v>
      </c>
      <c r="C138" s="4">
        <v>109891000</v>
      </c>
      <c r="D138" s="4">
        <v>118570083</v>
      </c>
      <c r="E138" s="4">
        <v>118570083</v>
      </c>
      <c r="F138" s="4">
        <v>0</v>
      </c>
      <c r="G138" s="4">
        <v>118570083</v>
      </c>
      <c r="H138" s="11"/>
      <c r="I138" s="4">
        <v>118570083</v>
      </c>
      <c r="J138" s="126">
        <f t="shared" si="2"/>
        <v>1</v>
      </c>
    </row>
    <row r="139" spans="1:10" x14ac:dyDescent="0.2">
      <c r="A139" s="2" t="s">
        <v>20</v>
      </c>
      <c r="B139" s="3" t="s">
        <v>238</v>
      </c>
      <c r="C139" s="4">
        <v>0</v>
      </c>
      <c r="D139" s="4">
        <v>7089432</v>
      </c>
      <c r="E139" s="4">
        <v>7089432</v>
      </c>
      <c r="F139" s="4">
        <v>0</v>
      </c>
      <c r="G139" s="4">
        <v>7089432</v>
      </c>
      <c r="H139" s="11"/>
      <c r="I139" s="4">
        <v>7089432</v>
      </c>
      <c r="J139" s="126">
        <f t="shared" si="2"/>
        <v>1</v>
      </c>
    </row>
    <row r="140" spans="1:10" ht="25.5" x14ac:dyDescent="0.2">
      <c r="A140" s="2" t="s">
        <v>239</v>
      </c>
      <c r="B140" s="3" t="s">
        <v>240</v>
      </c>
      <c r="C140" s="4">
        <v>109891000</v>
      </c>
      <c r="D140" s="4">
        <v>125659515</v>
      </c>
      <c r="E140" s="4">
        <v>125659515</v>
      </c>
      <c r="F140" s="4">
        <v>0</v>
      </c>
      <c r="G140" s="4">
        <v>125659515</v>
      </c>
      <c r="H140" s="11"/>
      <c r="I140" s="4">
        <v>125659515</v>
      </c>
      <c r="J140" s="126">
        <f t="shared" si="2"/>
        <v>1</v>
      </c>
    </row>
    <row r="141" spans="1:10" x14ac:dyDescent="0.2">
      <c r="A141" s="5" t="s">
        <v>46</v>
      </c>
      <c r="B141" s="6" t="s">
        <v>241</v>
      </c>
      <c r="C141" s="7">
        <v>109891000</v>
      </c>
      <c r="D141" s="7">
        <v>125659515</v>
      </c>
      <c r="E141" s="7">
        <v>125659515</v>
      </c>
      <c r="F141" s="7">
        <v>0</v>
      </c>
      <c r="G141" s="7">
        <v>125659515</v>
      </c>
      <c r="H141" s="11"/>
      <c r="I141" s="7">
        <v>125659515</v>
      </c>
      <c r="J141" s="126">
        <f t="shared" si="2"/>
        <v>1</v>
      </c>
    </row>
  </sheetData>
  <mergeCells count="4">
    <mergeCell ref="A74:I74"/>
    <mergeCell ref="A81:I81"/>
    <mergeCell ref="A134:I134"/>
    <mergeCell ref="A3:J3"/>
  </mergeCells>
  <pageMargins left="0.75" right="0.75" top="1" bottom="1" header="0.5" footer="0.5"/>
  <pageSetup orientation="portrait" verticalDpi="300" r:id="rId1"/>
  <headerFooter alignWithMargins="0">
    <oddHeader>&amp;C&amp;L&amp;RÉrték típus: Forint</oddHeader>
    <oddFooter>&amp;C&amp;LAdatellenőrző kód: -53-24c-68-33-1444d-441312-1b131b7-573f-6a-74-45&amp;R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B1" workbookViewId="0">
      <pane ySplit="3" topLeftCell="A4" activePane="bottomLeft" state="frozen"/>
      <selection pane="bottomLeft" sqref="A1:E7"/>
    </sheetView>
  </sheetViews>
  <sheetFormatPr defaultRowHeight="12.75" x14ac:dyDescent="0.2"/>
  <cols>
    <col min="1" max="1" width="8.140625" customWidth="1"/>
    <col min="2" max="2" width="41" customWidth="1"/>
    <col min="3" max="3" width="19.7109375" customWidth="1"/>
    <col min="4" max="4" width="18.7109375" customWidth="1"/>
    <col min="5" max="5" width="19.57031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24.75" customHeight="1" x14ac:dyDescent="0.2">
      <c r="A1" s="213" t="s">
        <v>316</v>
      </c>
      <c r="B1" s="214"/>
      <c r="C1" s="214"/>
      <c r="D1" s="214"/>
      <c r="E1" s="214"/>
    </row>
    <row r="2" spans="1:5" ht="30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5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</row>
    <row r="4" spans="1:5" ht="25.5" x14ac:dyDescent="0.2">
      <c r="A4" s="2" t="s">
        <v>32</v>
      </c>
      <c r="B4" s="3" t="s">
        <v>144</v>
      </c>
      <c r="C4" s="4">
        <v>7151439</v>
      </c>
      <c r="D4" s="4">
        <v>0</v>
      </c>
      <c r="E4" s="4">
        <v>7151439</v>
      </c>
    </row>
    <row r="5" spans="1:5" ht="25.5" x14ac:dyDescent="0.2">
      <c r="A5" s="2" t="s">
        <v>34</v>
      </c>
      <c r="B5" s="3" t="s">
        <v>145</v>
      </c>
      <c r="C5" s="4">
        <v>67531920</v>
      </c>
      <c r="D5" s="4">
        <v>-67531920</v>
      </c>
      <c r="E5" s="4">
        <v>0</v>
      </c>
    </row>
    <row r="6" spans="1:5" ht="25.5" x14ac:dyDescent="0.2">
      <c r="A6" s="2" t="s">
        <v>42</v>
      </c>
      <c r="B6" s="3" t="s">
        <v>146</v>
      </c>
      <c r="C6" s="4">
        <v>74683359</v>
      </c>
      <c r="D6" s="4">
        <v>-67531920</v>
      </c>
      <c r="E6" s="4">
        <v>7151439</v>
      </c>
    </row>
    <row r="7" spans="1:5" ht="25.5" x14ac:dyDescent="0.2">
      <c r="A7" s="5" t="s">
        <v>60</v>
      </c>
      <c r="B7" s="6" t="s">
        <v>147</v>
      </c>
      <c r="C7" s="7">
        <v>74683359</v>
      </c>
      <c r="D7" s="7">
        <v>-67531920</v>
      </c>
      <c r="E7" s="7">
        <v>7151439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ySplit="3" topLeftCell="A4" activePane="bottomLeft" state="frozen"/>
      <selection pane="bottomLeft" activeCell="C18" sqref="C18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24.75" customHeight="1" x14ac:dyDescent="0.2">
      <c r="A1" s="212" t="s">
        <v>317</v>
      </c>
      <c r="B1" s="183"/>
      <c r="C1" s="183"/>
      <c r="D1" s="183"/>
      <c r="E1" s="183"/>
    </row>
    <row r="2" spans="1:5" ht="15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5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</row>
    <row r="4" spans="1:5" ht="25.5" x14ac:dyDescent="0.2">
      <c r="A4" s="2" t="s">
        <v>234</v>
      </c>
      <c r="B4" s="3" t="s">
        <v>235</v>
      </c>
      <c r="C4" s="4">
        <v>121300529</v>
      </c>
      <c r="D4" s="4">
        <v>0</v>
      </c>
      <c r="E4" s="4">
        <v>121300529</v>
      </c>
    </row>
    <row r="5" spans="1:5" x14ac:dyDescent="0.2">
      <c r="A5" s="2" t="s">
        <v>236</v>
      </c>
      <c r="B5" s="3" t="s">
        <v>237</v>
      </c>
      <c r="C5" s="4">
        <v>121300529</v>
      </c>
      <c r="D5" s="4">
        <v>0</v>
      </c>
      <c r="E5" s="4">
        <v>121300529</v>
      </c>
    </row>
    <row r="6" spans="1:5" ht="25.5" x14ac:dyDescent="0.2">
      <c r="A6" s="2" t="s">
        <v>20</v>
      </c>
      <c r="B6" s="3" t="s">
        <v>238</v>
      </c>
      <c r="C6" s="4">
        <v>7089432</v>
      </c>
      <c r="D6" s="4">
        <v>0</v>
      </c>
      <c r="E6" s="4">
        <v>7089432</v>
      </c>
    </row>
    <row r="7" spans="1:5" x14ac:dyDescent="0.2">
      <c r="A7" s="2" t="s">
        <v>24</v>
      </c>
      <c r="B7" s="3" t="s">
        <v>251</v>
      </c>
      <c r="C7" s="4">
        <v>67531920</v>
      </c>
      <c r="D7" s="4">
        <v>-67531920</v>
      </c>
      <c r="E7" s="4">
        <v>0</v>
      </c>
    </row>
    <row r="8" spans="1:5" ht="25.5" x14ac:dyDescent="0.2">
      <c r="A8" s="2" t="s">
        <v>239</v>
      </c>
      <c r="B8" s="3" t="s">
        <v>240</v>
      </c>
      <c r="C8" s="4">
        <v>195921881</v>
      </c>
      <c r="D8" s="4">
        <v>-67531920</v>
      </c>
      <c r="E8" s="4">
        <v>128389961</v>
      </c>
    </row>
    <row r="9" spans="1:5" ht="25.5" x14ac:dyDescent="0.2">
      <c r="A9" s="5" t="s">
        <v>46</v>
      </c>
      <c r="B9" s="6" t="s">
        <v>241</v>
      </c>
      <c r="C9" s="7">
        <v>195921881</v>
      </c>
      <c r="D9" s="7">
        <v>-67531920</v>
      </c>
      <c r="E9" s="7">
        <v>128389961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ySplit="3" topLeftCell="A10" activePane="bottomLeft" state="frozen"/>
      <selection pane="bottomLeft" activeCell="B18" sqref="B18"/>
    </sheetView>
  </sheetViews>
  <sheetFormatPr defaultRowHeight="12.75" x14ac:dyDescent="0.2"/>
  <cols>
    <col min="1" max="1" width="8.140625" customWidth="1"/>
    <col min="2" max="2" width="41" customWidth="1"/>
    <col min="3" max="3" width="18.28515625" customWidth="1"/>
    <col min="4" max="4" width="15.42578125" customWidth="1"/>
    <col min="5" max="5" width="22.285156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30.75" customHeight="1" x14ac:dyDescent="0.2">
      <c r="A1" s="212" t="s">
        <v>261</v>
      </c>
      <c r="B1" s="183"/>
      <c r="C1" s="183"/>
      <c r="D1" s="183"/>
      <c r="E1" s="183"/>
    </row>
    <row r="2" spans="1:5" ht="30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5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</row>
    <row r="4" spans="1:5" x14ac:dyDescent="0.2">
      <c r="A4" s="2" t="s">
        <v>8</v>
      </c>
      <c r="B4" s="3" t="s">
        <v>262</v>
      </c>
      <c r="C4" s="4">
        <v>10765</v>
      </c>
      <c r="D4" s="4">
        <v>0</v>
      </c>
      <c r="E4" s="4">
        <v>10765</v>
      </c>
    </row>
    <row r="5" spans="1:5" x14ac:dyDescent="0.2">
      <c r="A5" s="2" t="s">
        <v>10</v>
      </c>
      <c r="B5" s="3" t="s">
        <v>263</v>
      </c>
      <c r="C5" s="4">
        <v>1364821483</v>
      </c>
      <c r="D5" s="4">
        <v>0</v>
      </c>
      <c r="E5" s="4">
        <v>1364821483</v>
      </c>
    </row>
    <row r="6" spans="1:5" ht="25.5" x14ac:dyDescent="0.2">
      <c r="A6" s="2" t="s">
        <v>152</v>
      </c>
      <c r="B6" s="3" t="s">
        <v>264</v>
      </c>
      <c r="C6" s="4">
        <v>99300</v>
      </c>
      <c r="D6" s="4">
        <v>0</v>
      </c>
      <c r="E6" s="4">
        <v>99300</v>
      </c>
    </row>
    <row r="7" spans="1:5" ht="38.25" x14ac:dyDescent="0.2">
      <c r="A7" s="5" t="s">
        <v>156</v>
      </c>
      <c r="B7" s="6" t="s">
        <v>265</v>
      </c>
      <c r="C7" s="7">
        <v>1364931548</v>
      </c>
      <c r="D7" s="7">
        <v>0</v>
      </c>
      <c r="E7" s="7">
        <v>1364931548</v>
      </c>
    </row>
    <row r="8" spans="1:5" ht="25.5" x14ac:dyDescent="0.2">
      <c r="A8" s="2" t="s">
        <v>16</v>
      </c>
      <c r="B8" s="3" t="s">
        <v>266</v>
      </c>
      <c r="C8" s="4">
        <v>407775</v>
      </c>
      <c r="D8" s="4">
        <v>0</v>
      </c>
      <c r="E8" s="4">
        <v>407775</v>
      </c>
    </row>
    <row r="9" spans="1:5" ht="25.5" x14ac:dyDescent="0.2">
      <c r="A9" s="2" t="s">
        <v>267</v>
      </c>
      <c r="B9" s="3" t="s">
        <v>268</v>
      </c>
      <c r="C9" s="4">
        <v>166755484</v>
      </c>
      <c r="D9" s="4">
        <v>0</v>
      </c>
      <c r="E9" s="4">
        <v>166755484</v>
      </c>
    </row>
    <row r="10" spans="1:5" x14ac:dyDescent="0.2">
      <c r="A10" s="5" t="s">
        <v>234</v>
      </c>
      <c r="B10" s="6" t="s">
        <v>269</v>
      </c>
      <c r="C10" s="7">
        <v>167163259</v>
      </c>
      <c r="D10" s="7">
        <v>0</v>
      </c>
      <c r="E10" s="7">
        <v>167163259</v>
      </c>
    </row>
    <row r="11" spans="1:5" ht="25.5" x14ac:dyDescent="0.2">
      <c r="A11" s="2" t="s">
        <v>18</v>
      </c>
      <c r="B11" s="3" t="s">
        <v>270</v>
      </c>
      <c r="C11" s="4">
        <v>26132856</v>
      </c>
      <c r="D11" s="4">
        <v>0</v>
      </c>
      <c r="E11" s="4">
        <v>26132856</v>
      </c>
    </row>
    <row r="12" spans="1:5" ht="25.5" x14ac:dyDescent="0.2">
      <c r="A12" s="2" t="s">
        <v>20</v>
      </c>
      <c r="B12" s="3" t="s">
        <v>271</v>
      </c>
      <c r="C12" s="4">
        <v>164054</v>
      </c>
      <c r="D12" s="4">
        <v>0</v>
      </c>
      <c r="E12" s="4">
        <v>164054</v>
      </c>
    </row>
    <row r="13" spans="1:5" x14ac:dyDescent="0.2">
      <c r="A13" s="5" t="s">
        <v>22</v>
      </c>
      <c r="B13" s="6" t="s">
        <v>272</v>
      </c>
      <c r="C13" s="7">
        <v>26296910</v>
      </c>
      <c r="D13" s="7">
        <v>0</v>
      </c>
      <c r="E13" s="7">
        <v>26296910</v>
      </c>
    </row>
    <row r="14" spans="1:5" ht="25.5" x14ac:dyDescent="0.2">
      <c r="A14" s="5" t="s">
        <v>26</v>
      </c>
      <c r="B14" s="6" t="s">
        <v>273</v>
      </c>
      <c r="C14" s="7">
        <v>1771942</v>
      </c>
      <c r="D14" s="7">
        <v>0</v>
      </c>
      <c r="E14" s="7">
        <v>1771942</v>
      </c>
    </row>
    <row r="15" spans="1:5" x14ac:dyDescent="0.2">
      <c r="A15" s="5" t="s">
        <v>28</v>
      </c>
      <c r="B15" s="6" t="s">
        <v>274</v>
      </c>
      <c r="C15" s="7">
        <v>1560163659</v>
      </c>
      <c r="D15" s="7">
        <v>0</v>
      </c>
      <c r="E15" s="7">
        <v>1560163659</v>
      </c>
    </row>
    <row r="16" spans="1:5" ht="25.5" x14ac:dyDescent="0.2">
      <c r="A16" s="2" t="s">
        <v>30</v>
      </c>
      <c r="B16" s="3" t="s">
        <v>275</v>
      </c>
      <c r="C16" s="4">
        <v>1527671464</v>
      </c>
      <c r="D16" s="4">
        <v>0</v>
      </c>
      <c r="E16" s="4">
        <v>1527671464</v>
      </c>
    </row>
    <row r="17" spans="1:5" x14ac:dyDescent="0.2">
      <c r="A17" s="2" t="s">
        <v>32</v>
      </c>
      <c r="B17" s="3" t="s">
        <v>276</v>
      </c>
      <c r="C17" s="4">
        <v>-210093747</v>
      </c>
      <c r="D17" s="4">
        <v>0</v>
      </c>
      <c r="E17" s="4">
        <v>-210093747</v>
      </c>
    </row>
    <row r="18" spans="1:5" x14ac:dyDescent="0.2">
      <c r="A18" s="2" t="s">
        <v>239</v>
      </c>
      <c r="B18" s="3" t="s">
        <v>277</v>
      </c>
      <c r="C18" s="4">
        <v>101719999</v>
      </c>
      <c r="D18" s="4">
        <v>0</v>
      </c>
      <c r="E18" s="4">
        <v>101719999</v>
      </c>
    </row>
    <row r="19" spans="1:5" x14ac:dyDescent="0.2">
      <c r="A19" s="5" t="s">
        <v>278</v>
      </c>
      <c r="B19" s="6" t="s">
        <v>279</v>
      </c>
      <c r="C19" s="7">
        <v>1419297716</v>
      </c>
      <c r="D19" s="7">
        <v>0</v>
      </c>
      <c r="E19" s="7">
        <v>1419297716</v>
      </c>
    </row>
    <row r="20" spans="1:5" ht="25.5" x14ac:dyDescent="0.2">
      <c r="A20" s="2" t="s">
        <v>38</v>
      </c>
      <c r="B20" s="3" t="s">
        <v>280</v>
      </c>
      <c r="C20" s="4">
        <v>7089432</v>
      </c>
      <c r="D20" s="4">
        <v>0</v>
      </c>
      <c r="E20" s="4">
        <v>7089432</v>
      </c>
    </row>
    <row r="21" spans="1:5" ht="25.5" x14ac:dyDescent="0.2">
      <c r="A21" s="2" t="s">
        <v>281</v>
      </c>
      <c r="B21" s="3" t="s">
        <v>282</v>
      </c>
      <c r="C21" s="4">
        <v>2431712</v>
      </c>
      <c r="D21" s="4">
        <v>0</v>
      </c>
      <c r="E21" s="4">
        <v>2431712</v>
      </c>
    </row>
    <row r="22" spans="1:5" x14ac:dyDescent="0.2">
      <c r="A22" s="5" t="s">
        <v>40</v>
      </c>
      <c r="B22" s="6" t="s">
        <v>283</v>
      </c>
      <c r="C22" s="7">
        <v>9521144</v>
      </c>
      <c r="D22" s="7">
        <v>0</v>
      </c>
      <c r="E22" s="7">
        <v>9521144</v>
      </c>
    </row>
    <row r="23" spans="1:5" ht="25.5" x14ac:dyDescent="0.2">
      <c r="A23" s="5" t="s">
        <v>44</v>
      </c>
      <c r="B23" s="6" t="s">
        <v>284</v>
      </c>
      <c r="C23" s="7">
        <v>131344799</v>
      </c>
      <c r="D23" s="7">
        <v>0</v>
      </c>
      <c r="E23" s="7">
        <v>131344799</v>
      </c>
    </row>
    <row r="24" spans="1:5" x14ac:dyDescent="0.2">
      <c r="A24" s="5" t="s">
        <v>285</v>
      </c>
      <c r="B24" s="6" t="s">
        <v>286</v>
      </c>
      <c r="C24" s="7">
        <v>1560163659</v>
      </c>
      <c r="D24" s="7">
        <v>0</v>
      </c>
      <c r="E24" s="7">
        <v>1560163659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pane ySplit="3" topLeftCell="A19" activePane="bottomLeft" state="frozen"/>
      <selection pane="bottomLeft" activeCell="B9" sqref="B9"/>
    </sheetView>
  </sheetViews>
  <sheetFormatPr defaultRowHeight="12.75" x14ac:dyDescent="0.2"/>
  <cols>
    <col min="1" max="1" width="8.140625" customWidth="1"/>
    <col min="2" max="2" width="41" customWidth="1"/>
    <col min="3" max="3" width="17.28515625" customWidth="1"/>
    <col min="4" max="4" width="17.7109375" customWidth="1"/>
    <col min="5" max="5" width="16.285156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34.5" customHeight="1" x14ac:dyDescent="0.2">
      <c r="A1" s="212" t="s">
        <v>318</v>
      </c>
      <c r="B1" s="183"/>
      <c r="C1" s="183"/>
      <c r="D1" s="183"/>
      <c r="E1" s="183"/>
    </row>
    <row r="2" spans="1:5" ht="33.75" customHeight="1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5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</row>
    <row r="4" spans="1:5" x14ac:dyDescent="0.2">
      <c r="A4" s="2" t="s">
        <v>8</v>
      </c>
      <c r="B4" s="3" t="s">
        <v>287</v>
      </c>
      <c r="C4" s="4">
        <v>56950085</v>
      </c>
      <c r="D4" s="4">
        <v>0</v>
      </c>
      <c r="E4" s="4">
        <v>56950085</v>
      </c>
    </row>
    <row r="5" spans="1:5" ht="25.5" x14ac:dyDescent="0.2">
      <c r="A5" s="2" t="s">
        <v>10</v>
      </c>
      <c r="B5" s="3" t="s">
        <v>288</v>
      </c>
      <c r="C5" s="4">
        <v>34518026</v>
      </c>
      <c r="D5" s="4">
        <v>0</v>
      </c>
      <c r="E5" s="4">
        <v>34518026</v>
      </c>
    </row>
    <row r="6" spans="1:5" ht="25.5" x14ac:dyDescent="0.2">
      <c r="A6" s="2" t="s">
        <v>152</v>
      </c>
      <c r="B6" s="3" t="s">
        <v>289</v>
      </c>
      <c r="C6" s="4">
        <v>7087</v>
      </c>
      <c r="D6" s="4">
        <v>0</v>
      </c>
      <c r="E6" s="4">
        <v>7087</v>
      </c>
    </row>
    <row r="7" spans="1:5" ht="25.5" x14ac:dyDescent="0.2">
      <c r="A7" s="5" t="s">
        <v>154</v>
      </c>
      <c r="B7" s="6" t="s">
        <v>290</v>
      </c>
      <c r="C7" s="7">
        <v>91475198</v>
      </c>
      <c r="D7" s="7">
        <v>0</v>
      </c>
      <c r="E7" s="7">
        <v>91475198</v>
      </c>
    </row>
    <row r="8" spans="1:5" ht="25.5" x14ac:dyDescent="0.2">
      <c r="A8" s="2" t="s">
        <v>291</v>
      </c>
      <c r="B8" s="3" t="s">
        <v>292</v>
      </c>
      <c r="C8" s="4">
        <v>278715015</v>
      </c>
      <c r="D8" s="4">
        <v>-67531920</v>
      </c>
      <c r="E8" s="4">
        <v>211183095</v>
      </c>
    </row>
    <row r="9" spans="1:5" ht="25.5" x14ac:dyDescent="0.2">
      <c r="A9" s="2" t="s">
        <v>14</v>
      </c>
      <c r="B9" s="3" t="s">
        <v>293</v>
      </c>
      <c r="C9" s="4">
        <v>30116975</v>
      </c>
      <c r="D9" s="4">
        <v>0</v>
      </c>
      <c r="E9" s="4">
        <v>30116975</v>
      </c>
    </row>
    <row r="10" spans="1:5" ht="25.5" x14ac:dyDescent="0.2">
      <c r="A10" s="2" t="s">
        <v>16</v>
      </c>
      <c r="B10" s="3" t="s">
        <v>294</v>
      </c>
      <c r="C10" s="4">
        <v>7284000</v>
      </c>
      <c r="D10" s="4">
        <v>0</v>
      </c>
      <c r="E10" s="4">
        <v>7284000</v>
      </c>
    </row>
    <row r="11" spans="1:5" ht="25.5" x14ac:dyDescent="0.2">
      <c r="A11" s="2" t="s">
        <v>267</v>
      </c>
      <c r="B11" s="3" t="s">
        <v>295</v>
      </c>
      <c r="C11" s="4">
        <v>149745656</v>
      </c>
      <c r="D11" s="4">
        <v>0</v>
      </c>
      <c r="E11" s="4">
        <v>149745656</v>
      </c>
    </row>
    <row r="12" spans="1:5" ht="25.5" x14ac:dyDescent="0.2">
      <c r="A12" s="5" t="s">
        <v>234</v>
      </c>
      <c r="B12" s="6" t="s">
        <v>296</v>
      </c>
      <c r="C12" s="7">
        <v>465861646</v>
      </c>
      <c r="D12" s="7">
        <v>-67531920</v>
      </c>
      <c r="E12" s="7">
        <v>398329726</v>
      </c>
    </row>
    <row r="13" spans="1:5" x14ac:dyDescent="0.2">
      <c r="A13" s="2" t="s">
        <v>18</v>
      </c>
      <c r="B13" s="3" t="s">
        <v>297</v>
      </c>
      <c r="C13" s="4">
        <v>7091244</v>
      </c>
      <c r="D13" s="4">
        <v>0</v>
      </c>
      <c r="E13" s="4">
        <v>7091244</v>
      </c>
    </row>
    <row r="14" spans="1:5" x14ac:dyDescent="0.2">
      <c r="A14" s="2" t="s">
        <v>236</v>
      </c>
      <c r="B14" s="3" t="s">
        <v>298</v>
      </c>
      <c r="C14" s="4">
        <v>61061304</v>
      </c>
      <c r="D14" s="4">
        <v>0</v>
      </c>
      <c r="E14" s="4">
        <v>61061304</v>
      </c>
    </row>
    <row r="15" spans="1:5" x14ac:dyDescent="0.2">
      <c r="A15" s="2" t="s">
        <v>22</v>
      </c>
      <c r="B15" s="3" t="s">
        <v>299</v>
      </c>
      <c r="C15" s="4">
        <v>2874383</v>
      </c>
      <c r="D15" s="4">
        <v>0</v>
      </c>
      <c r="E15" s="4">
        <v>2874383</v>
      </c>
    </row>
    <row r="16" spans="1:5" ht="25.5" x14ac:dyDescent="0.2">
      <c r="A16" s="5" t="s">
        <v>24</v>
      </c>
      <c r="B16" s="6" t="s">
        <v>300</v>
      </c>
      <c r="C16" s="7">
        <v>71026931</v>
      </c>
      <c r="D16" s="7">
        <v>0</v>
      </c>
      <c r="E16" s="7">
        <v>71026931</v>
      </c>
    </row>
    <row r="17" spans="1:5" x14ac:dyDescent="0.2">
      <c r="A17" s="2" t="s">
        <v>26</v>
      </c>
      <c r="B17" s="3" t="s">
        <v>301</v>
      </c>
      <c r="C17" s="4">
        <v>67814786</v>
      </c>
      <c r="D17" s="4">
        <v>0</v>
      </c>
      <c r="E17" s="4">
        <v>67814786</v>
      </c>
    </row>
    <row r="18" spans="1:5" x14ac:dyDescent="0.2">
      <c r="A18" s="2" t="s">
        <v>28</v>
      </c>
      <c r="B18" s="3" t="s">
        <v>302</v>
      </c>
      <c r="C18" s="4">
        <v>22876454</v>
      </c>
      <c r="D18" s="4">
        <v>0</v>
      </c>
      <c r="E18" s="4">
        <v>22876454</v>
      </c>
    </row>
    <row r="19" spans="1:5" x14ac:dyDescent="0.2">
      <c r="A19" s="2" t="s">
        <v>30</v>
      </c>
      <c r="B19" s="3" t="s">
        <v>303</v>
      </c>
      <c r="C19" s="4">
        <v>23171744</v>
      </c>
      <c r="D19" s="4">
        <v>0</v>
      </c>
      <c r="E19" s="4">
        <v>23171744</v>
      </c>
    </row>
    <row r="20" spans="1:5" ht="25.5" x14ac:dyDescent="0.2">
      <c r="A20" s="5" t="s">
        <v>32</v>
      </c>
      <c r="B20" s="6" t="s">
        <v>304</v>
      </c>
      <c r="C20" s="7">
        <v>113862984</v>
      </c>
      <c r="D20" s="7">
        <v>0</v>
      </c>
      <c r="E20" s="7">
        <v>113862984</v>
      </c>
    </row>
    <row r="21" spans="1:5" x14ac:dyDescent="0.2">
      <c r="A21" s="5" t="s">
        <v>34</v>
      </c>
      <c r="B21" s="6" t="s">
        <v>305</v>
      </c>
      <c r="C21" s="7">
        <v>35789247</v>
      </c>
      <c r="D21" s="7">
        <v>0</v>
      </c>
      <c r="E21" s="7">
        <v>35789247</v>
      </c>
    </row>
    <row r="22" spans="1:5" x14ac:dyDescent="0.2">
      <c r="A22" s="5" t="s">
        <v>239</v>
      </c>
      <c r="B22" s="6" t="s">
        <v>306</v>
      </c>
      <c r="C22" s="7">
        <v>235508886</v>
      </c>
      <c r="D22" s="7">
        <v>-67531920</v>
      </c>
      <c r="E22" s="7">
        <v>167976966</v>
      </c>
    </row>
    <row r="23" spans="1:5" ht="25.5" x14ac:dyDescent="0.2">
      <c r="A23" s="5" t="s">
        <v>278</v>
      </c>
      <c r="B23" s="6" t="s">
        <v>307</v>
      </c>
      <c r="C23" s="7">
        <v>101148796</v>
      </c>
      <c r="D23" s="7">
        <v>0</v>
      </c>
      <c r="E23" s="7">
        <v>101148796</v>
      </c>
    </row>
    <row r="24" spans="1:5" ht="25.5" x14ac:dyDescent="0.2">
      <c r="A24" s="2" t="s">
        <v>40</v>
      </c>
      <c r="B24" s="3" t="s">
        <v>308</v>
      </c>
      <c r="C24" s="4">
        <v>587490</v>
      </c>
      <c r="D24" s="4">
        <v>0</v>
      </c>
      <c r="E24" s="4">
        <v>587490</v>
      </c>
    </row>
    <row r="25" spans="1:5" ht="38.25" x14ac:dyDescent="0.2">
      <c r="A25" s="5" t="s">
        <v>46</v>
      </c>
      <c r="B25" s="6" t="s">
        <v>309</v>
      </c>
      <c r="C25" s="7">
        <v>587490</v>
      </c>
      <c r="D25" s="7">
        <v>0</v>
      </c>
      <c r="E25" s="7">
        <v>587490</v>
      </c>
    </row>
    <row r="26" spans="1:5" ht="25.5" x14ac:dyDescent="0.2">
      <c r="A26" s="2" t="s">
        <v>52</v>
      </c>
      <c r="B26" s="3" t="s">
        <v>310</v>
      </c>
      <c r="C26" s="4">
        <v>16287</v>
      </c>
      <c r="D26" s="4">
        <v>0</v>
      </c>
      <c r="E26" s="4">
        <v>16287</v>
      </c>
    </row>
    <row r="27" spans="1:5" ht="25.5" x14ac:dyDescent="0.2">
      <c r="A27" s="5" t="s">
        <v>64</v>
      </c>
      <c r="B27" s="6" t="s">
        <v>311</v>
      </c>
      <c r="C27" s="7">
        <v>16287</v>
      </c>
      <c r="D27" s="7">
        <v>0</v>
      </c>
      <c r="E27" s="7">
        <v>16287</v>
      </c>
    </row>
    <row r="28" spans="1:5" ht="25.5" x14ac:dyDescent="0.2">
      <c r="A28" s="5" t="s">
        <v>165</v>
      </c>
      <c r="B28" s="6" t="s">
        <v>312</v>
      </c>
      <c r="C28" s="7">
        <v>571203</v>
      </c>
      <c r="D28" s="7">
        <v>0</v>
      </c>
      <c r="E28" s="7">
        <v>571203</v>
      </c>
    </row>
    <row r="29" spans="1:5" x14ac:dyDescent="0.2">
      <c r="A29" s="5" t="s">
        <v>66</v>
      </c>
      <c r="B29" s="6" t="s">
        <v>313</v>
      </c>
      <c r="C29" s="7">
        <v>101719999</v>
      </c>
      <c r="D29" s="7">
        <v>0</v>
      </c>
      <c r="E29" s="7">
        <v>101719999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1"/>
  <sheetViews>
    <sheetView workbookViewId="0">
      <selection activeCell="B1" sqref="B1"/>
    </sheetView>
  </sheetViews>
  <sheetFormatPr defaultRowHeight="18" x14ac:dyDescent="0.25"/>
  <cols>
    <col min="1" max="1" width="6" style="37" customWidth="1"/>
    <col min="2" max="2" width="44.7109375" style="33" customWidth="1"/>
    <col min="3" max="3" width="4.42578125" style="34" customWidth="1"/>
    <col min="4" max="4" width="17.28515625" style="35" customWidth="1"/>
    <col min="5" max="6" width="11.28515625" style="35" customWidth="1"/>
    <col min="7" max="7" width="19.140625" style="36" customWidth="1"/>
    <col min="8" max="8" width="16.7109375" style="35" hidden="1" customWidth="1"/>
    <col min="9" max="9" width="19.5703125" style="35" hidden="1" customWidth="1"/>
    <col min="10" max="10" width="1.42578125" style="35" customWidth="1"/>
    <col min="11" max="11" width="19.42578125" style="35" customWidth="1"/>
    <col min="12" max="19" width="9.140625" style="37" customWidth="1"/>
    <col min="20" max="16384" width="9.140625" style="37"/>
  </cols>
  <sheetData>
    <row r="1" spans="2:19" x14ac:dyDescent="0.25">
      <c r="B1" s="33" t="s">
        <v>485</v>
      </c>
    </row>
    <row r="2" spans="2:19" ht="35.25" customHeight="1" x14ac:dyDescent="0.2">
      <c r="B2" s="215"/>
      <c r="C2" s="216"/>
      <c r="D2" s="216"/>
      <c r="E2" s="216"/>
      <c r="F2" s="216"/>
      <c r="G2" s="216"/>
      <c r="H2" s="216"/>
      <c r="I2" s="216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19" ht="15.75" x14ac:dyDescent="0.2">
      <c r="B3" s="217" t="s">
        <v>332</v>
      </c>
      <c r="C3" s="218"/>
      <c r="D3" s="218"/>
      <c r="E3" s="218"/>
      <c r="F3" s="218"/>
      <c r="G3" s="218"/>
      <c r="H3" s="218"/>
      <c r="I3" s="218"/>
      <c r="J3" s="39"/>
    </row>
    <row r="4" spans="2:19" ht="12.75" x14ac:dyDescent="0.2">
      <c r="B4" s="219"/>
      <c r="C4" s="220"/>
      <c r="D4" s="220"/>
      <c r="E4" s="220"/>
      <c r="F4" s="220"/>
      <c r="G4" s="220"/>
      <c r="H4" s="220"/>
      <c r="I4" s="220"/>
      <c r="J4" s="39"/>
    </row>
    <row r="5" spans="2:19" ht="21" thickBot="1" x14ac:dyDescent="0.35">
      <c r="B5" s="40"/>
      <c r="C5" s="41"/>
      <c r="D5" s="41"/>
      <c r="E5" s="41"/>
      <c r="F5" s="42"/>
      <c r="G5" s="43"/>
      <c r="H5" s="42"/>
      <c r="I5" s="42"/>
      <c r="J5" s="39"/>
    </row>
    <row r="6" spans="2:19" s="49" customFormat="1" ht="74.25" customHeight="1" x14ac:dyDescent="0.2">
      <c r="B6" s="44" t="s">
        <v>0</v>
      </c>
      <c r="C6" s="45" t="s">
        <v>333</v>
      </c>
      <c r="D6" s="46" t="s">
        <v>334</v>
      </c>
      <c r="E6" s="46" t="s">
        <v>335</v>
      </c>
      <c r="F6" s="46" t="s">
        <v>336</v>
      </c>
      <c r="G6" s="221" t="s">
        <v>337</v>
      </c>
      <c r="H6" s="221" t="s">
        <v>337</v>
      </c>
      <c r="I6" s="223" t="s">
        <v>338</v>
      </c>
      <c r="J6" s="47"/>
      <c r="K6" s="48"/>
    </row>
    <row r="7" spans="2:19" s="49" customFormat="1" ht="28.5" customHeight="1" thickBot="1" x14ac:dyDescent="0.3">
      <c r="B7" s="50"/>
      <c r="C7" s="51"/>
      <c r="D7" s="52">
        <v>385727</v>
      </c>
      <c r="E7" s="52">
        <v>649001</v>
      </c>
      <c r="F7" s="52">
        <v>806813</v>
      </c>
      <c r="G7" s="222"/>
      <c r="H7" s="222"/>
      <c r="I7" s="224"/>
      <c r="J7" s="47"/>
      <c r="K7" s="48"/>
    </row>
    <row r="8" spans="2:19" x14ac:dyDescent="0.2">
      <c r="B8" s="53" t="s">
        <v>339</v>
      </c>
      <c r="C8" s="54"/>
      <c r="D8" s="53"/>
      <c r="E8" s="55"/>
      <c r="F8" s="56"/>
      <c r="G8" s="57"/>
      <c r="H8" s="55"/>
      <c r="I8" s="58"/>
      <c r="J8" s="39"/>
    </row>
    <row r="9" spans="2:19" s="67" customFormat="1" ht="32.25" customHeight="1" x14ac:dyDescent="0.2">
      <c r="B9" s="59" t="s">
        <v>340</v>
      </c>
      <c r="C9" s="60" t="s">
        <v>8</v>
      </c>
      <c r="D9" s="61">
        <f>Önkormányzat!I96</f>
        <v>233794759</v>
      </c>
      <c r="E9" s="61">
        <v>0</v>
      </c>
      <c r="F9" s="61">
        <f>'Közös Hivatal'!I50</f>
        <v>7505311</v>
      </c>
      <c r="G9" s="62">
        <f t="shared" ref="G9:G24" si="0">SUM(D9:F9)</f>
        <v>241300070</v>
      </c>
      <c r="H9" s="63">
        <v>207564</v>
      </c>
      <c r="I9" s="64">
        <f>H9*1.01</f>
        <v>209639.64</v>
      </c>
      <c r="J9" s="65"/>
      <c r="K9" s="66"/>
    </row>
    <row r="10" spans="2:19" s="67" customFormat="1" ht="23.25" customHeight="1" x14ac:dyDescent="0.2">
      <c r="B10" s="59" t="s">
        <v>341</v>
      </c>
      <c r="C10" s="60" t="s">
        <v>10</v>
      </c>
      <c r="D10" s="61">
        <f>Önkormányzat!I111</f>
        <v>65786435</v>
      </c>
      <c r="E10" s="61"/>
      <c r="F10" s="61">
        <v>0</v>
      </c>
      <c r="G10" s="62">
        <f t="shared" si="0"/>
        <v>65786435</v>
      </c>
      <c r="H10" s="63">
        <v>51490</v>
      </c>
      <c r="I10" s="64">
        <f t="shared" ref="H10:I12" si="1">H10*1.01</f>
        <v>52004.9</v>
      </c>
      <c r="J10" s="65"/>
      <c r="K10" s="66"/>
    </row>
    <row r="11" spans="2:19" s="67" customFormat="1" ht="32.25" customHeight="1" x14ac:dyDescent="0.2">
      <c r="B11" s="59" t="s">
        <v>342</v>
      </c>
      <c r="C11" s="60" t="s">
        <v>152</v>
      </c>
      <c r="D11" s="61">
        <f>Önkormányzat!I123</f>
        <v>45717154</v>
      </c>
      <c r="E11" s="61">
        <f>'Művelődési ház'!I49</f>
        <v>100846</v>
      </c>
      <c r="F11" s="61">
        <f>'Közös Hivatal'!I55</f>
        <v>25613</v>
      </c>
      <c r="G11" s="62">
        <f t="shared" si="0"/>
        <v>45843613</v>
      </c>
      <c r="H11" s="63">
        <v>34507</v>
      </c>
      <c r="I11" s="64">
        <v>35035</v>
      </c>
      <c r="J11" s="65"/>
      <c r="K11" s="66"/>
    </row>
    <row r="12" spans="2:19" s="67" customFormat="1" ht="27" customHeight="1" x14ac:dyDescent="0.2">
      <c r="B12" s="59" t="s">
        <v>343</v>
      </c>
      <c r="C12" s="60" t="s">
        <v>154</v>
      </c>
      <c r="D12" s="68">
        <f>Önkormányzat!I127</f>
        <v>0</v>
      </c>
      <c r="E12" s="63"/>
      <c r="F12" s="61"/>
      <c r="G12" s="62">
        <f t="shared" si="0"/>
        <v>0</v>
      </c>
      <c r="H12" s="63">
        <f t="shared" si="1"/>
        <v>0</v>
      </c>
      <c r="I12" s="64">
        <f t="shared" si="1"/>
        <v>0</v>
      </c>
      <c r="J12" s="65"/>
      <c r="K12" s="66"/>
    </row>
    <row r="13" spans="2:19" s="67" customFormat="1" ht="21" customHeight="1" x14ac:dyDescent="0.2">
      <c r="B13" s="59" t="s">
        <v>256</v>
      </c>
      <c r="C13" s="69" t="s">
        <v>156</v>
      </c>
      <c r="D13" s="61">
        <f>Önkormányzat!I141</f>
        <v>125659515</v>
      </c>
      <c r="E13" s="61">
        <f>'Művelődési ház'!I57</f>
        <v>10926824</v>
      </c>
      <c r="F13" s="61">
        <f>'Közös Hivatal'!I64</f>
        <v>59335542</v>
      </c>
      <c r="G13" s="62">
        <f t="shared" si="0"/>
        <v>195921881</v>
      </c>
      <c r="H13" s="63">
        <v>92219</v>
      </c>
      <c r="I13" s="64">
        <v>94061</v>
      </c>
      <c r="J13" s="65"/>
      <c r="K13" s="66"/>
    </row>
    <row r="14" spans="2:19" s="67" customFormat="1" ht="21" hidden="1" customHeight="1" x14ac:dyDescent="0.2">
      <c r="B14" s="59" t="s">
        <v>344</v>
      </c>
      <c r="C14" s="60" t="s">
        <v>345</v>
      </c>
      <c r="D14" s="68"/>
      <c r="E14" s="63"/>
      <c r="F14" s="61"/>
      <c r="G14" s="62">
        <f t="shared" si="0"/>
        <v>0</v>
      </c>
      <c r="H14" s="63">
        <f t="shared" ref="H14:I18" si="2">G14*1.05</f>
        <v>0</v>
      </c>
      <c r="I14" s="64">
        <f t="shared" si="2"/>
        <v>0</v>
      </c>
      <c r="J14" s="65"/>
      <c r="K14" s="66"/>
    </row>
    <row r="15" spans="2:19" s="67" customFormat="1" ht="21" hidden="1" customHeight="1" x14ac:dyDescent="0.2">
      <c r="B15" s="59" t="s">
        <v>346</v>
      </c>
      <c r="C15" s="60" t="s">
        <v>12</v>
      </c>
      <c r="D15" s="68"/>
      <c r="E15" s="63"/>
      <c r="F15" s="61"/>
      <c r="G15" s="62">
        <f t="shared" si="0"/>
        <v>0</v>
      </c>
      <c r="H15" s="63">
        <f t="shared" si="2"/>
        <v>0</v>
      </c>
      <c r="I15" s="64">
        <f t="shared" si="2"/>
        <v>0</v>
      </c>
      <c r="J15" s="65"/>
      <c r="K15" s="66"/>
    </row>
    <row r="16" spans="2:19" s="67" customFormat="1" ht="21" hidden="1" customHeight="1" x14ac:dyDescent="0.2">
      <c r="B16" s="59" t="s">
        <v>347</v>
      </c>
      <c r="C16" s="60" t="s">
        <v>291</v>
      </c>
      <c r="D16" s="68">
        <v>0</v>
      </c>
      <c r="E16" s="61"/>
      <c r="F16" s="61"/>
      <c r="G16" s="62">
        <f t="shared" si="0"/>
        <v>0</v>
      </c>
      <c r="H16" s="63">
        <f t="shared" si="2"/>
        <v>0</v>
      </c>
      <c r="I16" s="64">
        <f t="shared" si="2"/>
        <v>0</v>
      </c>
      <c r="J16" s="65"/>
      <c r="K16" s="66"/>
    </row>
    <row r="17" spans="2:11" s="67" customFormat="1" ht="21" hidden="1" customHeight="1" x14ac:dyDescent="0.2">
      <c r="B17" s="59" t="s">
        <v>348</v>
      </c>
      <c r="C17" s="60" t="s">
        <v>14</v>
      </c>
      <c r="D17" s="68"/>
      <c r="E17" s="63"/>
      <c r="F17" s="61"/>
      <c r="G17" s="62">
        <f t="shared" si="0"/>
        <v>0</v>
      </c>
      <c r="H17" s="63">
        <f t="shared" si="2"/>
        <v>0</v>
      </c>
      <c r="I17" s="64">
        <f t="shared" si="2"/>
        <v>0</v>
      </c>
      <c r="J17" s="65"/>
      <c r="K17" s="66"/>
    </row>
    <row r="18" spans="2:11" s="67" customFormat="1" ht="21" hidden="1" customHeight="1" x14ac:dyDescent="0.2">
      <c r="B18" s="59" t="s">
        <v>349</v>
      </c>
      <c r="C18" s="60" t="s">
        <v>16</v>
      </c>
      <c r="D18" s="68"/>
      <c r="E18" s="63"/>
      <c r="F18" s="61"/>
      <c r="G18" s="62">
        <f t="shared" si="0"/>
        <v>0</v>
      </c>
      <c r="H18" s="63">
        <f t="shared" si="2"/>
        <v>0</v>
      </c>
      <c r="I18" s="64">
        <f t="shared" si="2"/>
        <v>0</v>
      </c>
      <c r="J18" s="65"/>
      <c r="K18" s="66"/>
    </row>
    <row r="19" spans="2:11" s="67" customFormat="1" ht="22.5" customHeight="1" x14ac:dyDescent="0.2">
      <c r="B19" s="70" t="s">
        <v>350</v>
      </c>
      <c r="C19" s="71" t="s">
        <v>267</v>
      </c>
      <c r="D19" s="72">
        <f>SUM(D9:D18)</f>
        <v>470957863</v>
      </c>
      <c r="E19" s="72">
        <f>SUM(E9:E18)</f>
        <v>11027670</v>
      </c>
      <c r="F19" s="72">
        <f>SUM(F9:F18)</f>
        <v>66866466</v>
      </c>
      <c r="G19" s="73">
        <f t="shared" si="0"/>
        <v>548851999</v>
      </c>
      <c r="H19" s="74">
        <f>SUM(H9:H18)</f>
        <v>385780</v>
      </c>
      <c r="I19" s="75">
        <f>SUM(I9:I18)</f>
        <v>390740.54000000004</v>
      </c>
      <c r="J19" s="65"/>
      <c r="K19" s="66"/>
    </row>
    <row r="20" spans="2:11" s="67" customFormat="1" ht="21" customHeight="1" x14ac:dyDescent="0.2">
      <c r="B20" s="59" t="s">
        <v>351</v>
      </c>
      <c r="C20" s="69" t="s">
        <v>234</v>
      </c>
      <c r="D20" s="61">
        <f>Önkormányzat!I17</f>
        <v>36573610</v>
      </c>
      <c r="E20" s="61">
        <f>'Művelődési ház'!I14</f>
        <v>4274388</v>
      </c>
      <c r="F20" s="61">
        <f>'Közös Hivatal'!I17</f>
        <v>48516370</v>
      </c>
      <c r="G20" s="62">
        <f t="shared" si="0"/>
        <v>89364368</v>
      </c>
      <c r="H20" s="63">
        <v>80284</v>
      </c>
      <c r="I20" s="63">
        <f>H20*1.01</f>
        <v>81086.84</v>
      </c>
      <c r="J20" s="65"/>
      <c r="K20" s="66"/>
    </row>
    <row r="21" spans="2:11" s="67" customFormat="1" ht="21" customHeight="1" x14ac:dyDescent="0.2">
      <c r="B21" s="59" t="s">
        <v>352</v>
      </c>
      <c r="C21" s="76" t="s">
        <v>18</v>
      </c>
      <c r="D21" s="61">
        <f>Önkormányzat!I18</f>
        <v>8472186</v>
      </c>
      <c r="E21" s="61">
        <f>'Művelődési ház'!I15</f>
        <v>1157661</v>
      </c>
      <c r="F21" s="61">
        <f>'Közös Hivatal'!I18</f>
        <v>13200443</v>
      </c>
      <c r="G21" s="62">
        <f t="shared" si="0"/>
        <v>22830290</v>
      </c>
      <c r="H21" s="63">
        <v>21631</v>
      </c>
      <c r="I21" s="63">
        <f>H21*1.01</f>
        <v>21847.31</v>
      </c>
      <c r="J21" s="65"/>
      <c r="K21" s="66"/>
    </row>
    <row r="22" spans="2:11" s="67" customFormat="1" ht="21.75" customHeight="1" x14ac:dyDescent="0.2">
      <c r="B22" s="59" t="s">
        <v>398</v>
      </c>
      <c r="C22" s="77" t="s">
        <v>236</v>
      </c>
      <c r="D22" s="61">
        <f>Önkormányzat!I43</f>
        <v>98722684</v>
      </c>
      <c r="E22" s="61">
        <f>'Művelődési ház'!I32</f>
        <v>5362854</v>
      </c>
      <c r="F22" s="61">
        <f>'Közös Hivatal'!I39</f>
        <v>3003958</v>
      </c>
      <c r="G22" s="62">
        <f t="shared" si="0"/>
        <v>107089496</v>
      </c>
      <c r="H22" s="63">
        <v>70530</v>
      </c>
      <c r="I22" s="63">
        <v>71236</v>
      </c>
      <c r="J22" s="65"/>
      <c r="K22" s="66"/>
    </row>
    <row r="23" spans="2:11" s="67" customFormat="1" ht="21" customHeight="1" x14ac:dyDescent="0.2">
      <c r="B23" s="59" t="s">
        <v>353</v>
      </c>
      <c r="C23" s="78" t="s">
        <v>20</v>
      </c>
      <c r="D23" s="61">
        <f>Önkormányzat!I50</f>
        <v>4955526</v>
      </c>
      <c r="E23" s="61"/>
      <c r="F23" s="61"/>
      <c r="G23" s="62">
        <f t="shared" si="0"/>
        <v>4955526</v>
      </c>
      <c r="H23" s="63">
        <v>10839</v>
      </c>
      <c r="I23" s="63">
        <v>10948</v>
      </c>
      <c r="J23" s="66"/>
      <c r="K23" s="66"/>
    </row>
    <row r="24" spans="2:11" s="67" customFormat="1" ht="21" customHeight="1" x14ac:dyDescent="0.2">
      <c r="B24" s="59" t="s">
        <v>354</v>
      </c>
      <c r="C24" s="60">
        <v>16</v>
      </c>
      <c r="D24" s="61">
        <f>Önkormányzat!I60</f>
        <v>113156291</v>
      </c>
      <c r="E24" s="61"/>
      <c r="F24" s="61"/>
      <c r="G24" s="62">
        <f t="shared" si="0"/>
        <v>113156291</v>
      </c>
      <c r="H24" s="63">
        <v>118544</v>
      </c>
      <c r="I24" s="63">
        <v>120120</v>
      </c>
      <c r="J24" s="66"/>
      <c r="K24" s="66"/>
    </row>
    <row r="25" spans="2:11" s="67" customFormat="1" ht="21" hidden="1" customHeight="1" x14ac:dyDescent="0.2">
      <c r="B25" s="59" t="s">
        <v>355</v>
      </c>
      <c r="C25" s="60">
        <v>17</v>
      </c>
      <c r="D25" s="68">
        <v>0</v>
      </c>
      <c r="E25" s="63"/>
      <c r="F25" s="61"/>
      <c r="G25" s="62">
        <v>8100</v>
      </c>
      <c r="H25" s="63">
        <v>9788</v>
      </c>
      <c r="I25" s="63">
        <v>10277</v>
      </c>
      <c r="J25" s="65"/>
      <c r="K25" s="66"/>
    </row>
    <row r="26" spans="2:11" s="67" customFormat="1" ht="21" customHeight="1" x14ac:dyDescent="0.2">
      <c r="B26" s="59" t="s">
        <v>356</v>
      </c>
      <c r="C26" s="69" t="s">
        <v>26</v>
      </c>
      <c r="D26" s="68">
        <f>Önkormányzat!I80</f>
        <v>74683359</v>
      </c>
      <c r="E26" s="63"/>
      <c r="F26" s="61"/>
      <c r="G26" s="62">
        <f t="shared" ref="G26:G31" si="3">SUM(D26:F26)</f>
        <v>74683359</v>
      </c>
      <c r="H26" s="63">
        <f>G26*1.01</f>
        <v>75430192.590000004</v>
      </c>
      <c r="I26" s="63">
        <f>H26*1.01</f>
        <v>76184494.515900001</v>
      </c>
      <c r="J26" s="65"/>
      <c r="K26" s="66">
        <v>67531920</v>
      </c>
    </row>
    <row r="27" spans="2:11" s="67" customFormat="1" ht="21" hidden="1" customHeight="1" x14ac:dyDescent="0.2">
      <c r="B27" s="59" t="s">
        <v>357</v>
      </c>
      <c r="C27" s="69" t="s">
        <v>28</v>
      </c>
      <c r="D27" s="68"/>
      <c r="E27" s="63"/>
      <c r="F27" s="61"/>
      <c r="G27" s="62">
        <f t="shared" si="3"/>
        <v>0</v>
      </c>
      <c r="H27" s="63">
        <f t="shared" ref="H27:I31" si="4">G27*1.05</f>
        <v>0</v>
      </c>
      <c r="I27" s="63">
        <f t="shared" si="4"/>
        <v>0</v>
      </c>
      <c r="J27" s="65"/>
      <c r="K27" s="66"/>
    </row>
    <row r="28" spans="2:11" s="67" customFormat="1" ht="21" hidden="1" customHeight="1" x14ac:dyDescent="0.2">
      <c r="B28" s="59" t="s">
        <v>358</v>
      </c>
      <c r="C28" s="69" t="s">
        <v>30</v>
      </c>
      <c r="D28" s="68"/>
      <c r="E28" s="63"/>
      <c r="F28" s="61"/>
      <c r="G28" s="62">
        <f t="shared" si="3"/>
        <v>0</v>
      </c>
      <c r="H28" s="63">
        <f t="shared" si="4"/>
        <v>0</v>
      </c>
      <c r="I28" s="63">
        <f t="shared" si="4"/>
        <v>0</v>
      </c>
      <c r="J28" s="65"/>
      <c r="K28" s="66"/>
    </row>
    <row r="29" spans="2:11" s="67" customFormat="1" ht="21" hidden="1" customHeight="1" x14ac:dyDescent="0.2">
      <c r="B29" s="59" t="s">
        <v>359</v>
      </c>
      <c r="C29" s="69" t="s">
        <v>32</v>
      </c>
      <c r="D29" s="68"/>
      <c r="E29" s="63"/>
      <c r="F29" s="61"/>
      <c r="G29" s="62">
        <f t="shared" si="3"/>
        <v>0</v>
      </c>
      <c r="H29" s="63">
        <f t="shared" si="4"/>
        <v>0</v>
      </c>
      <c r="I29" s="63">
        <f t="shared" si="4"/>
        <v>0</v>
      </c>
      <c r="J29" s="65"/>
      <c r="K29" s="66"/>
    </row>
    <row r="30" spans="2:11" s="67" customFormat="1" ht="21" hidden="1" customHeight="1" x14ac:dyDescent="0.2">
      <c r="B30" s="59" t="s">
        <v>360</v>
      </c>
      <c r="C30" s="69" t="s">
        <v>34</v>
      </c>
      <c r="D30" s="68"/>
      <c r="E30" s="63"/>
      <c r="F30" s="61"/>
      <c r="G30" s="62">
        <f t="shared" si="3"/>
        <v>0</v>
      </c>
      <c r="H30" s="63">
        <f t="shared" si="4"/>
        <v>0</v>
      </c>
      <c r="I30" s="63">
        <f t="shared" si="4"/>
        <v>0</v>
      </c>
      <c r="J30" s="65"/>
      <c r="K30" s="66"/>
    </row>
    <row r="31" spans="2:11" s="67" customFormat="1" ht="21" hidden="1" customHeight="1" x14ac:dyDescent="0.2">
      <c r="B31" s="59" t="s">
        <v>361</v>
      </c>
      <c r="C31" s="69" t="s">
        <v>239</v>
      </c>
      <c r="D31" s="68">
        <v>0</v>
      </c>
      <c r="E31" s="63">
        <v>0</v>
      </c>
      <c r="F31" s="61"/>
      <c r="G31" s="62">
        <f t="shared" si="3"/>
        <v>0</v>
      </c>
      <c r="H31" s="63">
        <f t="shared" si="4"/>
        <v>0</v>
      </c>
      <c r="I31" s="63">
        <f t="shared" si="4"/>
        <v>0</v>
      </c>
      <c r="J31" s="65"/>
      <c r="K31" s="66"/>
    </row>
    <row r="32" spans="2:11" s="67" customFormat="1" ht="27" customHeight="1" x14ac:dyDescent="0.2">
      <c r="B32" s="79" t="s">
        <v>362</v>
      </c>
      <c r="C32" s="80" t="s">
        <v>278</v>
      </c>
      <c r="D32" s="81">
        <f>D26+D24+D23+D22+D21+D20</f>
        <v>336563656</v>
      </c>
      <c r="E32" s="81">
        <f>SUM(E20:E31)</f>
        <v>10794903</v>
      </c>
      <c r="F32" s="82">
        <f>SUM(F20:F31)</f>
        <v>64720771</v>
      </c>
      <c r="G32" s="83">
        <f>SUM(G20:G31)-G25</f>
        <v>412079330</v>
      </c>
      <c r="H32" s="83">
        <f>H20+H21+H22+H23+H24+H26</f>
        <v>75732020.590000004</v>
      </c>
      <c r="I32" s="83">
        <f>SUM(I20:I31)-I25</f>
        <v>76489732.665900007</v>
      </c>
      <c r="J32" s="65"/>
      <c r="K32" s="84"/>
    </row>
    <row r="33" spans="2:11" s="67" customFormat="1" ht="24" customHeight="1" x14ac:dyDescent="0.2">
      <c r="B33" s="85" t="s">
        <v>363</v>
      </c>
      <c r="C33" s="86"/>
      <c r="D33" s="87"/>
      <c r="E33" s="88"/>
      <c r="F33" s="89"/>
      <c r="G33" s="90"/>
      <c r="H33" s="86"/>
      <c r="I33" s="91"/>
      <c r="J33" s="65"/>
      <c r="K33" s="66"/>
    </row>
    <row r="34" spans="2:11" s="67" customFormat="1" ht="25.5" hidden="1" customHeight="1" x14ac:dyDescent="0.2">
      <c r="B34" s="59" t="s">
        <v>364</v>
      </c>
      <c r="C34" s="76" t="s">
        <v>36</v>
      </c>
      <c r="D34" s="61">
        <v>0</v>
      </c>
      <c r="E34" s="61"/>
      <c r="F34" s="61"/>
      <c r="G34" s="62">
        <f t="shared" ref="G34:G45" si="5">SUM(D34:F34)</f>
        <v>0</v>
      </c>
      <c r="H34" s="63">
        <v>7817</v>
      </c>
      <c r="I34" s="64">
        <v>8210</v>
      </c>
      <c r="J34" s="65"/>
      <c r="K34" s="66"/>
    </row>
    <row r="35" spans="2:11" s="67" customFormat="1" ht="21" customHeight="1" x14ac:dyDescent="0.2">
      <c r="B35" s="59" t="s">
        <v>401</v>
      </c>
      <c r="C35" s="69" t="s">
        <v>38</v>
      </c>
      <c r="D35" s="68">
        <f>Önkormányzat!I100</f>
        <v>136475706</v>
      </c>
      <c r="E35" s="63"/>
      <c r="F35" s="61"/>
      <c r="G35" s="62">
        <f t="shared" si="5"/>
        <v>136475706</v>
      </c>
      <c r="H35" s="63"/>
      <c r="I35" s="64"/>
      <c r="J35" s="65"/>
      <c r="K35" s="66"/>
    </row>
    <row r="36" spans="2:11" s="67" customFormat="1" ht="21" customHeight="1" x14ac:dyDescent="0.2">
      <c r="B36" s="59" t="s">
        <v>399</v>
      </c>
      <c r="C36" s="69" t="s">
        <v>281</v>
      </c>
      <c r="D36" s="68">
        <f>Önkormányzat!I125</f>
        <v>4547762</v>
      </c>
      <c r="E36" s="63"/>
      <c r="F36" s="61"/>
      <c r="G36" s="62">
        <f t="shared" si="5"/>
        <v>4547762</v>
      </c>
      <c r="H36" s="63"/>
      <c r="I36" s="64"/>
      <c r="J36" s="65"/>
      <c r="K36" s="66"/>
    </row>
    <row r="37" spans="2:11" s="67" customFormat="1" ht="25.5" customHeight="1" x14ac:dyDescent="0.2">
      <c r="B37" s="59" t="s">
        <v>400</v>
      </c>
      <c r="C37" s="69" t="s">
        <v>40</v>
      </c>
      <c r="D37" s="68">
        <f>Önkormányzat!I132</f>
        <v>1031660</v>
      </c>
      <c r="E37" s="63"/>
      <c r="F37" s="61"/>
      <c r="G37" s="62">
        <f t="shared" si="5"/>
        <v>1031660</v>
      </c>
      <c r="H37" s="63"/>
      <c r="I37" s="64"/>
      <c r="J37" s="65"/>
      <c r="K37" s="66"/>
    </row>
    <row r="38" spans="2:11" s="67" customFormat="1" ht="21" hidden="1" customHeight="1" x14ac:dyDescent="0.2">
      <c r="B38" s="59" t="s">
        <v>365</v>
      </c>
      <c r="C38" s="69" t="s">
        <v>42</v>
      </c>
      <c r="D38" s="68"/>
      <c r="E38" s="63"/>
      <c r="F38" s="61"/>
      <c r="G38" s="62">
        <f t="shared" si="5"/>
        <v>0</v>
      </c>
      <c r="H38" s="63"/>
      <c r="I38" s="64"/>
      <c r="J38" s="65"/>
      <c r="K38" s="66"/>
    </row>
    <row r="39" spans="2:11" s="67" customFormat="1" ht="21" hidden="1" customHeight="1" x14ac:dyDescent="0.2">
      <c r="B39" s="59" t="s">
        <v>366</v>
      </c>
      <c r="C39" s="69" t="s">
        <v>44</v>
      </c>
      <c r="D39" s="68"/>
      <c r="E39" s="63"/>
      <c r="F39" s="61"/>
      <c r="G39" s="62">
        <f t="shared" si="5"/>
        <v>0</v>
      </c>
      <c r="H39" s="63"/>
      <c r="I39" s="64"/>
      <c r="J39" s="65"/>
      <c r="K39" s="66"/>
    </row>
    <row r="40" spans="2:11" s="67" customFormat="1" ht="21" hidden="1" customHeight="1" x14ac:dyDescent="0.2">
      <c r="B40" s="59" t="s">
        <v>367</v>
      </c>
      <c r="C40" s="69" t="s">
        <v>285</v>
      </c>
      <c r="D40" s="68"/>
      <c r="E40" s="63"/>
      <c r="F40" s="61"/>
      <c r="G40" s="62">
        <f t="shared" si="5"/>
        <v>0</v>
      </c>
      <c r="H40" s="63"/>
      <c r="I40" s="64"/>
      <c r="J40" s="65"/>
      <c r="K40" s="66"/>
    </row>
    <row r="41" spans="2:11" s="67" customFormat="1" ht="21" hidden="1" customHeight="1" x14ac:dyDescent="0.2">
      <c r="B41" s="59" t="s">
        <v>368</v>
      </c>
      <c r="C41" s="69" t="s">
        <v>46</v>
      </c>
      <c r="D41" s="68"/>
      <c r="E41" s="63"/>
      <c r="F41" s="61"/>
      <c r="G41" s="62">
        <f t="shared" si="5"/>
        <v>0</v>
      </c>
      <c r="H41" s="63"/>
      <c r="I41" s="64"/>
      <c r="J41" s="65"/>
      <c r="K41" s="66"/>
    </row>
    <row r="42" spans="2:11" s="67" customFormat="1" ht="21" hidden="1" customHeight="1" x14ac:dyDescent="0.2">
      <c r="B42" s="59" t="s">
        <v>369</v>
      </c>
      <c r="C42" s="69" t="s">
        <v>48</v>
      </c>
      <c r="D42" s="68">
        <v>0</v>
      </c>
      <c r="E42" s="63"/>
      <c r="F42" s="61"/>
      <c r="G42" s="62">
        <f t="shared" si="5"/>
        <v>0</v>
      </c>
      <c r="H42" s="63">
        <v>0</v>
      </c>
      <c r="I42" s="64">
        <v>0</v>
      </c>
      <c r="J42" s="65"/>
      <c r="K42" s="66"/>
    </row>
    <row r="43" spans="2:11" s="67" customFormat="1" ht="21" hidden="1" customHeight="1" x14ac:dyDescent="0.2">
      <c r="B43" s="59" t="s">
        <v>370</v>
      </c>
      <c r="C43" s="69" t="s">
        <v>50</v>
      </c>
      <c r="D43" s="68"/>
      <c r="E43" s="63"/>
      <c r="F43" s="61"/>
      <c r="G43" s="62">
        <f t="shared" si="5"/>
        <v>0</v>
      </c>
      <c r="H43" s="63"/>
      <c r="I43" s="64"/>
      <c r="J43" s="65"/>
      <c r="K43" s="66"/>
    </row>
    <row r="44" spans="2:11" s="67" customFormat="1" ht="21" hidden="1" customHeight="1" x14ac:dyDescent="0.2">
      <c r="B44" s="59" t="s">
        <v>371</v>
      </c>
      <c r="C44" s="69" t="s">
        <v>52</v>
      </c>
      <c r="D44" s="68"/>
      <c r="E44" s="63"/>
      <c r="F44" s="61"/>
      <c r="G44" s="62">
        <f t="shared" si="5"/>
        <v>0</v>
      </c>
      <c r="H44" s="63"/>
      <c r="I44" s="64"/>
      <c r="J44" s="65"/>
      <c r="K44" s="66"/>
    </row>
    <row r="45" spans="2:11" s="67" customFormat="1" ht="27" hidden="1" customHeight="1" x14ac:dyDescent="0.2">
      <c r="B45" s="59" t="s">
        <v>372</v>
      </c>
      <c r="C45" s="69" t="s">
        <v>54</v>
      </c>
      <c r="D45" s="68">
        <v>0</v>
      </c>
      <c r="E45" s="63"/>
      <c r="F45" s="61"/>
      <c r="G45" s="62">
        <f t="shared" si="5"/>
        <v>0</v>
      </c>
      <c r="H45" s="63"/>
      <c r="I45" s="64"/>
      <c r="J45" s="65"/>
      <c r="K45" s="66"/>
    </row>
    <row r="46" spans="2:11" s="67" customFormat="1" ht="33.75" customHeight="1" x14ac:dyDescent="0.2">
      <c r="B46" s="70" t="s">
        <v>373</v>
      </c>
      <c r="C46" s="92" t="s">
        <v>56</v>
      </c>
      <c r="D46" s="72">
        <f t="shared" ref="D46:I46" si="6">SUM(D34:D45)</f>
        <v>142055128</v>
      </c>
      <c r="E46" s="72">
        <f t="shared" si="6"/>
        <v>0</v>
      </c>
      <c r="F46" s="72">
        <f t="shared" si="6"/>
        <v>0</v>
      </c>
      <c r="G46" s="93">
        <f t="shared" si="6"/>
        <v>142055128</v>
      </c>
      <c r="H46" s="74">
        <f t="shared" si="6"/>
        <v>7817</v>
      </c>
      <c r="I46" s="74">
        <f t="shared" si="6"/>
        <v>8210</v>
      </c>
      <c r="J46" s="65"/>
      <c r="K46" s="66"/>
    </row>
    <row r="47" spans="2:11" s="67" customFormat="1" ht="21" customHeight="1" x14ac:dyDescent="0.2">
      <c r="B47" s="59" t="s">
        <v>402</v>
      </c>
      <c r="C47" s="94" t="s">
        <v>58</v>
      </c>
      <c r="D47" s="61">
        <f>Önkormányzat!I65</f>
        <v>6410589</v>
      </c>
      <c r="E47" s="61">
        <f>'Művelődési ház'!I35</f>
        <v>103892</v>
      </c>
      <c r="F47" s="61">
        <f>'Közös Hivatal'!I42</f>
        <v>16100</v>
      </c>
      <c r="G47" s="62">
        <f t="shared" ref="G47:G57" si="7">SUM(D47:F47)</f>
        <v>6530581</v>
      </c>
      <c r="H47" s="63"/>
      <c r="I47" s="64"/>
      <c r="J47" s="65"/>
      <c r="K47" s="66"/>
    </row>
    <row r="48" spans="2:11" s="67" customFormat="1" ht="21" customHeight="1" x14ac:dyDescent="0.2">
      <c r="B48" s="59" t="s">
        <v>374</v>
      </c>
      <c r="C48" s="69" t="s">
        <v>375</v>
      </c>
      <c r="D48" s="61">
        <f>Önkormányzat!I69</f>
        <v>104338373</v>
      </c>
      <c r="E48" s="61">
        <f>'Művelődési ház'!I38</f>
        <v>81320</v>
      </c>
      <c r="F48" s="61"/>
      <c r="G48" s="62">
        <f t="shared" si="7"/>
        <v>104419693</v>
      </c>
      <c r="H48" s="63">
        <f>G48*1.01</f>
        <v>105463889.93000001</v>
      </c>
      <c r="I48" s="63">
        <f>H48*1.01</f>
        <v>106518528.8293</v>
      </c>
      <c r="J48" s="65"/>
      <c r="K48" s="66"/>
    </row>
    <row r="49" spans="2:12" s="67" customFormat="1" ht="21" customHeight="1" x14ac:dyDescent="0.2">
      <c r="B49" s="59" t="s">
        <v>376</v>
      </c>
      <c r="C49" s="69" t="s">
        <v>60</v>
      </c>
      <c r="D49" s="68">
        <f>Önkormányzat!I72</f>
        <v>62518</v>
      </c>
      <c r="E49" s="63"/>
      <c r="F49" s="61"/>
      <c r="G49" s="62">
        <f t="shared" si="7"/>
        <v>62518</v>
      </c>
      <c r="H49" s="63"/>
      <c r="I49" s="64"/>
      <c r="J49" s="65"/>
      <c r="K49" s="66"/>
    </row>
    <row r="50" spans="2:12" s="67" customFormat="1" ht="27" hidden="1" customHeight="1" x14ac:dyDescent="0.2">
      <c r="B50" s="59" t="s">
        <v>377</v>
      </c>
      <c r="C50" s="69" t="s">
        <v>62</v>
      </c>
      <c r="D50" s="68">
        <v>0</v>
      </c>
      <c r="E50" s="63"/>
      <c r="F50" s="61"/>
      <c r="G50" s="62">
        <f t="shared" si="7"/>
        <v>0</v>
      </c>
      <c r="H50" s="63">
        <v>510</v>
      </c>
      <c r="I50" s="64">
        <v>515</v>
      </c>
      <c r="J50" s="65"/>
      <c r="K50" s="66"/>
    </row>
    <row r="51" spans="2:12" s="67" customFormat="1" ht="21" hidden="1" customHeight="1" x14ac:dyDescent="0.2">
      <c r="B51" s="59" t="s">
        <v>378</v>
      </c>
      <c r="C51" s="69" t="s">
        <v>64</v>
      </c>
      <c r="D51" s="68"/>
      <c r="E51" s="63"/>
      <c r="F51" s="61"/>
      <c r="G51" s="62">
        <f t="shared" si="7"/>
        <v>0</v>
      </c>
      <c r="H51" s="63"/>
      <c r="I51" s="64"/>
      <c r="J51" s="65"/>
      <c r="K51" s="66"/>
    </row>
    <row r="52" spans="2:12" s="67" customFormat="1" ht="13.5" hidden="1" customHeight="1" x14ac:dyDescent="0.2">
      <c r="B52" s="59" t="s">
        <v>379</v>
      </c>
      <c r="C52" s="69" t="s">
        <v>165</v>
      </c>
      <c r="D52" s="68"/>
      <c r="E52" s="63"/>
      <c r="F52" s="61"/>
      <c r="G52" s="62">
        <f t="shared" si="7"/>
        <v>0</v>
      </c>
      <c r="H52" s="63"/>
      <c r="I52" s="64"/>
      <c r="J52" s="65"/>
      <c r="K52" s="66"/>
    </row>
    <row r="53" spans="2:12" s="67" customFormat="1" ht="16.5" hidden="1" customHeight="1" x14ac:dyDescent="0.2">
      <c r="B53" s="59" t="s">
        <v>380</v>
      </c>
      <c r="C53" s="69" t="s">
        <v>66</v>
      </c>
      <c r="D53" s="68"/>
      <c r="E53" s="63"/>
      <c r="F53" s="61"/>
      <c r="G53" s="62">
        <f t="shared" si="7"/>
        <v>0</v>
      </c>
      <c r="H53" s="63"/>
      <c r="I53" s="64"/>
      <c r="J53" s="65"/>
      <c r="K53" s="66"/>
    </row>
    <row r="54" spans="2:12" s="67" customFormat="1" ht="21" hidden="1" customHeight="1" x14ac:dyDescent="0.2">
      <c r="B54" s="59" t="s">
        <v>381</v>
      </c>
      <c r="C54" s="69" t="s">
        <v>68</v>
      </c>
      <c r="D54" s="68"/>
      <c r="E54" s="63"/>
      <c r="F54" s="61"/>
      <c r="G54" s="62">
        <f t="shared" si="7"/>
        <v>0</v>
      </c>
      <c r="H54" s="63"/>
      <c r="I54" s="64"/>
      <c r="J54" s="65"/>
      <c r="K54" s="66"/>
    </row>
    <row r="55" spans="2:12" s="67" customFormat="1" ht="21" hidden="1" customHeight="1" x14ac:dyDescent="0.2">
      <c r="B55" s="59" t="s">
        <v>382</v>
      </c>
      <c r="C55" s="69" t="s">
        <v>70</v>
      </c>
      <c r="D55" s="68"/>
      <c r="E55" s="63"/>
      <c r="F55" s="61"/>
      <c r="G55" s="62">
        <f t="shared" si="7"/>
        <v>0</v>
      </c>
      <c r="H55" s="63"/>
      <c r="I55" s="64"/>
      <c r="J55" s="65"/>
      <c r="K55" s="66"/>
    </row>
    <row r="56" spans="2:12" s="67" customFormat="1" ht="21" hidden="1" customHeight="1" x14ac:dyDescent="0.2">
      <c r="B56" s="59" t="s">
        <v>383</v>
      </c>
      <c r="C56" s="69" t="s">
        <v>246</v>
      </c>
      <c r="D56" s="68"/>
      <c r="E56" s="63"/>
      <c r="F56" s="61"/>
      <c r="G56" s="62">
        <f t="shared" si="7"/>
        <v>0</v>
      </c>
      <c r="H56" s="63"/>
      <c r="I56" s="64"/>
      <c r="J56" s="65"/>
      <c r="K56" s="66"/>
    </row>
    <row r="57" spans="2:12" s="67" customFormat="1" ht="21" hidden="1" customHeight="1" x14ac:dyDescent="0.2">
      <c r="B57" s="59" t="s">
        <v>384</v>
      </c>
      <c r="C57" s="69" t="s">
        <v>385</v>
      </c>
      <c r="D57" s="68">
        <v>0</v>
      </c>
      <c r="E57" s="63"/>
      <c r="F57" s="61"/>
      <c r="G57" s="62">
        <f t="shared" si="7"/>
        <v>0</v>
      </c>
      <c r="H57" s="63">
        <v>5438</v>
      </c>
      <c r="I57" s="64">
        <v>6519</v>
      </c>
      <c r="J57" s="65"/>
      <c r="K57" s="66"/>
    </row>
    <row r="58" spans="2:12" s="67" customFormat="1" ht="27" customHeight="1" thickBot="1" x14ac:dyDescent="0.25">
      <c r="B58" s="95" t="s">
        <v>386</v>
      </c>
      <c r="C58" s="96" t="s">
        <v>248</v>
      </c>
      <c r="D58" s="97">
        <f t="shared" ref="D58:I58" si="8">SUM(D47:D57)</f>
        <v>110811480</v>
      </c>
      <c r="E58" s="97">
        <f t="shared" si="8"/>
        <v>185212</v>
      </c>
      <c r="F58" s="97">
        <f t="shared" si="8"/>
        <v>16100</v>
      </c>
      <c r="G58" s="83">
        <f t="shared" si="8"/>
        <v>111012792</v>
      </c>
      <c r="H58" s="83">
        <f t="shared" si="8"/>
        <v>105469837.93000001</v>
      </c>
      <c r="I58" s="83">
        <f t="shared" si="8"/>
        <v>106525562.8293</v>
      </c>
      <c r="J58" s="65"/>
      <c r="K58" s="84"/>
    </row>
    <row r="59" spans="2:12" s="67" customFormat="1" ht="27.75" customHeight="1" thickBot="1" x14ac:dyDescent="0.25">
      <c r="B59" s="98" t="s">
        <v>387</v>
      </c>
      <c r="C59" s="99" t="s">
        <v>72</v>
      </c>
      <c r="D59" s="100">
        <f t="shared" ref="D59:I59" si="9">D19+D46</f>
        <v>613012991</v>
      </c>
      <c r="E59" s="100">
        <f t="shared" si="9"/>
        <v>11027670</v>
      </c>
      <c r="F59" s="100">
        <f t="shared" si="9"/>
        <v>66866466</v>
      </c>
      <c r="G59" s="73">
        <f t="shared" si="9"/>
        <v>690907127</v>
      </c>
      <c r="H59" s="73">
        <f t="shared" si="9"/>
        <v>393597</v>
      </c>
      <c r="I59" s="73">
        <f t="shared" si="9"/>
        <v>398950.54000000004</v>
      </c>
      <c r="J59" s="101"/>
      <c r="K59" s="120">
        <f>G59-K26</f>
        <v>623375207</v>
      </c>
      <c r="L59" s="102"/>
    </row>
    <row r="60" spans="2:12" s="67" customFormat="1" ht="23.25" customHeight="1" thickBot="1" x14ac:dyDescent="0.25">
      <c r="B60" s="103" t="s">
        <v>388</v>
      </c>
      <c r="C60" s="104" t="s">
        <v>74</v>
      </c>
      <c r="D60" s="105">
        <f t="shared" ref="D60:I60" si="10">D58+D32</f>
        <v>447375136</v>
      </c>
      <c r="E60" s="105">
        <f t="shared" si="10"/>
        <v>10980115</v>
      </c>
      <c r="F60" s="105">
        <f t="shared" si="10"/>
        <v>64736871</v>
      </c>
      <c r="G60" s="106">
        <f t="shared" si="10"/>
        <v>523092122</v>
      </c>
      <c r="H60" s="106">
        <f t="shared" si="10"/>
        <v>181201858.52000001</v>
      </c>
      <c r="I60" s="106">
        <f t="shared" si="10"/>
        <v>183015295.49520001</v>
      </c>
      <c r="J60" s="101"/>
      <c r="K60" s="120">
        <f>G60-K26</f>
        <v>455560202</v>
      </c>
      <c r="L60" s="102"/>
    </row>
    <row r="61" spans="2:12" x14ac:dyDescent="0.25">
      <c r="C61" s="107"/>
      <c r="D61" s="108"/>
      <c r="E61" s="108"/>
      <c r="F61" s="108"/>
      <c r="G61" s="109"/>
    </row>
    <row r="63" spans="2:12" x14ac:dyDescent="0.25">
      <c r="K63" s="35">
        <f>K59-K60</f>
        <v>167815005</v>
      </c>
    </row>
    <row r="129" spans="2:2" x14ac:dyDescent="0.25">
      <c r="B129" s="110"/>
    </row>
    <row r="130" spans="2:2" x14ac:dyDescent="0.25">
      <c r="B130" s="110"/>
    </row>
    <row r="131" spans="2:2" x14ac:dyDescent="0.25">
      <c r="B131" s="110"/>
    </row>
    <row r="132" spans="2:2" x14ac:dyDescent="0.25">
      <c r="B132" s="110"/>
    </row>
    <row r="133" spans="2:2" x14ac:dyDescent="0.25">
      <c r="B133" s="110"/>
    </row>
    <row r="134" spans="2:2" x14ac:dyDescent="0.25">
      <c r="B134" s="110"/>
    </row>
    <row r="135" spans="2:2" x14ac:dyDescent="0.25">
      <c r="B135" s="110"/>
    </row>
    <row r="136" spans="2:2" x14ac:dyDescent="0.25">
      <c r="B136" s="110"/>
    </row>
    <row r="137" spans="2:2" x14ac:dyDescent="0.25">
      <c r="B137" s="110"/>
    </row>
    <row r="138" spans="2:2" x14ac:dyDescent="0.25">
      <c r="B138" s="110"/>
    </row>
    <row r="139" spans="2:2" x14ac:dyDescent="0.25">
      <c r="B139" s="110"/>
    </row>
    <row r="140" spans="2:2" x14ac:dyDescent="0.25">
      <c r="B140" s="110"/>
    </row>
    <row r="141" spans="2:2" x14ac:dyDescent="0.25">
      <c r="B141" s="110"/>
    </row>
    <row r="142" spans="2:2" x14ac:dyDescent="0.25">
      <c r="B142" s="110"/>
    </row>
    <row r="143" spans="2:2" x14ac:dyDescent="0.25">
      <c r="B143" s="110"/>
    </row>
    <row r="144" spans="2:2" x14ac:dyDescent="0.25">
      <c r="B144" s="110"/>
    </row>
    <row r="145" spans="2:2" x14ac:dyDescent="0.25">
      <c r="B145" s="110"/>
    </row>
    <row r="146" spans="2:2" x14ac:dyDescent="0.25">
      <c r="B146" s="110"/>
    </row>
    <row r="147" spans="2:2" x14ac:dyDescent="0.25">
      <c r="B147" s="110"/>
    </row>
    <row r="148" spans="2:2" x14ac:dyDescent="0.25">
      <c r="B148" s="110"/>
    </row>
    <row r="149" spans="2:2" x14ac:dyDescent="0.25">
      <c r="B149" s="110"/>
    </row>
    <row r="150" spans="2:2" x14ac:dyDescent="0.25">
      <c r="B150" s="110"/>
    </row>
    <row r="151" spans="2:2" x14ac:dyDescent="0.25">
      <c r="B151" s="110"/>
    </row>
    <row r="152" spans="2:2" x14ac:dyDescent="0.25">
      <c r="B152" s="110"/>
    </row>
    <row r="153" spans="2:2" x14ac:dyDescent="0.25">
      <c r="B153" s="110"/>
    </row>
    <row r="154" spans="2:2" x14ac:dyDescent="0.25">
      <c r="B154" s="110"/>
    </row>
    <row r="155" spans="2:2" x14ac:dyDescent="0.25">
      <c r="B155" s="110"/>
    </row>
    <row r="156" spans="2:2" x14ac:dyDescent="0.25">
      <c r="B156" s="110"/>
    </row>
    <row r="157" spans="2:2" x14ac:dyDescent="0.25">
      <c r="B157" s="110"/>
    </row>
    <row r="158" spans="2:2" x14ac:dyDescent="0.25">
      <c r="B158" s="110"/>
    </row>
    <row r="159" spans="2:2" x14ac:dyDescent="0.25">
      <c r="B159" s="110"/>
    </row>
    <row r="160" spans="2:2" x14ac:dyDescent="0.25">
      <c r="B160" s="110"/>
    </row>
    <row r="161" spans="2:2" x14ac:dyDescent="0.25">
      <c r="B161" s="110"/>
    </row>
    <row r="162" spans="2:2" x14ac:dyDescent="0.25">
      <c r="B162" s="110"/>
    </row>
    <row r="163" spans="2:2" x14ac:dyDescent="0.25">
      <c r="B163" s="110"/>
    </row>
    <row r="164" spans="2:2" x14ac:dyDescent="0.25">
      <c r="B164" s="110"/>
    </row>
    <row r="165" spans="2:2" x14ac:dyDescent="0.25">
      <c r="B165" s="110"/>
    </row>
    <row r="166" spans="2:2" x14ac:dyDescent="0.25">
      <c r="B166" s="110"/>
    </row>
    <row r="167" spans="2:2" x14ac:dyDescent="0.25">
      <c r="B167" s="110"/>
    </row>
    <row r="168" spans="2:2" x14ac:dyDescent="0.25">
      <c r="B168" s="110"/>
    </row>
    <row r="169" spans="2:2" x14ac:dyDescent="0.25">
      <c r="B169" s="110"/>
    </row>
    <row r="170" spans="2:2" x14ac:dyDescent="0.25">
      <c r="B170" s="110"/>
    </row>
    <row r="171" spans="2:2" x14ac:dyDescent="0.25">
      <c r="B171" s="110"/>
    </row>
    <row r="172" spans="2:2" x14ac:dyDescent="0.25">
      <c r="B172" s="110"/>
    </row>
    <row r="173" spans="2:2" x14ac:dyDescent="0.25">
      <c r="B173" s="110"/>
    </row>
    <row r="174" spans="2:2" x14ac:dyDescent="0.25">
      <c r="B174" s="110"/>
    </row>
    <row r="175" spans="2:2" x14ac:dyDescent="0.25">
      <c r="B175" s="110"/>
    </row>
    <row r="176" spans="2:2" x14ac:dyDescent="0.25">
      <c r="B176" s="110"/>
    </row>
    <row r="177" spans="2:2" x14ac:dyDescent="0.25">
      <c r="B177" s="110"/>
    </row>
    <row r="178" spans="2:2" x14ac:dyDescent="0.25">
      <c r="B178" s="110"/>
    </row>
    <row r="179" spans="2:2" x14ac:dyDescent="0.25">
      <c r="B179" s="110"/>
    </row>
    <row r="180" spans="2:2" x14ac:dyDescent="0.25">
      <c r="B180" s="110"/>
    </row>
    <row r="181" spans="2:2" x14ac:dyDescent="0.25">
      <c r="B181" s="110"/>
    </row>
    <row r="182" spans="2:2" x14ac:dyDescent="0.25">
      <c r="B182" s="110"/>
    </row>
    <row r="183" spans="2:2" x14ac:dyDescent="0.25">
      <c r="B183" s="110"/>
    </row>
    <row r="184" spans="2:2" x14ac:dyDescent="0.25">
      <c r="B184" s="110"/>
    </row>
    <row r="185" spans="2:2" x14ac:dyDescent="0.25">
      <c r="B185" s="110"/>
    </row>
    <row r="186" spans="2:2" x14ac:dyDescent="0.25">
      <c r="B186" s="110"/>
    </row>
    <row r="187" spans="2:2" x14ac:dyDescent="0.25">
      <c r="B187" s="110"/>
    </row>
    <row r="188" spans="2:2" x14ac:dyDescent="0.25">
      <c r="B188" s="110"/>
    </row>
    <row r="189" spans="2:2" x14ac:dyDescent="0.25">
      <c r="B189" s="110"/>
    </row>
    <row r="190" spans="2:2" x14ac:dyDescent="0.25">
      <c r="B190" s="110"/>
    </row>
    <row r="191" spans="2:2" x14ac:dyDescent="0.25">
      <c r="B191" s="110"/>
    </row>
    <row r="192" spans="2:2" x14ac:dyDescent="0.25">
      <c r="B192" s="110"/>
    </row>
    <row r="193" spans="2:2" x14ac:dyDescent="0.25">
      <c r="B193" s="110"/>
    </row>
    <row r="194" spans="2:2" x14ac:dyDescent="0.25">
      <c r="B194" s="110"/>
    </row>
    <row r="195" spans="2:2" x14ac:dyDescent="0.25">
      <c r="B195" s="110"/>
    </row>
    <row r="196" spans="2:2" x14ac:dyDescent="0.25">
      <c r="B196" s="110"/>
    </row>
    <row r="197" spans="2:2" x14ac:dyDescent="0.25">
      <c r="B197" s="110"/>
    </row>
    <row r="198" spans="2:2" x14ac:dyDescent="0.25">
      <c r="B198" s="110"/>
    </row>
    <row r="199" spans="2:2" x14ac:dyDescent="0.25">
      <c r="B199" s="110"/>
    </row>
    <row r="200" spans="2:2" x14ac:dyDescent="0.25">
      <c r="B200" s="110"/>
    </row>
    <row r="201" spans="2:2" x14ac:dyDescent="0.25">
      <c r="B201" s="110"/>
    </row>
    <row r="202" spans="2:2" x14ac:dyDescent="0.25">
      <c r="B202" s="110"/>
    </row>
    <row r="203" spans="2:2" x14ac:dyDescent="0.25">
      <c r="B203" s="110"/>
    </row>
    <row r="204" spans="2:2" x14ac:dyDescent="0.25">
      <c r="B204" s="110"/>
    </row>
    <row r="205" spans="2:2" x14ac:dyDescent="0.25">
      <c r="B205" s="110"/>
    </row>
    <row r="206" spans="2:2" x14ac:dyDescent="0.25">
      <c r="B206" s="110"/>
    </row>
    <row r="207" spans="2:2" x14ac:dyDescent="0.25">
      <c r="B207" s="110"/>
    </row>
    <row r="208" spans="2:2" x14ac:dyDescent="0.25">
      <c r="B208" s="110"/>
    </row>
    <row r="209" spans="2:2" x14ac:dyDescent="0.25">
      <c r="B209" s="110"/>
    </row>
    <row r="210" spans="2:2" x14ac:dyDescent="0.25">
      <c r="B210" s="110"/>
    </row>
    <row r="211" spans="2:2" x14ac:dyDescent="0.25">
      <c r="B211" s="110"/>
    </row>
  </sheetData>
  <mergeCells count="6">
    <mergeCell ref="B2:I2"/>
    <mergeCell ref="B3:I3"/>
    <mergeCell ref="B4:I4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topLeftCell="A17" workbookViewId="0">
      <selection activeCell="E67" sqref="E67"/>
    </sheetView>
  </sheetViews>
  <sheetFormatPr defaultRowHeight="12.75" x14ac:dyDescent="0.2"/>
  <cols>
    <col min="1" max="1" width="5.85546875" style="30" customWidth="1"/>
    <col min="2" max="2" width="17.5703125" style="30" hidden="1" customWidth="1"/>
    <col min="3" max="3" width="31" style="30" customWidth="1"/>
    <col min="4" max="4" width="14.7109375" style="30" customWidth="1"/>
    <col min="5" max="16384" width="9.140625" style="30"/>
  </cols>
  <sheetData>
    <row r="1" spans="1:4" x14ac:dyDescent="0.2">
      <c r="A1" s="29" t="s">
        <v>486</v>
      </c>
    </row>
    <row r="3" spans="1:4" x14ac:dyDescent="0.2">
      <c r="C3" s="29" t="s">
        <v>404</v>
      </c>
    </row>
    <row r="5" spans="1:4" ht="26.25" customHeight="1" x14ac:dyDescent="0.2">
      <c r="A5" s="231" t="s">
        <v>389</v>
      </c>
      <c r="B5" s="231"/>
      <c r="C5" s="231"/>
      <c r="D5" s="231"/>
    </row>
    <row r="6" spans="1:4" ht="24" customHeight="1" x14ac:dyDescent="0.2">
      <c r="A6" s="232" t="s">
        <v>419</v>
      </c>
      <c r="B6" s="232"/>
      <c r="C6" s="232"/>
      <c r="D6" s="232"/>
    </row>
    <row r="7" spans="1:4" ht="24" hidden="1" customHeight="1" x14ac:dyDescent="0.2">
      <c r="A7" s="111"/>
      <c r="B7" s="112"/>
      <c r="C7" s="112"/>
      <c r="D7" s="112"/>
    </row>
    <row r="8" spans="1:4" ht="24" customHeight="1" x14ac:dyDescent="0.2">
      <c r="A8" s="113" t="s">
        <v>390</v>
      </c>
      <c r="B8" s="114" t="s">
        <v>391</v>
      </c>
      <c r="C8" s="115" t="s">
        <v>392</v>
      </c>
      <c r="D8" s="115" t="s">
        <v>393</v>
      </c>
    </row>
    <row r="9" spans="1:4" x14ac:dyDescent="0.2">
      <c r="A9" s="32">
        <v>1</v>
      </c>
      <c r="B9" s="32"/>
      <c r="C9" s="116" t="s">
        <v>405</v>
      </c>
      <c r="D9" s="117">
        <v>780000</v>
      </c>
    </row>
    <row r="10" spans="1:4" x14ac:dyDescent="0.2">
      <c r="A10" s="32">
        <v>2</v>
      </c>
      <c r="B10" s="32"/>
      <c r="C10" s="116" t="s">
        <v>406</v>
      </c>
      <c r="D10" s="117">
        <v>859800</v>
      </c>
    </row>
    <row r="11" spans="1:4" x14ac:dyDescent="0.2">
      <c r="A11" s="32">
        <v>3</v>
      </c>
      <c r="B11" s="32"/>
      <c r="C11" s="116" t="s">
        <v>407</v>
      </c>
      <c r="D11" s="117">
        <v>12835</v>
      </c>
    </row>
    <row r="12" spans="1:4" x14ac:dyDescent="0.2">
      <c r="A12" s="32">
        <v>4</v>
      </c>
      <c r="B12" s="32"/>
      <c r="C12" s="116" t="s">
        <v>408</v>
      </c>
      <c r="D12" s="117">
        <v>14960</v>
      </c>
    </row>
    <row r="13" spans="1:4" x14ac:dyDescent="0.2">
      <c r="A13" s="32">
        <v>5</v>
      </c>
      <c r="B13" s="32"/>
      <c r="C13" s="116" t="s">
        <v>409</v>
      </c>
      <c r="D13" s="117">
        <v>41988</v>
      </c>
    </row>
    <row r="14" spans="1:4" x14ac:dyDescent="0.2">
      <c r="A14" s="32">
        <v>6</v>
      </c>
      <c r="B14" s="32"/>
      <c r="C14" s="116" t="s">
        <v>410</v>
      </c>
      <c r="D14" s="117">
        <v>90472</v>
      </c>
    </row>
    <row r="15" spans="1:4" x14ac:dyDescent="0.2">
      <c r="A15" s="32">
        <v>7</v>
      </c>
      <c r="B15" s="32"/>
      <c r="C15" s="116" t="s">
        <v>411</v>
      </c>
      <c r="D15" s="117">
        <v>155441</v>
      </c>
    </row>
    <row r="16" spans="1:4" x14ac:dyDescent="0.2">
      <c r="A16" s="32">
        <v>8</v>
      </c>
      <c r="B16" s="32"/>
      <c r="C16" s="116" t="s">
        <v>412</v>
      </c>
      <c r="D16" s="117">
        <v>124000</v>
      </c>
    </row>
    <row r="17" spans="1:4" x14ac:dyDescent="0.2">
      <c r="A17" s="32">
        <v>9</v>
      </c>
      <c r="B17" s="32"/>
      <c r="C17" s="116" t="s">
        <v>413</v>
      </c>
      <c r="D17" s="117">
        <v>434067</v>
      </c>
    </row>
    <row r="18" spans="1:4" x14ac:dyDescent="0.2">
      <c r="A18" s="32">
        <v>10</v>
      </c>
      <c r="B18" s="32"/>
      <c r="C18" s="116" t="s">
        <v>414</v>
      </c>
      <c r="D18" s="117">
        <v>112289</v>
      </c>
    </row>
    <row r="19" spans="1:4" x14ac:dyDescent="0.2">
      <c r="A19" s="32">
        <v>11</v>
      </c>
      <c r="B19" s="32"/>
      <c r="C19" s="116" t="s">
        <v>415</v>
      </c>
      <c r="D19" s="117">
        <v>358300</v>
      </c>
    </row>
    <row r="20" spans="1:4" x14ac:dyDescent="0.2">
      <c r="A20" s="32">
        <v>12</v>
      </c>
      <c r="B20" s="32"/>
      <c r="C20" s="116" t="s">
        <v>416</v>
      </c>
      <c r="D20" s="117">
        <v>14354</v>
      </c>
    </row>
    <row r="21" spans="1:4" x14ac:dyDescent="0.2">
      <c r="A21" s="32">
        <v>13</v>
      </c>
      <c r="B21" s="32"/>
      <c r="C21" s="116" t="s">
        <v>417</v>
      </c>
      <c r="D21" s="117">
        <v>2208661</v>
      </c>
    </row>
    <row r="22" spans="1:4" x14ac:dyDescent="0.2">
      <c r="A22" s="32">
        <v>14</v>
      </c>
      <c r="B22" s="32"/>
      <c r="C22" s="116" t="s">
        <v>418</v>
      </c>
      <c r="D22" s="117">
        <v>190000</v>
      </c>
    </row>
    <row r="23" spans="1:4" x14ac:dyDescent="0.2">
      <c r="A23" s="32"/>
      <c r="B23" s="32"/>
      <c r="C23" s="116"/>
      <c r="D23" s="117"/>
    </row>
    <row r="24" spans="1:4" x14ac:dyDescent="0.2">
      <c r="A24" s="32"/>
      <c r="B24" s="32"/>
      <c r="C24" s="116"/>
      <c r="D24" s="117"/>
    </row>
    <row r="25" spans="1:4" x14ac:dyDescent="0.2">
      <c r="A25" s="32"/>
      <c r="B25" s="32"/>
      <c r="C25" s="31" t="s">
        <v>327</v>
      </c>
      <c r="D25" s="118">
        <f>SUM(D9:D24)</f>
        <v>5397167</v>
      </c>
    </row>
    <row r="26" spans="1:4" ht="25.5" customHeight="1" x14ac:dyDescent="0.2">
      <c r="A26" s="232" t="s">
        <v>427</v>
      </c>
      <c r="B26" s="232"/>
      <c r="C26" s="232"/>
      <c r="D26" s="232"/>
    </row>
    <row r="27" spans="1:4" ht="26.25" customHeight="1" x14ac:dyDescent="0.2">
      <c r="A27" s="113" t="s">
        <v>390</v>
      </c>
      <c r="B27" s="114" t="s">
        <v>391</v>
      </c>
      <c r="C27" s="115" t="s">
        <v>392</v>
      </c>
      <c r="D27" s="115" t="s">
        <v>393</v>
      </c>
    </row>
    <row r="28" spans="1:4" x14ac:dyDescent="0.2">
      <c r="A28" s="32"/>
      <c r="B28" s="32"/>
      <c r="C28" s="116" t="s">
        <v>420</v>
      </c>
      <c r="D28" s="117">
        <v>147200</v>
      </c>
    </row>
    <row r="29" spans="1:4" x14ac:dyDescent="0.2">
      <c r="A29" s="32"/>
      <c r="B29" s="32"/>
      <c r="C29" s="119" t="s">
        <v>396</v>
      </c>
      <c r="D29" s="117">
        <v>18486460</v>
      </c>
    </row>
    <row r="30" spans="1:4" x14ac:dyDescent="0.2">
      <c r="A30" s="32"/>
      <c r="B30" s="32"/>
      <c r="C30" s="116" t="s">
        <v>394</v>
      </c>
      <c r="D30" s="117">
        <v>2641902</v>
      </c>
    </row>
    <row r="31" spans="1:4" x14ac:dyDescent="0.2">
      <c r="A31" s="32"/>
      <c r="B31" s="32"/>
      <c r="C31" s="116" t="s">
        <v>421</v>
      </c>
      <c r="D31" s="117">
        <v>667995</v>
      </c>
    </row>
    <row r="32" spans="1:4" x14ac:dyDescent="0.2">
      <c r="A32" s="32"/>
      <c r="B32" s="32"/>
      <c r="C32" s="116" t="s">
        <v>422</v>
      </c>
      <c r="D32" s="117">
        <v>33138253</v>
      </c>
    </row>
    <row r="33" spans="1:4" x14ac:dyDescent="0.2">
      <c r="A33" s="32"/>
      <c r="B33" s="32"/>
      <c r="C33" s="116" t="s">
        <v>423</v>
      </c>
      <c r="D33" s="117">
        <v>35318313</v>
      </c>
    </row>
    <row r="34" spans="1:4" x14ac:dyDescent="0.2">
      <c r="A34" s="32"/>
      <c r="B34" s="32"/>
      <c r="C34" s="116" t="s">
        <v>424</v>
      </c>
      <c r="D34" s="117">
        <v>1655000</v>
      </c>
    </row>
    <row r="35" spans="1:4" x14ac:dyDescent="0.2">
      <c r="A35" s="32"/>
      <c r="B35" s="32"/>
      <c r="C35" s="116" t="s">
        <v>425</v>
      </c>
      <c r="D35" s="117">
        <v>124000</v>
      </c>
    </row>
    <row r="36" spans="1:4" x14ac:dyDescent="0.2">
      <c r="A36" s="32"/>
      <c r="B36" s="32"/>
      <c r="C36" s="116" t="s">
        <v>426</v>
      </c>
      <c r="D36" s="117">
        <v>119800</v>
      </c>
    </row>
    <row r="37" spans="1:4" x14ac:dyDescent="0.2">
      <c r="A37" s="32"/>
      <c r="B37" s="32"/>
      <c r="C37" s="116"/>
      <c r="D37" s="117"/>
    </row>
    <row r="38" spans="1:4" x14ac:dyDescent="0.2">
      <c r="A38" s="32"/>
      <c r="B38" s="32"/>
      <c r="C38" s="116"/>
      <c r="D38" s="117"/>
    </row>
    <row r="39" spans="1:4" x14ac:dyDescent="0.2">
      <c r="A39" s="32"/>
      <c r="B39" s="32"/>
      <c r="C39" s="116"/>
      <c r="D39" s="117"/>
    </row>
    <row r="40" spans="1:4" x14ac:dyDescent="0.2">
      <c r="A40" s="32"/>
      <c r="B40" s="32"/>
      <c r="C40" s="116"/>
      <c r="D40" s="117"/>
    </row>
    <row r="41" spans="1:4" hidden="1" x14ac:dyDescent="0.2">
      <c r="A41" s="32"/>
      <c r="B41" s="32"/>
      <c r="C41" s="116"/>
      <c r="D41" s="117"/>
    </row>
    <row r="42" spans="1:4" x14ac:dyDescent="0.2">
      <c r="A42" s="32"/>
      <c r="B42" s="32"/>
      <c r="C42" s="31" t="s">
        <v>397</v>
      </c>
      <c r="D42" s="118">
        <f>SUM(D28:D40)</f>
        <v>92298923</v>
      </c>
    </row>
    <row r="43" spans="1:4" ht="30.75" customHeight="1" x14ac:dyDescent="0.2">
      <c r="A43" s="228" t="s">
        <v>335</v>
      </c>
      <c r="B43" s="229"/>
      <c r="C43" s="229"/>
      <c r="D43" s="230"/>
    </row>
    <row r="44" spans="1:4" ht="24" customHeight="1" x14ac:dyDescent="0.2">
      <c r="A44" s="225" t="s">
        <v>419</v>
      </c>
      <c r="B44" s="226"/>
      <c r="C44" s="226"/>
      <c r="D44" s="227"/>
    </row>
    <row r="45" spans="1:4" x14ac:dyDescent="0.2">
      <c r="A45" s="32">
        <v>1</v>
      </c>
      <c r="B45" s="32"/>
      <c r="C45" s="116" t="s">
        <v>487</v>
      </c>
      <c r="D45" s="117">
        <v>84760</v>
      </c>
    </row>
    <row r="46" spans="1:4" x14ac:dyDescent="0.2">
      <c r="A46" s="32"/>
      <c r="B46" s="32"/>
      <c r="C46" s="31"/>
      <c r="D46" s="118"/>
    </row>
    <row r="47" spans="1:4" hidden="1" x14ac:dyDescent="0.2">
      <c r="A47" s="32"/>
      <c r="B47" s="32"/>
      <c r="C47" s="116"/>
      <c r="D47" s="117"/>
    </row>
    <row r="48" spans="1:4" hidden="1" x14ac:dyDescent="0.2">
      <c r="A48" s="32"/>
      <c r="B48" s="32"/>
      <c r="C48" s="116"/>
      <c r="D48" s="117"/>
    </row>
    <row r="49" spans="1:4" hidden="1" x14ac:dyDescent="0.2">
      <c r="A49" s="32"/>
      <c r="B49" s="32"/>
      <c r="C49" s="31"/>
      <c r="D49" s="118"/>
    </row>
    <row r="50" spans="1:4" hidden="1" x14ac:dyDescent="0.2">
      <c r="A50" s="113"/>
      <c r="B50" s="114"/>
      <c r="C50" s="115"/>
      <c r="D50" s="115"/>
    </row>
    <row r="51" spans="1:4" hidden="1" x14ac:dyDescent="0.2">
      <c r="A51" s="32"/>
      <c r="B51" s="32"/>
      <c r="C51" s="116"/>
      <c r="D51" s="117"/>
    </row>
    <row r="52" spans="1:4" hidden="1" x14ac:dyDescent="0.2">
      <c r="A52" s="32"/>
      <c r="B52" s="32"/>
      <c r="C52" s="116"/>
      <c r="D52" s="117"/>
    </row>
    <row r="53" spans="1:4" hidden="1" x14ac:dyDescent="0.2">
      <c r="A53" s="32"/>
      <c r="B53" s="32"/>
      <c r="C53" s="116"/>
      <c r="D53" s="117"/>
    </row>
    <row r="54" spans="1:4" hidden="1" x14ac:dyDescent="0.2">
      <c r="A54" s="32"/>
      <c r="B54" s="32"/>
      <c r="C54" s="116"/>
      <c r="D54" s="117"/>
    </row>
    <row r="55" spans="1:4" hidden="1" x14ac:dyDescent="0.2">
      <c r="A55" s="32"/>
      <c r="B55" s="32"/>
      <c r="C55" s="116"/>
      <c r="D55" s="117"/>
    </row>
    <row r="56" spans="1:4" hidden="1" x14ac:dyDescent="0.2">
      <c r="A56" s="32"/>
      <c r="B56" s="32"/>
      <c r="C56" s="116"/>
      <c r="D56" s="117"/>
    </row>
    <row r="57" spans="1:4" hidden="1" x14ac:dyDescent="0.2">
      <c r="A57" s="32"/>
      <c r="B57" s="32"/>
      <c r="C57" s="116"/>
      <c r="D57" s="117"/>
    </row>
    <row r="58" spans="1:4" hidden="1" x14ac:dyDescent="0.2">
      <c r="A58" s="32"/>
      <c r="B58" s="32"/>
      <c r="C58" s="116"/>
      <c r="D58" s="117"/>
    </row>
    <row r="59" spans="1:4" hidden="1" x14ac:dyDescent="0.2">
      <c r="A59" s="32"/>
      <c r="B59" s="32"/>
      <c r="C59" s="116"/>
      <c r="D59" s="117"/>
    </row>
    <row r="60" spans="1:4" hidden="1" x14ac:dyDescent="0.2">
      <c r="A60" s="32"/>
      <c r="B60" s="32"/>
      <c r="C60" s="116"/>
      <c r="D60" s="117"/>
    </row>
    <row r="61" spans="1:4" hidden="1" x14ac:dyDescent="0.2"/>
    <row r="62" spans="1:4" x14ac:dyDescent="0.2">
      <c r="A62" s="225" t="s">
        <v>427</v>
      </c>
      <c r="B62" s="226"/>
      <c r="C62" s="226"/>
      <c r="D62" s="227"/>
    </row>
    <row r="63" spans="1:4" x14ac:dyDescent="0.2">
      <c r="A63" s="32">
        <v>1</v>
      </c>
      <c r="B63" s="32"/>
      <c r="C63" s="116" t="s">
        <v>395</v>
      </c>
      <c r="D63" s="117">
        <v>64031</v>
      </c>
    </row>
    <row r="64" spans="1:4" x14ac:dyDescent="0.2">
      <c r="A64" s="32"/>
      <c r="B64" s="32"/>
      <c r="C64" s="31"/>
      <c r="D64" s="118"/>
    </row>
    <row r="65" spans="1:4" x14ac:dyDescent="0.2">
      <c r="A65" s="228" t="s">
        <v>336</v>
      </c>
      <c r="B65" s="229"/>
      <c r="C65" s="229"/>
      <c r="D65" s="230"/>
    </row>
    <row r="66" spans="1:4" x14ac:dyDescent="0.2">
      <c r="A66" s="225" t="s">
        <v>419</v>
      </c>
      <c r="B66" s="226"/>
      <c r="C66" s="226"/>
      <c r="D66" s="227"/>
    </row>
    <row r="67" spans="1:4" x14ac:dyDescent="0.2">
      <c r="A67" s="32">
        <v>1</v>
      </c>
      <c r="B67" s="32"/>
      <c r="C67" s="116" t="s">
        <v>488</v>
      </c>
      <c r="D67" s="117">
        <v>12677</v>
      </c>
    </row>
    <row r="68" spans="1:4" hidden="1" x14ac:dyDescent="0.2">
      <c r="A68" s="32"/>
      <c r="B68" s="32"/>
      <c r="C68" s="31"/>
      <c r="D68" s="118"/>
    </row>
    <row r="69" spans="1:4" hidden="1" x14ac:dyDescent="0.2">
      <c r="A69" s="32"/>
      <c r="B69" s="32"/>
      <c r="C69" s="116"/>
      <c r="D69" s="117"/>
    </row>
    <row r="70" spans="1:4" hidden="1" x14ac:dyDescent="0.2">
      <c r="A70" s="32"/>
      <c r="B70" s="32"/>
      <c r="C70" s="116"/>
      <c r="D70" s="117"/>
    </row>
    <row r="71" spans="1:4" hidden="1" x14ac:dyDescent="0.2">
      <c r="A71" s="32"/>
      <c r="B71" s="32"/>
      <c r="C71" s="31"/>
      <c r="D71" s="118"/>
    </row>
    <row r="72" spans="1:4" hidden="1" x14ac:dyDescent="0.2">
      <c r="A72" s="113"/>
      <c r="B72" s="114"/>
      <c r="C72" s="177"/>
      <c r="D72" s="177"/>
    </row>
    <row r="73" spans="1:4" hidden="1" x14ac:dyDescent="0.2">
      <c r="A73" s="32"/>
      <c r="B73" s="32"/>
      <c r="C73" s="116"/>
      <c r="D73" s="117"/>
    </row>
    <row r="74" spans="1:4" hidden="1" x14ac:dyDescent="0.2">
      <c r="A74" s="32"/>
      <c r="B74" s="32"/>
      <c r="C74" s="116"/>
      <c r="D74" s="117"/>
    </row>
    <row r="75" spans="1:4" hidden="1" x14ac:dyDescent="0.2">
      <c r="A75" s="32"/>
      <c r="B75" s="32"/>
      <c r="C75" s="116"/>
      <c r="D75" s="117"/>
    </row>
    <row r="76" spans="1:4" hidden="1" x14ac:dyDescent="0.2">
      <c r="A76" s="32"/>
      <c r="B76" s="32"/>
      <c r="C76" s="116"/>
      <c r="D76" s="117"/>
    </row>
    <row r="77" spans="1:4" hidden="1" x14ac:dyDescent="0.2">
      <c r="A77" s="32"/>
      <c r="B77" s="32"/>
      <c r="C77" s="116"/>
      <c r="D77" s="117"/>
    </row>
    <row r="78" spans="1:4" hidden="1" x14ac:dyDescent="0.2">
      <c r="A78" s="32"/>
      <c r="B78" s="32"/>
      <c r="C78" s="116"/>
      <c r="D78" s="117"/>
    </row>
    <row r="79" spans="1:4" hidden="1" x14ac:dyDescent="0.2">
      <c r="A79" s="32"/>
      <c r="B79" s="32"/>
      <c r="C79" s="116"/>
      <c r="D79" s="117"/>
    </row>
    <row r="80" spans="1:4" hidden="1" x14ac:dyDescent="0.2">
      <c r="A80" s="32"/>
      <c r="B80" s="32"/>
      <c r="C80" s="116"/>
      <c r="D80" s="117"/>
    </row>
    <row r="81" spans="1:4" hidden="1" x14ac:dyDescent="0.2">
      <c r="A81" s="32"/>
      <c r="B81" s="32"/>
      <c r="C81" s="116"/>
      <c r="D81" s="117"/>
    </row>
    <row r="82" spans="1:4" hidden="1" x14ac:dyDescent="0.2">
      <c r="A82" s="32"/>
      <c r="B82" s="32"/>
      <c r="C82" s="116"/>
      <c r="D82" s="117"/>
    </row>
    <row r="83" spans="1:4" hidden="1" x14ac:dyDescent="0.2"/>
    <row r="84" spans="1:4" hidden="1" x14ac:dyDescent="0.2">
      <c r="A84" s="225" t="s">
        <v>427</v>
      </c>
      <c r="B84" s="226"/>
      <c r="C84" s="226"/>
      <c r="D84" s="227"/>
    </row>
    <row r="85" spans="1:4" hidden="1" x14ac:dyDescent="0.2">
      <c r="A85" s="32">
        <v>1</v>
      </c>
      <c r="B85" s="32"/>
      <c r="C85" s="116" t="s">
        <v>395</v>
      </c>
      <c r="D85" s="117">
        <v>0</v>
      </c>
    </row>
    <row r="86" spans="1:4" hidden="1" x14ac:dyDescent="0.2">
      <c r="A86" s="32"/>
      <c r="B86" s="32"/>
      <c r="C86" s="31"/>
      <c r="D86" s="118"/>
    </row>
    <row r="87" spans="1:4" hidden="1" x14ac:dyDescent="0.2"/>
  </sheetData>
  <mergeCells count="9">
    <mergeCell ref="A62:D62"/>
    <mergeCell ref="A65:D65"/>
    <mergeCell ref="A66:D66"/>
    <mergeCell ref="A84:D84"/>
    <mergeCell ref="A5:D5"/>
    <mergeCell ref="A6:D6"/>
    <mergeCell ref="A26:D26"/>
    <mergeCell ref="A43:D43"/>
    <mergeCell ref="A44:D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pane ySplit="5" topLeftCell="A39" activePane="bottomLeft" state="frozen"/>
      <selection pane="bottomLeft"/>
    </sheetView>
  </sheetViews>
  <sheetFormatPr defaultRowHeight="12.75" x14ac:dyDescent="0.2"/>
  <cols>
    <col min="1" max="1" width="8.140625" customWidth="1"/>
    <col min="2" max="2" width="32.5703125" customWidth="1"/>
    <col min="3" max="3" width="20" customWidth="1"/>
    <col min="4" max="4" width="16" customWidth="1"/>
    <col min="5" max="8" width="32.85546875" hidden="1" customWidth="1"/>
    <col min="9" max="9" width="12.85546875" customWidth="1"/>
    <col min="10" max="10" width="10.5703125" customWidth="1"/>
    <col min="257" max="257" width="8.140625" customWidth="1"/>
    <col min="258" max="258" width="41" customWidth="1"/>
    <col min="259" max="259" width="20" customWidth="1"/>
    <col min="260" max="260" width="23.140625" customWidth="1"/>
    <col min="261" max="264" width="0" hidden="1" customWidth="1"/>
    <col min="265" max="265" width="10.5703125" customWidth="1"/>
    <col min="513" max="513" width="8.140625" customWidth="1"/>
    <col min="514" max="514" width="41" customWidth="1"/>
    <col min="515" max="515" width="20" customWidth="1"/>
    <col min="516" max="516" width="23.140625" customWidth="1"/>
    <col min="517" max="520" width="0" hidden="1" customWidth="1"/>
    <col min="521" max="521" width="10.5703125" customWidth="1"/>
    <col min="769" max="769" width="8.140625" customWidth="1"/>
    <col min="770" max="770" width="41" customWidth="1"/>
    <col min="771" max="771" width="20" customWidth="1"/>
    <col min="772" max="772" width="23.140625" customWidth="1"/>
    <col min="773" max="776" width="0" hidden="1" customWidth="1"/>
    <col min="777" max="777" width="10.5703125" customWidth="1"/>
    <col min="1025" max="1025" width="8.140625" customWidth="1"/>
    <col min="1026" max="1026" width="41" customWidth="1"/>
    <col min="1027" max="1027" width="20" customWidth="1"/>
    <col min="1028" max="1028" width="23.140625" customWidth="1"/>
    <col min="1029" max="1032" width="0" hidden="1" customWidth="1"/>
    <col min="1033" max="1033" width="10.5703125" customWidth="1"/>
    <col min="1281" max="1281" width="8.140625" customWidth="1"/>
    <col min="1282" max="1282" width="41" customWidth="1"/>
    <col min="1283" max="1283" width="20" customWidth="1"/>
    <col min="1284" max="1284" width="23.140625" customWidth="1"/>
    <col min="1285" max="1288" width="0" hidden="1" customWidth="1"/>
    <col min="1289" max="1289" width="10.5703125" customWidth="1"/>
    <col min="1537" max="1537" width="8.140625" customWidth="1"/>
    <col min="1538" max="1538" width="41" customWidth="1"/>
    <col min="1539" max="1539" width="20" customWidth="1"/>
    <col min="1540" max="1540" width="23.140625" customWidth="1"/>
    <col min="1541" max="1544" width="0" hidden="1" customWidth="1"/>
    <col min="1545" max="1545" width="10.5703125" customWidth="1"/>
    <col min="1793" max="1793" width="8.140625" customWidth="1"/>
    <col min="1794" max="1794" width="41" customWidth="1"/>
    <col min="1795" max="1795" width="20" customWidth="1"/>
    <col min="1796" max="1796" width="23.140625" customWidth="1"/>
    <col min="1797" max="1800" width="0" hidden="1" customWidth="1"/>
    <col min="1801" max="1801" width="10.5703125" customWidth="1"/>
    <col min="2049" max="2049" width="8.140625" customWidth="1"/>
    <col min="2050" max="2050" width="41" customWidth="1"/>
    <col min="2051" max="2051" width="20" customWidth="1"/>
    <col min="2052" max="2052" width="23.140625" customWidth="1"/>
    <col min="2053" max="2056" width="0" hidden="1" customWidth="1"/>
    <col min="2057" max="2057" width="10.5703125" customWidth="1"/>
    <col min="2305" max="2305" width="8.140625" customWidth="1"/>
    <col min="2306" max="2306" width="41" customWidth="1"/>
    <col min="2307" max="2307" width="20" customWidth="1"/>
    <col min="2308" max="2308" width="23.140625" customWidth="1"/>
    <col min="2309" max="2312" width="0" hidden="1" customWidth="1"/>
    <col min="2313" max="2313" width="10.5703125" customWidth="1"/>
    <col min="2561" max="2561" width="8.140625" customWidth="1"/>
    <col min="2562" max="2562" width="41" customWidth="1"/>
    <col min="2563" max="2563" width="20" customWidth="1"/>
    <col min="2564" max="2564" width="23.140625" customWidth="1"/>
    <col min="2565" max="2568" width="0" hidden="1" customWidth="1"/>
    <col min="2569" max="2569" width="10.5703125" customWidth="1"/>
    <col min="2817" max="2817" width="8.140625" customWidth="1"/>
    <col min="2818" max="2818" width="41" customWidth="1"/>
    <col min="2819" max="2819" width="20" customWidth="1"/>
    <col min="2820" max="2820" width="23.140625" customWidth="1"/>
    <col min="2821" max="2824" width="0" hidden="1" customWidth="1"/>
    <col min="2825" max="2825" width="10.5703125" customWidth="1"/>
    <col min="3073" max="3073" width="8.140625" customWidth="1"/>
    <col min="3074" max="3074" width="41" customWidth="1"/>
    <col min="3075" max="3075" width="20" customWidth="1"/>
    <col min="3076" max="3076" width="23.140625" customWidth="1"/>
    <col min="3077" max="3080" width="0" hidden="1" customWidth="1"/>
    <col min="3081" max="3081" width="10.5703125" customWidth="1"/>
    <col min="3329" max="3329" width="8.140625" customWidth="1"/>
    <col min="3330" max="3330" width="41" customWidth="1"/>
    <col min="3331" max="3331" width="20" customWidth="1"/>
    <col min="3332" max="3332" width="23.140625" customWidth="1"/>
    <col min="3333" max="3336" width="0" hidden="1" customWidth="1"/>
    <col min="3337" max="3337" width="10.5703125" customWidth="1"/>
    <col min="3585" max="3585" width="8.140625" customWidth="1"/>
    <col min="3586" max="3586" width="41" customWidth="1"/>
    <col min="3587" max="3587" width="20" customWidth="1"/>
    <col min="3588" max="3588" width="23.140625" customWidth="1"/>
    <col min="3589" max="3592" width="0" hidden="1" customWidth="1"/>
    <col min="3593" max="3593" width="10.5703125" customWidth="1"/>
    <col min="3841" max="3841" width="8.140625" customWidth="1"/>
    <col min="3842" max="3842" width="41" customWidth="1"/>
    <col min="3843" max="3843" width="20" customWidth="1"/>
    <col min="3844" max="3844" width="23.140625" customWidth="1"/>
    <col min="3845" max="3848" width="0" hidden="1" customWidth="1"/>
    <col min="3849" max="3849" width="10.5703125" customWidth="1"/>
    <col min="4097" max="4097" width="8.140625" customWidth="1"/>
    <col min="4098" max="4098" width="41" customWidth="1"/>
    <col min="4099" max="4099" width="20" customWidth="1"/>
    <col min="4100" max="4100" width="23.140625" customWidth="1"/>
    <col min="4101" max="4104" width="0" hidden="1" customWidth="1"/>
    <col min="4105" max="4105" width="10.5703125" customWidth="1"/>
    <col min="4353" max="4353" width="8.140625" customWidth="1"/>
    <col min="4354" max="4354" width="41" customWidth="1"/>
    <col min="4355" max="4355" width="20" customWidth="1"/>
    <col min="4356" max="4356" width="23.140625" customWidth="1"/>
    <col min="4357" max="4360" width="0" hidden="1" customWidth="1"/>
    <col min="4361" max="4361" width="10.5703125" customWidth="1"/>
    <col min="4609" max="4609" width="8.140625" customWidth="1"/>
    <col min="4610" max="4610" width="41" customWidth="1"/>
    <col min="4611" max="4611" width="20" customWidth="1"/>
    <col min="4612" max="4612" width="23.140625" customWidth="1"/>
    <col min="4613" max="4616" width="0" hidden="1" customWidth="1"/>
    <col min="4617" max="4617" width="10.5703125" customWidth="1"/>
    <col min="4865" max="4865" width="8.140625" customWidth="1"/>
    <col min="4866" max="4866" width="41" customWidth="1"/>
    <col min="4867" max="4867" width="20" customWidth="1"/>
    <col min="4868" max="4868" width="23.140625" customWidth="1"/>
    <col min="4869" max="4872" width="0" hidden="1" customWidth="1"/>
    <col min="4873" max="4873" width="10.5703125" customWidth="1"/>
    <col min="5121" max="5121" width="8.140625" customWidth="1"/>
    <col min="5122" max="5122" width="41" customWidth="1"/>
    <col min="5123" max="5123" width="20" customWidth="1"/>
    <col min="5124" max="5124" width="23.140625" customWidth="1"/>
    <col min="5125" max="5128" width="0" hidden="1" customWidth="1"/>
    <col min="5129" max="5129" width="10.5703125" customWidth="1"/>
    <col min="5377" max="5377" width="8.140625" customWidth="1"/>
    <col min="5378" max="5378" width="41" customWidth="1"/>
    <col min="5379" max="5379" width="20" customWidth="1"/>
    <col min="5380" max="5380" width="23.140625" customWidth="1"/>
    <col min="5381" max="5384" width="0" hidden="1" customWidth="1"/>
    <col min="5385" max="5385" width="10.5703125" customWidth="1"/>
    <col min="5633" max="5633" width="8.140625" customWidth="1"/>
    <col min="5634" max="5634" width="41" customWidth="1"/>
    <col min="5635" max="5635" width="20" customWidth="1"/>
    <col min="5636" max="5636" width="23.140625" customWidth="1"/>
    <col min="5637" max="5640" width="0" hidden="1" customWidth="1"/>
    <col min="5641" max="5641" width="10.5703125" customWidth="1"/>
    <col min="5889" max="5889" width="8.140625" customWidth="1"/>
    <col min="5890" max="5890" width="41" customWidth="1"/>
    <col min="5891" max="5891" width="20" customWidth="1"/>
    <col min="5892" max="5892" width="23.140625" customWidth="1"/>
    <col min="5893" max="5896" width="0" hidden="1" customWidth="1"/>
    <col min="5897" max="5897" width="10.5703125" customWidth="1"/>
    <col min="6145" max="6145" width="8.140625" customWidth="1"/>
    <col min="6146" max="6146" width="41" customWidth="1"/>
    <col min="6147" max="6147" width="20" customWidth="1"/>
    <col min="6148" max="6148" width="23.140625" customWidth="1"/>
    <col min="6149" max="6152" width="0" hidden="1" customWidth="1"/>
    <col min="6153" max="6153" width="10.5703125" customWidth="1"/>
    <col min="6401" max="6401" width="8.140625" customWidth="1"/>
    <col min="6402" max="6402" width="41" customWidth="1"/>
    <col min="6403" max="6403" width="20" customWidth="1"/>
    <col min="6404" max="6404" width="23.140625" customWidth="1"/>
    <col min="6405" max="6408" width="0" hidden="1" customWidth="1"/>
    <col min="6409" max="6409" width="10.5703125" customWidth="1"/>
    <col min="6657" max="6657" width="8.140625" customWidth="1"/>
    <col min="6658" max="6658" width="41" customWidth="1"/>
    <col min="6659" max="6659" width="20" customWidth="1"/>
    <col min="6660" max="6660" width="23.140625" customWidth="1"/>
    <col min="6661" max="6664" width="0" hidden="1" customWidth="1"/>
    <col min="6665" max="6665" width="10.5703125" customWidth="1"/>
    <col min="6913" max="6913" width="8.140625" customWidth="1"/>
    <col min="6914" max="6914" width="41" customWidth="1"/>
    <col min="6915" max="6915" width="20" customWidth="1"/>
    <col min="6916" max="6916" width="23.140625" customWidth="1"/>
    <col min="6917" max="6920" width="0" hidden="1" customWidth="1"/>
    <col min="6921" max="6921" width="10.5703125" customWidth="1"/>
    <col min="7169" max="7169" width="8.140625" customWidth="1"/>
    <col min="7170" max="7170" width="41" customWidth="1"/>
    <col min="7171" max="7171" width="20" customWidth="1"/>
    <col min="7172" max="7172" width="23.140625" customWidth="1"/>
    <col min="7173" max="7176" width="0" hidden="1" customWidth="1"/>
    <col min="7177" max="7177" width="10.5703125" customWidth="1"/>
    <col min="7425" max="7425" width="8.140625" customWidth="1"/>
    <col min="7426" max="7426" width="41" customWidth="1"/>
    <col min="7427" max="7427" width="20" customWidth="1"/>
    <col min="7428" max="7428" width="23.140625" customWidth="1"/>
    <col min="7429" max="7432" width="0" hidden="1" customWidth="1"/>
    <col min="7433" max="7433" width="10.5703125" customWidth="1"/>
    <col min="7681" max="7681" width="8.140625" customWidth="1"/>
    <col min="7682" max="7682" width="41" customWidth="1"/>
    <col min="7683" max="7683" width="20" customWidth="1"/>
    <col min="7684" max="7684" width="23.140625" customWidth="1"/>
    <col min="7685" max="7688" width="0" hidden="1" customWidth="1"/>
    <col min="7689" max="7689" width="10.5703125" customWidth="1"/>
    <col min="7937" max="7937" width="8.140625" customWidth="1"/>
    <col min="7938" max="7938" width="41" customWidth="1"/>
    <col min="7939" max="7939" width="20" customWidth="1"/>
    <col min="7940" max="7940" width="23.140625" customWidth="1"/>
    <col min="7941" max="7944" width="0" hidden="1" customWidth="1"/>
    <col min="7945" max="7945" width="10.5703125" customWidth="1"/>
    <col min="8193" max="8193" width="8.140625" customWidth="1"/>
    <col min="8194" max="8194" width="41" customWidth="1"/>
    <col min="8195" max="8195" width="20" customWidth="1"/>
    <col min="8196" max="8196" width="23.140625" customWidth="1"/>
    <col min="8197" max="8200" width="0" hidden="1" customWidth="1"/>
    <col min="8201" max="8201" width="10.5703125" customWidth="1"/>
    <col min="8449" max="8449" width="8.140625" customWidth="1"/>
    <col min="8450" max="8450" width="41" customWidth="1"/>
    <col min="8451" max="8451" width="20" customWidth="1"/>
    <col min="8452" max="8452" width="23.140625" customWidth="1"/>
    <col min="8453" max="8456" width="0" hidden="1" customWidth="1"/>
    <col min="8457" max="8457" width="10.5703125" customWidth="1"/>
    <col min="8705" max="8705" width="8.140625" customWidth="1"/>
    <col min="8706" max="8706" width="41" customWidth="1"/>
    <col min="8707" max="8707" width="20" customWidth="1"/>
    <col min="8708" max="8708" width="23.140625" customWidth="1"/>
    <col min="8709" max="8712" width="0" hidden="1" customWidth="1"/>
    <col min="8713" max="8713" width="10.5703125" customWidth="1"/>
    <col min="8961" max="8961" width="8.140625" customWidth="1"/>
    <col min="8962" max="8962" width="41" customWidth="1"/>
    <col min="8963" max="8963" width="20" customWidth="1"/>
    <col min="8964" max="8964" width="23.140625" customWidth="1"/>
    <col min="8965" max="8968" width="0" hidden="1" customWidth="1"/>
    <col min="8969" max="8969" width="10.5703125" customWidth="1"/>
    <col min="9217" max="9217" width="8.140625" customWidth="1"/>
    <col min="9218" max="9218" width="41" customWidth="1"/>
    <col min="9219" max="9219" width="20" customWidth="1"/>
    <col min="9220" max="9220" width="23.140625" customWidth="1"/>
    <col min="9221" max="9224" width="0" hidden="1" customWidth="1"/>
    <col min="9225" max="9225" width="10.5703125" customWidth="1"/>
    <col min="9473" max="9473" width="8.140625" customWidth="1"/>
    <col min="9474" max="9474" width="41" customWidth="1"/>
    <col min="9475" max="9475" width="20" customWidth="1"/>
    <col min="9476" max="9476" width="23.140625" customWidth="1"/>
    <col min="9477" max="9480" width="0" hidden="1" customWidth="1"/>
    <col min="9481" max="9481" width="10.5703125" customWidth="1"/>
    <col min="9729" max="9729" width="8.140625" customWidth="1"/>
    <col min="9730" max="9730" width="41" customWidth="1"/>
    <col min="9731" max="9731" width="20" customWidth="1"/>
    <col min="9732" max="9732" width="23.140625" customWidth="1"/>
    <col min="9733" max="9736" width="0" hidden="1" customWidth="1"/>
    <col min="9737" max="9737" width="10.5703125" customWidth="1"/>
    <col min="9985" max="9985" width="8.140625" customWidth="1"/>
    <col min="9986" max="9986" width="41" customWidth="1"/>
    <col min="9987" max="9987" width="20" customWidth="1"/>
    <col min="9988" max="9988" width="23.140625" customWidth="1"/>
    <col min="9989" max="9992" width="0" hidden="1" customWidth="1"/>
    <col min="9993" max="9993" width="10.5703125" customWidth="1"/>
    <col min="10241" max="10241" width="8.140625" customWidth="1"/>
    <col min="10242" max="10242" width="41" customWidth="1"/>
    <col min="10243" max="10243" width="20" customWidth="1"/>
    <col min="10244" max="10244" width="23.140625" customWidth="1"/>
    <col min="10245" max="10248" width="0" hidden="1" customWidth="1"/>
    <col min="10249" max="10249" width="10.5703125" customWidth="1"/>
    <col min="10497" max="10497" width="8.140625" customWidth="1"/>
    <col min="10498" max="10498" width="41" customWidth="1"/>
    <col min="10499" max="10499" width="20" customWidth="1"/>
    <col min="10500" max="10500" width="23.140625" customWidth="1"/>
    <col min="10501" max="10504" width="0" hidden="1" customWidth="1"/>
    <col min="10505" max="10505" width="10.5703125" customWidth="1"/>
    <col min="10753" max="10753" width="8.140625" customWidth="1"/>
    <col min="10754" max="10754" width="41" customWidth="1"/>
    <col min="10755" max="10755" width="20" customWidth="1"/>
    <col min="10756" max="10756" width="23.140625" customWidth="1"/>
    <col min="10757" max="10760" width="0" hidden="1" customWidth="1"/>
    <col min="10761" max="10761" width="10.5703125" customWidth="1"/>
    <col min="11009" max="11009" width="8.140625" customWidth="1"/>
    <col min="11010" max="11010" width="41" customWidth="1"/>
    <col min="11011" max="11011" width="20" customWidth="1"/>
    <col min="11012" max="11012" width="23.140625" customWidth="1"/>
    <col min="11013" max="11016" width="0" hidden="1" customWidth="1"/>
    <col min="11017" max="11017" width="10.5703125" customWidth="1"/>
    <col min="11265" max="11265" width="8.140625" customWidth="1"/>
    <col min="11266" max="11266" width="41" customWidth="1"/>
    <col min="11267" max="11267" width="20" customWidth="1"/>
    <col min="11268" max="11268" width="23.140625" customWidth="1"/>
    <col min="11269" max="11272" width="0" hidden="1" customWidth="1"/>
    <col min="11273" max="11273" width="10.5703125" customWidth="1"/>
    <col min="11521" max="11521" width="8.140625" customWidth="1"/>
    <col min="11522" max="11522" width="41" customWidth="1"/>
    <col min="11523" max="11523" width="20" customWidth="1"/>
    <col min="11524" max="11524" width="23.140625" customWidth="1"/>
    <col min="11525" max="11528" width="0" hidden="1" customWidth="1"/>
    <col min="11529" max="11529" width="10.5703125" customWidth="1"/>
    <col min="11777" max="11777" width="8.140625" customWidth="1"/>
    <col min="11778" max="11778" width="41" customWidth="1"/>
    <col min="11779" max="11779" width="20" customWidth="1"/>
    <col min="11780" max="11780" width="23.140625" customWidth="1"/>
    <col min="11781" max="11784" width="0" hidden="1" customWidth="1"/>
    <col min="11785" max="11785" width="10.5703125" customWidth="1"/>
    <col min="12033" max="12033" width="8.140625" customWidth="1"/>
    <col min="12034" max="12034" width="41" customWidth="1"/>
    <col min="12035" max="12035" width="20" customWidth="1"/>
    <col min="12036" max="12036" width="23.140625" customWidth="1"/>
    <col min="12037" max="12040" width="0" hidden="1" customWidth="1"/>
    <col min="12041" max="12041" width="10.5703125" customWidth="1"/>
    <col min="12289" max="12289" width="8.140625" customWidth="1"/>
    <col min="12290" max="12290" width="41" customWidth="1"/>
    <col min="12291" max="12291" width="20" customWidth="1"/>
    <col min="12292" max="12292" width="23.140625" customWidth="1"/>
    <col min="12293" max="12296" width="0" hidden="1" customWidth="1"/>
    <col min="12297" max="12297" width="10.5703125" customWidth="1"/>
    <col min="12545" max="12545" width="8.140625" customWidth="1"/>
    <col min="12546" max="12546" width="41" customWidth="1"/>
    <col min="12547" max="12547" width="20" customWidth="1"/>
    <col min="12548" max="12548" width="23.140625" customWidth="1"/>
    <col min="12549" max="12552" width="0" hidden="1" customWidth="1"/>
    <col min="12553" max="12553" width="10.5703125" customWidth="1"/>
    <col min="12801" max="12801" width="8.140625" customWidth="1"/>
    <col min="12802" max="12802" width="41" customWidth="1"/>
    <col min="12803" max="12803" width="20" customWidth="1"/>
    <col min="12804" max="12804" width="23.140625" customWidth="1"/>
    <col min="12805" max="12808" width="0" hidden="1" customWidth="1"/>
    <col min="12809" max="12809" width="10.5703125" customWidth="1"/>
    <col min="13057" max="13057" width="8.140625" customWidth="1"/>
    <col min="13058" max="13058" width="41" customWidth="1"/>
    <col min="13059" max="13059" width="20" customWidth="1"/>
    <col min="13060" max="13060" width="23.140625" customWidth="1"/>
    <col min="13061" max="13064" width="0" hidden="1" customWidth="1"/>
    <col min="13065" max="13065" width="10.5703125" customWidth="1"/>
    <col min="13313" max="13313" width="8.140625" customWidth="1"/>
    <col min="13314" max="13314" width="41" customWidth="1"/>
    <col min="13315" max="13315" width="20" customWidth="1"/>
    <col min="13316" max="13316" width="23.140625" customWidth="1"/>
    <col min="13317" max="13320" width="0" hidden="1" customWidth="1"/>
    <col min="13321" max="13321" width="10.5703125" customWidth="1"/>
    <col min="13569" max="13569" width="8.140625" customWidth="1"/>
    <col min="13570" max="13570" width="41" customWidth="1"/>
    <col min="13571" max="13571" width="20" customWidth="1"/>
    <col min="13572" max="13572" width="23.140625" customWidth="1"/>
    <col min="13573" max="13576" width="0" hidden="1" customWidth="1"/>
    <col min="13577" max="13577" width="10.5703125" customWidth="1"/>
    <col min="13825" max="13825" width="8.140625" customWidth="1"/>
    <col min="13826" max="13826" width="41" customWidth="1"/>
    <col min="13827" max="13827" width="20" customWidth="1"/>
    <col min="13828" max="13828" width="23.140625" customWidth="1"/>
    <col min="13829" max="13832" width="0" hidden="1" customWidth="1"/>
    <col min="13833" max="13833" width="10.5703125" customWidth="1"/>
    <col min="14081" max="14081" width="8.140625" customWidth="1"/>
    <col min="14082" max="14082" width="41" customWidth="1"/>
    <col min="14083" max="14083" width="20" customWidth="1"/>
    <col min="14084" max="14084" width="23.140625" customWidth="1"/>
    <col min="14085" max="14088" width="0" hidden="1" customWidth="1"/>
    <col min="14089" max="14089" width="10.5703125" customWidth="1"/>
    <col min="14337" max="14337" width="8.140625" customWidth="1"/>
    <col min="14338" max="14338" width="41" customWidth="1"/>
    <col min="14339" max="14339" width="20" customWidth="1"/>
    <col min="14340" max="14340" width="23.140625" customWidth="1"/>
    <col min="14341" max="14344" width="0" hidden="1" customWidth="1"/>
    <col min="14345" max="14345" width="10.5703125" customWidth="1"/>
    <col min="14593" max="14593" width="8.140625" customWidth="1"/>
    <col min="14594" max="14594" width="41" customWidth="1"/>
    <col min="14595" max="14595" width="20" customWidth="1"/>
    <col min="14596" max="14596" width="23.140625" customWidth="1"/>
    <col min="14597" max="14600" width="0" hidden="1" customWidth="1"/>
    <col min="14601" max="14601" width="10.5703125" customWidth="1"/>
    <col min="14849" max="14849" width="8.140625" customWidth="1"/>
    <col min="14850" max="14850" width="41" customWidth="1"/>
    <col min="14851" max="14851" width="20" customWidth="1"/>
    <col min="14852" max="14852" width="23.140625" customWidth="1"/>
    <col min="14853" max="14856" width="0" hidden="1" customWidth="1"/>
    <col min="14857" max="14857" width="10.5703125" customWidth="1"/>
    <col min="15105" max="15105" width="8.140625" customWidth="1"/>
    <col min="15106" max="15106" width="41" customWidth="1"/>
    <col min="15107" max="15107" width="20" customWidth="1"/>
    <col min="15108" max="15108" width="23.140625" customWidth="1"/>
    <col min="15109" max="15112" width="0" hidden="1" customWidth="1"/>
    <col min="15113" max="15113" width="10.5703125" customWidth="1"/>
    <col min="15361" max="15361" width="8.140625" customWidth="1"/>
    <col min="15362" max="15362" width="41" customWidth="1"/>
    <col min="15363" max="15363" width="20" customWidth="1"/>
    <col min="15364" max="15364" width="23.140625" customWidth="1"/>
    <col min="15365" max="15368" width="0" hidden="1" customWidth="1"/>
    <col min="15369" max="15369" width="10.5703125" customWidth="1"/>
    <col min="15617" max="15617" width="8.140625" customWidth="1"/>
    <col min="15618" max="15618" width="41" customWidth="1"/>
    <col min="15619" max="15619" width="20" customWidth="1"/>
    <col min="15620" max="15620" width="23.140625" customWidth="1"/>
    <col min="15621" max="15624" width="0" hidden="1" customWidth="1"/>
    <col min="15625" max="15625" width="10.5703125" customWidth="1"/>
    <col min="15873" max="15873" width="8.140625" customWidth="1"/>
    <col min="15874" max="15874" width="41" customWidth="1"/>
    <col min="15875" max="15875" width="20" customWidth="1"/>
    <col min="15876" max="15876" width="23.140625" customWidth="1"/>
    <col min="15877" max="15880" width="0" hidden="1" customWidth="1"/>
    <col min="15881" max="15881" width="10.5703125" customWidth="1"/>
    <col min="16129" max="16129" width="8.140625" customWidth="1"/>
    <col min="16130" max="16130" width="41" customWidth="1"/>
    <col min="16131" max="16131" width="20" customWidth="1"/>
    <col min="16132" max="16132" width="23.140625" customWidth="1"/>
    <col min="16133" max="16136" width="0" hidden="1" customWidth="1"/>
    <col min="16137" max="16137" width="10.5703125" customWidth="1"/>
  </cols>
  <sheetData>
    <row r="1" spans="1:10" ht="28.5" customHeight="1" x14ac:dyDescent="0.2">
      <c r="A1" s="29" t="s">
        <v>480</v>
      </c>
    </row>
    <row r="3" spans="1:10" ht="21.75" customHeight="1" x14ac:dyDescent="0.2">
      <c r="A3" s="187" t="s">
        <v>242</v>
      </c>
      <c r="B3" s="188"/>
      <c r="C3" s="188"/>
      <c r="D3" s="188"/>
      <c r="E3" s="188"/>
      <c r="F3" s="188"/>
      <c r="G3" s="188"/>
      <c r="H3" s="188"/>
      <c r="I3" s="188"/>
      <c r="J3" s="186"/>
    </row>
    <row r="4" spans="1:10" ht="32.25" customHeight="1" x14ac:dyDescent="0.2">
      <c r="A4" s="10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21" t="s">
        <v>7</v>
      </c>
    </row>
    <row r="5" spans="1:10" ht="15" x14ac:dyDescent="0.2">
      <c r="A5" s="13">
        <v>1</v>
      </c>
      <c r="B5" s="13">
        <v>2</v>
      </c>
      <c r="C5" s="13">
        <v>3</v>
      </c>
      <c r="D5" s="13">
        <v>4</v>
      </c>
      <c r="E5" s="13">
        <v>6</v>
      </c>
      <c r="F5" s="13">
        <v>7</v>
      </c>
      <c r="G5" s="13">
        <v>8</v>
      </c>
      <c r="H5" s="13">
        <v>9</v>
      </c>
      <c r="I5" s="13">
        <v>5</v>
      </c>
      <c r="J5" s="128">
        <v>6</v>
      </c>
    </row>
    <row r="6" spans="1:10" ht="25.5" x14ac:dyDescent="0.2">
      <c r="A6" s="2" t="s">
        <v>8</v>
      </c>
      <c r="B6" s="3" t="s">
        <v>9</v>
      </c>
      <c r="C6" s="131">
        <v>46571000</v>
      </c>
      <c r="D6" s="131">
        <v>42131937</v>
      </c>
      <c r="E6" s="131">
        <v>0</v>
      </c>
      <c r="F6" s="131">
        <v>40690409</v>
      </c>
      <c r="G6" s="131">
        <v>127178000</v>
      </c>
      <c r="H6" s="131">
        <v>0</v>
      </c>
      <c r="I6" s="131">
        <v>40690409</v>
      </c>
      <c r="J6" s="132">
        <f>I6/D6</f>
        <v>0.9657853850868523</v>
      </c>
    </row>
    <row r="7" spans="1:10" x14ac:dyDescent="0.2">
      <c r="A7" s="2" t="s">
        <v>10</v>
      </c>
      <c r="B7" s="3" t="s">
        <v>11</v>
      </c>
      <c r="C7" s="131">
        <v>0</v>
      </c>
      <c r="D7" s="131">
        <v>1503760</v>
      </c>
      <c r="E7" s="131">
        <v>0</v>
      </c>
      <c r="F7" s="131">
        <v>1503760</v>
      </c>
      <c r="G7" s="131">
        <v>0</v>
      </c>
      <c r="H7" s="131">
        <v>0</v>
      </c>
      <c r="I7" s="131">
        <v>1503760</v>
      </c>
      <c r="J7" s="132">
        <f t="shared" ref="J7:J43" si="0">I7/D7</f>
        <v>1</v>
      </c>
    </row>
    <row r="8" spans="1:10" x14ac:dyDescent="0.2">
      <c r="A8" s="2" t="s">
        <v>152</v>
      </c>
      <c r="B8" s="3" t="s">
        <v>245</v>
      </c>
      <c r="C8" s="131">
        <v>0</v>
      </c>
      <c r="D8" s="131">
        <v>400601</v>
      </c>
      <c r="E8" s="131">
        <v>0</v>
      </c>
      <c r="F8" s="131">
        <v>400601</v>
      </c>
      <c r="G8" s="131">
        <v>0</v>
      </c>
      <c r="H8" s="131">
        <v>0</v>
      </c>
      <c r="I8" s="131">
        <v>400601</v>
      </c>
      <c r="J8" s="132">
        <f t="shared" si="0"/>
        <v>1</v>
      </c>
    </row>
    <row r="9" spans="1:10" x14ac:dyDescent="0.2">
      <c r="A9" s="2" t="s">
        <v>12</v>
      </c>
      <c r="B9" s="3" t="s">
        <v>13</v>
      </c>
      <c r="C9" s="131">
        <v>2179000</v>
      </c>
      <c r="D9" s="131">
        <v>2485021</v>
      </c>
      <c r="E9" s="131">
        <v>0</v>
      </c>
      <c r="F9" s="131">
        <v>2485021</v>
      </c>
      <c r="G9" s="131">
        <v>0</v>
      </c>
      <c r="H9" s="131">
        <v>0</v>
      </c>
      <c r="I9" s="131">
        <v>2485021</v>
      </c>
      <c r="J9" s="132">
        <f t="shared" si="0"/>
        <v>1</v>
      </c>
    </row>
    <row r="10" spans="1:10" x14ac:dyDescent="0.2">
      <c r="A10" s="2" t="s">
        <v>14</v>
      </c>
      <c r="B10" s="3" t="s">
        <v>15</v>
      </c>
      <c r="C10" s="131">
        <v>1868000</v>
      </c>
      <c r="D10" s="131">
        <v>1700861</v>
      </c>
      <c r="E10" s="131">
        <v>0</v>
      </c>
      <c r="F10" s="131">
        <v>1700861</v>
      </c>
      <c r="G10" s="131">
        <v>0</v>
      </c>
      <c r="H10" s="131">
        <v>0</v>
      </c>
      <c r="I10" s="131">
        <v>1700861</v>
      </c>
      <c r="J10" s="132">
        <f t="shared" si="0"/>
        <v>1</v>
      </c>
    </row>
    <row r="11" spans="1:10" x14ac:dyDescent="0.2">
      <c r="A11" s="2" t="s">
        <v>16</v>
      </c>
      <c r="B11" s="3" t="s">
        <v>17</v>
      </c>
      <c r="C11" s="131">
        <v>481000</v>
      </c>
      <c r="D11" s="131">
        <v>405470</v>
      </c>
      <c r="E11" s="131">
        <v>0</v>
      </c>
      <c r="F11" s="131">
        <v>405470</v>
      </c>
      <c r="G11" s="131">
        <v>0</v>
      </c>
      <c r="H11" s="131">
        <v>0</v>
      </c>
      <c r="I11" s="131">
        <v>405470</v>
      </c>
      <c r="J11" s="132">
        <f t="shared" si="0"/>
        <v>1</v>
      </c>
    </row>
    <row r="12" spans="1:10" ht="25.5" x14ac:dyDescent="0.2">
      <c r="A12" s="2" t="s">
        <v>18</v>
      </c>
      <c r="B12" s="3" t="s">
        <v>19</v>
      </c>
      <c r="C12" s="131">
        <v>0</v>
      </c>
      <c r="D12" s="131">
        <v>699057</v>
      </c>
      <c r="E12" s="131">
        <v>0</v>
      </c>
      <c r="F12" s="131">
        <v>699057</v>
      </c>
      <c r="G12" s="131">
        <v>0</v>
      </c>
      <c r="H12" s="131">
        <v>0</v>
      </c>
      <c r="I12" s="131">
        <v>699057</v>
      </c>
      <c r="J12" s="132">
        <f t="shared" si="0"/>
        <v>1</v>
      </c>
    </row>
    <row r="13" spans="1:10" ht="25.5" x14ac:dyDescent="0.2">
      <c r="A13" s="2" t="s">
        <v>20</v>
      </c>
      <c r="B13" s="3" t="s">
        <v>21</v>
      </c>
      <c r="C13" s="131">
        <v>51099000</v>
      </c>
      <c r="D13" s="131">
        <v>49326707</v>
      </c>
      <c r="E13" s="131">
        <v>0</v>
      </c>
      <c r="F13" s="131">
        <v>47885179</v>
      </c>
      <c r="G13" s="131">
        <v>127178000</v>
      </c>
      <c r="H13" s="131">
        <v>0</v>
      </c>
      <c r="I13" s="131">
        <v>47885179</v>
      </c>
      <c r="J13" s="132">
        <f t="shared" si="0"/>
        <v>0.97077591252949447</v>
      </c>
    </row>
    <row r="14" spans="1:10" ht="51" x14ac:dyDescent="0.2">
      <c r="A14" s="2" t="s">
        <v>24</v>
      </c>
      <c r="B14" s="3" t="s">
        <v>25</v>
      </c>
      <c r="C14" s="131">
        <v>0</v>
      </c>
      <c r="D14" s="131">
        <v>250990</v>
      </c>
      <c r="E14" s="131">
        <v>0</v>
      </c>
      <c r="F14" s="131">
        <v>250990</v>
      </c>
      <c r="G14" s="131">
        <v>0</v>
      </c>
      <c r="H14" s="131">
        <v>0</v>
      </c>
      <c r="I14" s="131">
        <v>250990</v>
      </c>
      <c r="J14" s="132">
        <f t="shared" si="0"/>
        <v>1</v>
      </c>
    </row>
    <row r="15" spans="1:10" ht="25.5" x14ac:dyDescent="0.2">
      <c r="A15" s="2" t="s">
        <v>26</v>
      </c>
      <c r="B15" s="3" t="s">
        <v>27</v>
      </c>
      <c r="C15" s="131">
        <v>0</v>
      </c>
      <c r="D15" s="131">
        <v>380201</v>
      </c>
      <c r="E15" s="131">
        <v>0</v>
      </c>
      <c r="F15" s="131">
        <v>380201</v>
      </c>
      <c r="G15" s="131">
        <v>0</v>
      </c>
      <c r="H15" s="131">
        <v>0</v>
      </c>
      <c r="I15" s="131">
        <v>380201</v>
      </c>
      <c r="J15" s="132">
        <f t="shared" si="0"/>
        <v>1</v>
      </c>
    </row>
    <row r="16" spans="1:10" ht="25.5" x14ac:dyDescent="0.2">
      <c r="A16" s="2" t="s">
        <v>28</v>
      </c>
      <c r="B16" s="3" t="s">
        <v>29</v>
      </c>
      <c r="C16" s="131">
        <v>0</v>
      </c>
      <c r="D16" s="131">
        <v>631191</v>
      </c>
      <c r="E16" s="131">
        <v>0</v>
      </c>
      <c r="F16" s="131">
        <v>631191</v>
      </c>
      <c r="G16" s="131">
        <v>0</v>
      </c>
      <c r="H16" s="131">
        <v>0</v>
      </c>
      <c r="I16" s="131">
        <v>631191</v>
      </c>
      <c r="J16" s="132">
        <f t="shared" si="0"/>
        <v>1</v>
      </c>
    </row>
    <row r="17" spans="1:10" x14ac:dyDescent="0.2">
      <c r="A17" s="5" t="s">
        <v>30</v>
      </c>
      <c r="B17" s="6" t="s">
        <v>31</v>
      </c>
      <c r="C17" s="133">
        <v>51099000</v>
      </c>
      <c r="D17" s="133">
        <v>49957898</v>
      </c>
      <c r="E17" s="133">
        <v>0</v>
      </c>
      <c r="F17" s="133">
        <v>48516370</v>
      </c>
      <c r="G17" s="133">
        <v>127178000</v>
      </c>
      <c r="H17" s="133">
        <v>0</v>
      </c>
      <c r="I17" s="133">
        <v>48516370</v>
      </c>
      <c r="J17" s="132">
        <f t="shared" si="0"/>
        <v>0.9711451430562591</v>
      </c>
    </row>
    <row r="18" spans="1:10" ht="38.25" x14ac:dyDescent="0.2">
      <c r="A18" s="5" t="s">
        <v>32</v>
      </c>
      <c r="B18" s="6" t="s">
        <v>33</v>
      </c>
      <c r="C18" s="133">
        <v>13523000</v>
      </c>
      <c r="D18" s="133">
        <v>13898418</v>
      </c>
      <c r="E18" s="133">
        <v>0</v>
      </c>
      <c r="F18" s="133">
        <v>13200443</v>
      </c>
      <c r="G18" s="133">
        <v>34990000</v>
      </c>
      <c r="H18" s="133">
        <v>0</v>
      </c>
      <c r="I18" s="133">
        <v>13200443</v>
      </c>
      <c r="J18" s="132">
        <f t="shared" si="0"/>
        <v>0.94978025556577739</v>
      </c>
    </row>
    <row r="19" spans="1:10" ht="25.5" x14ac:dyDescent="0.2">
      <c r="A19" s="2" t="s">
        <v>34</v>
      </c>
      <c r="B19" s="3" t="s">
        <v>35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11773475</v>
      </c>
      <c r="J19" s="132"/>
    </row>
    <row r="20" spans="1:10" ht="25.5" x14ac:dyDescent="0.2">
      <c r="A20" s="2" t="s">
        <v>36</v>
      </c>
      <c r="B20" s="3" t="s">
        <v>37</v>
      </c>
      <c r="C20" s="131">
        <v>0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444522</v>
      </c>
      <c r="J20" s="132"/>
    </row>
    <row r="21" spans="1:10" x14ac:dyDescent="0.2">
      <c r="A21" s="2" t="s">
        <v>38</v>
      </c>
      <c r="B21" s="3" t="s">
        <v>39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561604</v>
      </c>
      <c r="J21" s="132"/>
    </row>
    <row r="22" spans="1:10" ht="25.5" x14ac:dyDescent="0.2">
      <c r="A22" s="2" t="s">
        <v>40</v>
      </c>
      <c r="B22" s="3" t="s">
        <v>41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420842</v>
      </c>
      <c r="J22" s="132"/>
    </row>
    <row r="23" spans="1:10" ht="25.5" x14ac:dyDescent="0.2">
      <c r="A23" s="2" t="s">
        <v>42</v>
      </c>
      <c r="B23" s="3" t="s">
        <v>43</v>
      </c>
      <c r="C23" s="131">
        <v>70000</v>
      </c>
      <c r="D23" s="131">
        <v>57525</v>
      </c>
      <c r="E23" s="131">
        <v>0</v>
      </c>
      <c r="F23" s="131">
        <v>57525</v>
      </c>
      <c r="G23" s="131">
        <v>0</v>
      </c>
      <c r="H23" s="131">
        <v>0</v>
      </c>
      <c r="I23" s="131">
        <v>57525</v>
      </c>
      <c r="J23" s="132">
        <f t="shared" si="0"/>
        <v>1</v>
      </c>
    </row>
    <row r="24" spans="1:10" ht="25.5" x14ac:dyDescent="0.2">
      <c r="A24" s="2" t="s">
        <v>44</v>
      </c>
      <c r="B24" s="3" t="s">
        <v>45</v>
      </c>
      <c r="C24" s="131">
        <v>200000</v>
      </c>
      <c r="D24" s="131">
        <v>204588</v>
      </c>
      <c r="E24" s="131">
        <v>0</v>
      </c>
      <c r="F24" s="131">
        <v>204588</v>
      </c>
      <c r="G24" s="131">
        <v>0</v>
      </c>
      <c r="H24" s="131">
        <v>0</v>
      </c>
      <c r="I24" s="131">
        <v>204588</v>
      </c>
      <c r="J24" s="132">
        <f t="shared" si="0"/>
        <v>1</v>
      </c>
    </row>
    <row r="25" spans="1:10" ht="25.5" x14ac:dyDescent="0.2">
      <c r="A25" s="2" t="s">
        <v>46</v>
      </c>
      <c r="B25" s="3" t="s">
        <v>47</v>
      </c>
      <c r="C25" s="131">
        <v>270000</v>
      </c>
      <c r="D25" s="131">
        <v>262113</v>
      </c>
      <c r="E25" s="131">
        <v>0</v>
      </c>
      <c r="F25" s="131">
        <v>262113</v>
      </c>
      <c r="G25" s="131">
        <v>0</v>
      </c>
      <c r="H25" s="131">
        <v>0</v>
      </c>
      <c r="I25" s="131">
        <v>262113</v>
      </c>
      <c r="J25" s="132">
        <f t="shared" si="0"/>
        <v>1</v>
      </c>
    </row>
    <row r="26" spans="1:10" ht="25.5" x14ac:dyDescent="0.2">
      <c r="A26" s="2" t="s">
        <v>48</v>
      </c>
      <c r="B26" s="3" t="s">
        <v>49</v>
      </c>
      <c r="C26" s="131">
        <v>958000</v>
      </c>
      <c r="D26" s="131">
        <v>720000</v>
      </c>
      <c r="E26" s="131">
        <v>0</v>
      </c>
      <c r="F26" s="131">
        <v>720000</v>
      </c>
      <c r="G26" s="131">
        <v>0</v>
      </c>
      <c r="H26" s="131">
        <v>0</v>
      </c>
      <c r="I26" s="131">
        <v>720000</v>
      </c>
      <c r="J26" s="132">
        <f t="shared" si="0"/>
        <v>1</v>
      </c>
    </row>
    <row r="27" spans="1:10" ht="25.5" x14ac:dyDescent="0.2">
      <c r="A27" s="2" t="s">
        <v>50</v>
      </c>
      <c r="B27" s="3" t="s">
        <v>51</v>
      </c>
      <c r="C27" s="131">
        <v>300000</v>
      </c>
      <c r="D27" s="131">
        <v>312612</v>
      </c>
      <c r="E27" s="131">
        <v>0</v>
      </c>
      <c r="F27" s="131">
        <v>312612</v>
      </c>
      <c r="G27" s="131">
        <v>0</v>
      </c>
      <c r="H27" s="131">
        <v>0</v>
      </c>
      <c r="I27" s="131">
        <v>312612</v>
      </c>
      <c r="J27" s="132">
        <f t="shared" si="0"/>
        <v>1</v>
      </c>
    </row>
    <row r="28" spans="1:10" ht="25.5" x14ac:dyDescent="0.2">
      <c r="A28" s="2" t="s">
        <v>52</v>
      </c>
      <c r="B28" s="3" t="s">
        <v>53</v>
      </c>
      <c r="C28" s="131">
        <v>1258000</v>
      </c>
      <c r="D28" s="131">
        <v>1032612</v>
      </c>
      <c r="E28" s="131">
        <v>0</v>
      </c>
      <c r="F28" s="131">
        <v>1032612</v>
      </c>
      <c r="G28" s="131">
        <v>0</v>
      </c>
      <c r="H28" s="131">
        <v>0</v>
      </c>
      <c r="I28" s="131">
        <v>1032612</v>
      </c>
      <c r="J28" s="132">
        <f t="shared" si="0"/>
        <v>1</v>
      </c>
    </row>
    <row r="29" spans="1:10" x14ac:dyDescent="0.2">
      <c r="A29" s="2" t="s">
        <v>58</v>
      </c>
      <c r="B29" s="3" t="s">
        <v>59</v>
      </c>
      <c r="C29" s="131">
        <v>0</v>
      </c>
      <c r="D29" s="131">
        <v>62587</v>
      </c>
      <c r="E29" s="131">
        <v>0</v>
      </c>
      <c r="F29" s="131">
        <v>62587</v>
      </c>
      <c r="G29" s="131">
        <v>0</v>
      </c>
      <c r="H29" s="131">
        <v>0</v>
      </c>
      <c r="I29" s="131">
        <v>62587</v>
      </c>
      <c r="J29" s="132">
        <f t="shared" si="0"/>
        <v>1</v>
      </c>
    </row>
    <row r="30" spans="1:10" ht="25.5" x14ac:dyDescent="0.2">
      <c r="A30" s="2" t="s">
        <v>60</v>
      </c>
      <c r="B30" s="3" t="s">
        <v>61</v>
      </c>
      <c r="C30" s="131">
        <v>150000</v>
      </c>
      <c r="D30" s="131">
        <v>94900</v>
      </c>
      <c r="E30" s="131">
        <v>0</v>
      </c>
      <c r="F30" s="131">
        <v>94900</v>
      </c>
      <c r="G30" s="131">
        <v>0</v>
      </c>
      <c r="H30" s="131">
        <v>0</v>
      </c>
      <c r="I30" s="131">
        <v>94900</v>
      </c>
      <c r="J30" s="132">
        <f t="shared" si="0"/>
        <v>1</v>
      </c>
    </row>
    <row r="31" spans="1:10" ht="25.5" x14ac:dyDescent="0.2">
      <c r="A31" s="2" t="s">
        <v>62</v>
      </c>
      <c r="B31" s="3" t="s">
        <v>63</v>
      </c>
      <c r="C31" s="131">
        <v>0</v>
      </c>
      <c r="D31" s="131">
        <v>13574</v>
      </c>
      <c r="E31" s="131">
        <v>0</v>
      </c>
      <c r="F31" s="131">
        <v>13574</v>
      </c>
      <c r="G31" s="131">
        <v>0</v>
      </c>
      <c r="H31" s="131">
        <v>0</v>
      </c>
      <c r="I31" s="131">
        <v>13574</v>
      </c>
      <c r="J31" s="132">
        <f t="shared" si="0"/>
        <v>1</v>
      </c>
    </row>
    <row r="32" spans="1:10" x14ac:dyDescent="0.2">
      <c r="A32" s="2" t="s">
        <v>66</v>
      </c>
      <c r="B32" s="3" t="s">
        <v>67</v>
      </c>
      <c r="C32" s="131">
        <v>680000</v>
      </c>
      <c r="D32" s="131">
        <v>766649</v>
      </c>
      <c r="E32" s="131">
        <v>0</v>
      </c>
      <c r="F32" s="131">
        <v>766649</v>
      </c>
      <c r="G32" s="131">
        <v>0</v>
      </c>
      <c r="H32" s="131">
        <v>0</v>
      </c>
      <c r="I32" s="131">
        <v>766649</v>
      </c>
      <c r="J32" s="132">
        <f t="shared" si="0"/>
        <v>1</v>
      </c>
    </row>
    <row r="33" spans="1:10" ht="25.5" x14ac:dyDescent="0.2">
      <c r="A33" s="2" t="s">
        <v>70</v>
      </c>
      <c r="B33" s="3" t="s">
        <v>71</v>
      </c>
      <c r="C33" s="131">
        <v>830000</v>
      </c>
      <c r="D33" s="131">
        <v>937710</v>
      </c>
      <c r="E33" s="131">
        <v>0</v>
      </c>
      <c r="F33" s="131">
        <v>937710</v>
      </c>
      <c r="G33" s="131">
        <v>0</v>
      </c>
      <c r="H33" s="131">
        <v>0</v>
      </c>
      <c r="I33" s="131">
        <v>937710</v>
      </c>
      <c r="J33" s="132">
        <f t="shared" si="0"/>
        <v>1</v>
      </c>
    </row>
    <row r="34" spans="1:10" x14ac:dyDescent="0.2">
      <c r="A34" s="2" t="s">
        <v>246</v>
      </c>
      <c r="B34" s="3" t="s">
        <v>247</v>
      </c>
      <c r="C34" s="131">
        <v>0</v>
      </c>
      <c r="D34" s="131">
        <v>16859</v>
      </c>
      <c r="E34" s="131">
        <v>0</v>
      </c>
      <c r="F34" s="131">
        <v>16859</v>
      </c>
      <c r="G34" s="131">
        <v>0</v>
      </c>
      <c r="H34" s="131">
        <v>0</v>
      </c>
      <c r="I34" s="131">
        <v>16859</v>
      </c>
      <c r="J34" s="132">
        <f t="shared" si="0"/>
        <v>1</v>
      </c>
    </row>
    <row r="35" spans="1:10" ht="25.5" x14ac:dyDescent="0.2">
      <c r="A35" s="2" t="s">
        <v>248</v>
      </c>
      <c r="B35" s="3" t="s">
        <v>249</v>
      </c>
      <c r="C35" s="131">
        <v>0</v>
      </c>
      <c r="D35" s="131">
        <v>16859</v>
      </c>
      <c r="E35" s="131">
        <v>0</v>
      </c>
      <c r="F35" s="131">
        <v>16859</v>
      </c>
      <c r="G35" s="131">
        <v>0</v>
      </c>
      <c r="H35" s="131">
        <v>0</v>
      </c>
      <c r="I35" s="131">
        <v>16859</v>
      </c>
      <c r="J35" s="132">
        <f t="shared" si="0"/>
        <v>1</v>
      </c>
    </row>
    <row r="36" spans="1:10" ht="38.25" x14ac:dyDescent="0.2">
      <c r="A36" s="2" t="s">
        <v>72</v>
      </c>
      <c r="B36" s="3" t="s">
        <v>73</v>
      </c>
      <c r="C36" s="131">
        <v>626000</v>
      </c>
      <c r="D36" s="131">
        <v>290091</v>
      </c>
      <c r="E36" s="131">
        <v>0</v>
      </c>
      <c r="F36" s="131">
        <v>290091</v>
      </c>
      <c r="G36" s="131">
        <v>0</v>
      </c>
      <c r="H36" s="131">
        <v>0</v>
      </c>
      <c r="I36" s="131">
        <v>290091</v>
      </c>
      <c r="J36" s="132">
        <f t="shared" si="0"/>
        <v>1</v>
      </c>
    </row>
    <row r="37" spans="1:10" x14ac:dyDescent="0.2">
      <c r="A37" s="2" t="s">
        <v>78</v>
      </c>
      <c r="B37" s="3" t="s">
        <v>79</v>
      </c>
      <c r="C37" s="131">
        <v>0</v>
      </c>
      <c r="D37" s="131">
        <v>464573</v>
      </c>
      <c r="E37" s="131">
        <v>0</v>
      </c>
      <c r="F37" s="131">
        <v>464573</v>
      </c>
      <c r="G37" s="131">
        <v>0</v>
      </c>
      <c r="H37" s="131">
        <v>0</v>
      </c>
      <c r="I37" s="131">
        <v>464573</v>
      </c>
      <c r="J37" s="132">
        <f t="shared" si="0"/>
        <v>1</v>
      </c>
    </row>
    <row r="38" spans="1:10" ht="38.25" x14ac:dyDescent="0.2">
      <c r="A38" s="2" t="s">
        <v>80</v>
      </c>
      <c r="B38" s="3" t="s">
        <v>81</v>
      </c>
      <c r="C38" s="131">
        <v>626000</v>
      </c>
      <c r="D38" s="131">
        <v>754664</v>
      </c>
      <c r="E38" s="131">
        <v>0</v>
      </c>
      <c r="F38" s="131">
        <v>754664</v>
      </c>
      <c r="G38" s="131">
        <v>0</v>
      </c>
      <c r="H38" s="131">
        <v>0</v>
      </c>
      <c r="I38" s="131">
        <v>754664</v>
      </c>
      <c r="J38" s="132">
        <f t="shared" si="0"/>
        <v>1</v>
      </c>
    </row>
    <row r="39" spans="1:10" ht="25.5" x14ac:dyDescent="0.2">
      <c r="A39" s="5" t="s">
        <v>82</v>
      </c>
      <c r="B39" s="6" t="s">
        <v>83</v>
      </c>
      <c r="C39" s="133">
        <v>2984000</v>
      </c>
      <c r="D39" s="133">
        <v>3003958</v>
      </c>
      <c r="E39" s="133">
        <v>0</v>
      </c>
      <c r="F39" s="133">
        <v>3003958</v>
      </c>
      <c r="G39" s="133">
        <v>0</v>
      </c>
      <c r="H39" s="133">
        <v>0</v>
      </c>
      <c r="I39" s="133">
        <v>3003958</v>
      </c>
      <c r="J39" s="132">
        <f t="shared" si="0"/>
        <v>1</v>
      </c>
    </row>
    <row r="40" spans="1:10" ht="25.5" x14ac:dyDescent="0.2">
      <c r="A40" s="2" t="s">
        <v>120</v>
      </c>
      <c r="B40" s="3" t="s">
        <v>121</v>
      </c>
      <c r="C40" s="131">
        <v>0</v>
      </c>
      <c r="D40" s="131">
        <v>12677</v>
      </c>
      <c r="E40" s="131">
        <v>0</v>
      </c>
      <c r="F40" s="131">
        <v>12677</v>
      </c>
      <c r="G40" s="131">
        <v>0</v>
      </c>
      <c r="H40" s="131">
        <v>0</v>
      </c>
      <c r="I40" s="131">
        <v>12677</v>
      </c>
      <c r="J40" s="132">
        <f t="shared" si="0"/>
        <v>1</v>
      </c>
    </row>
    <row r="41" spans="1:10" ht="38.25" x14ac:dyDescent="0.2">
      <c r="A41" s="2" t="s">
        <v>124</v>
      </c>
      <c r="B41" s="3" t="s">
        <v>125</v>
      </c>
      <c r="C41" s="131">
        <v>0</v>
      </c>
      <c r="D41" s="131">
        <v>3423</v>
      </c>
      <c r="E41" s="131">
        <v>0</v>
      </c>
      <c r="F41" s="131">
        <v>3423</v>
      </c>
      <c r="G41" s="131">
        <v>0</v>
      </c>
      <c r="H41" s="131">
        <v>0</v>
      </c>
      <c r="I41" s="131">
        <v>3423</v>
      </c>
      <c r="J41" s="132">
        <f t="shared" si="0"/>
        <v>1</v>
      </c>
    </row>
    <row r="42" spans="1:10" ht="25.5" x14ac:dyDescent="0.2">
      <c r="A42" s="5" t="s">
        <v>126</v>
      </c>
      <c r="B42" s="6" t="s">
        <v>127</v>
      </c>
      <c r="C42" s="133">
        <v>0</v>
      </c>
      <c r="D42" s="133">
        <v>16100</v>
      </c>
      <c r="E42" s="133">
        <v>0</v>
      </c>
      <c r="F42" s="133">
        <v>16100</v>
      </c>
      <c r="G42" s="133">
        <v>0</v>
      </c>
      <c r="H42" s="133">
        <v>0</v>
      </c>
      <c r="I42" s="133">
        <v>16100</v>
      </c>
      <c r="J42" s="132">
        <f t="shared" si="0"/>
        <v>1</v>
      </c>
    </row>
    <row r="43" spans="1:10" ht="38.25" x14ac:dyDescent="0.2">
      <c r="A43" s="5" t="s">
        <v>142</v>
      </c>
      <c r="B43" s="6" t="s">
        <v>143</v>
      </c>
      <c r="C43" s="133">
        <v>67606000</v>
      </c>
      <c r="D43" s="133">
        <v>66876374</v>
      </c>
      <c r="E43" s="133">
        <v>0</v>
      </c>
      <c r="F43" s="133">
        <v>64736871</v>
      </c>
      <c r="G43" s="133">
        <v>162168000</v>
      </c>
      <c r="H43" s="133">
        <v>0</v>
      </c>
      <c r="I43" s="133">
        <v>64736871</v>
      </c>
      <c r="J43" s="132">
        <f t="shared" si="0"/>
        <v>0.96800808907492497</v>
      </c>
    </row>
    <row r="44" spans="1:10" ht="25.5" customHeight="1" x14ac:dyDescent="0.2">
      <c r="A44" s="189" t="s">
        <v>253</v>
      </c>
      <c r="B44" s="190"/>
      <c r="C44" s="190"/>
      <c r="D44" s="190"/>
      <c r="E44" s="190"/>
      <c r="F44" s="190"/>
      <c r="G44" s="190"/>
      <c r="H44" s="191"/>
      <c r="I44" s="191"/>
      <c r="J44" s="192"/>
    </row>
    <row r="45" spans="1:10" ht="30" x14ac:dyDescent="0.2">
      <c r="A45" s="10"/>
      <c r="B45" s="10" t="s">
        <v>0</v>
      </c>
      <c r="C45" s="10" t="s">
        <v>1</v>
      </c>
      <c r="D45" s="10" t="s">
        <v>2</v>
      </c>
      <c r="E45" s="10" t="s">
        <v>148</v>
      </c>
      <c r="F45" s="10" t="s">
        <v>149</v>
      </c>
      <c r="G45" s="10" t="s">
        <v>7</v>
      </c>
      <c r="H45" s="17"/>
      <c r="I45" s="10" t="s">
        <v>7</v>
      </c>
      <c r="J45" s="121" t="s">
        <v>7</v>
      </c>
    </row>
    <row r="46" spans="1:10" ht="15" x14ac:dyDescent="0.2">
      <c r="A46" s="13">
        <v>1</v>
      </c>
      <c r="B46" s="13">
        <v>2</v>
      </c>
      <c r="C46" s="13">
        <v>3</v>
      </c>
      <c r="D46" s="13">
        <v>4</v>
      </c>
      <c r="E46" s="13">
        <v>6</v>
      </c>
      <c r="F46" s="13">
        <v>7</v>
      </c>
      <c r="G46" s="13">
        <v>8</v>
      </c>
      <c r="H46" s="12"/>
      <c r="I46" s="13">
        <v>5</v>
      </c>
      <c r="J46" s="128">
        <v>6</v>
      </c>
    </row>
    <row r="47" spans="1:10" ht="38.25" x14ac:dyDescent="0.2">
      <c r="A47" s="2" t="s">
        <v>46</v>
      </c>
      <c r="B47" s="3" t="s">
        <v>159</v>
      </c>
      <c r="C47" s="131">
        <v>6600000</v>
      </c>
      <c r="D47" s="131">
        <v>7508171</v>
      </c>
      <c r="E47" s="131">
        <v>7505311</v>
      </c>
      <c r="F47" s="131">
        <v>0</v>
      </c>
      <c r="G47" s="131">
        <v>7505311</v>
      </c>
      <c r="H47" s="134"/>
      <c r="I47" s="131">
        <v>7505311</v>
      </c>
      <c r="J47" s="132">
        <f t="shared" ref="J47:J56" si="1">I47/D47</f>
        <v>0.99961908166449587</v>
      </c>
    </row>
    <row r="48" spans="1:10" ht="25.5" x14ac:dyDescent="0.2">
      <c r="A48" s="2" t="s">
        <v>54</v>
      </c>
      <c r="B48" s="3" t="s">
        <v>250</v>
      </c>
      <c r="C48" s="131">
        <v>0</v>
      </c>
      <c r="D48" s="131">
        <v>0</v>
      </c>
      <c r="E48" s="131">
        <v>0</v>
      </c>
      <c r="F48" s="131">
        <v>0</v>
      </c>
      <c r="G48" s="131">
        <v>905311</v>
      </c>
      <c r="H48" s="134"/>
      <c r="I48" s="131">
        <v>905311</v>
      </c>
      <c r="J48" s="132"/>
    </row>
    <row r="49" spans="1:10" ht="25.5" x14ac:dyDescent="0.2">
      <c r="A49" s="2" t="s">
        <v>62</v>
      </c>
      <c r="B49" s="3" t="s">
        <v>164</v>
      </c>
      <c r="C49" s="131">
        <v>0</v>
      </c>
      <c r="D49" s="131">
        <v>0</v>
      </c>
      <c r="E49" s="131">
        <v>0</v>
      </c>
      <c r="F49" s="131">
        <v>0</v>
      </c>
      <c r="G49" s="131">
        <v>6600000</v>
      </c>
      <c r="H49" s="134"/>
      <c r="I49" s="131">
        <v>6600000</v>
      </c>
      <c r="J49" s="132"/>
    </row>
    <row r="50" spans="1:10" ht="38.25" x14ac:dyDescent="0.2">
      <c r="A50" s="5" t="s">
        <v>165</v>
      </c>
      <c r="B50" s="6" t="s">
        <v>166</v>
      </c>
      <c r="C50" s="133">
        <v>6600000</v>
      </c>
      <c r="D50" s="133">
        <v>7508171</v>
      </c>
      <c r="E50" s="133">
        <v>7505311</v>
      </c>
      <c r="F50" s="133">
        <v>0</v>
      </c>
      <c r="G50" s="133">
        <v>7505311</v>
      </c>
      <c r="H50" s="134"/>
      <c r="I50" s="133">
        <v>7505311</v>
      </c>
      <c r="J50" s="132">
        <f t="shared" si="1"/>
        <v>0.99961908166449587</v>
      </c>
    </row>
    <row r="51" spans="1:10" ht="25.5" x14ac:dyDescent="0.2">
      <c r="A51" s="2" t="s">
        <v>114</v>
      </c>
      <c r="B51" s="3" t="s">
        <v>198</v>
      </c>
      <c r="C51" s="131">
        <v>0</v>
      </c>
      <c r="D51" s="131">
        <v>21531</v>
      </c>
      <c r="E51" s="131">
        <v>21531</v>
      </c>
      <c r="F51" s="131">
        <v>0</v>
      </c>
      <c r="G51" s="131">
        <v>21531</v>
      </c>
      <c r="H51" s="134"/>
      <c r="I51" s="131">
        <v>21531</v>
      </c>
      <c r="J51" s="132">
        <f t="shared" si="1"/>
        <v>1</v>
      </c>
    </row>
    <row r="52" spans="1:10" ht="38.25" x14ac:dyDescent="0.2">
      <c r="A52" s="2" t="s">
        <v>134</v>
      </c>
      <c r="B52" s="3" t="s">
        <v>205</v>
      </c>
      <c r="C52" s="131">
        <v>0</v>
      </c>
      <c r="D52" s="131">
        <v>10120</v>
      </c>
      <c r="E52" s="131">
        <v>3081</v>
      </c>
      <c r="F52" s="131">
        <v>0</v>
      </c>
      <c r="G52" s="131">
        <v>3081</v>
      </c>
      <c r="H52" s="134"/>
      <c r="I52" s="131">
        <v>3081</v>
      </c>
      <c r="J52" s="132">
        <f t="shared" si="1"/>
        <v>0.30444664031620555</v>
      </c>
    </row>
    <row r="53" spans="1:10" ht="38.25" x14ac:dyDescent="0.2">
      <c r="A53" s="2" t="s">
        <v>206</v>
      </c>
      <c r="B53" s="3" t="s">
        <v>207</v>
      </c>
      <c r="C53" s="131">
        <v>0</v>
      </c>
      <c r="D53" s="131">
        <v>10120</v>
      </c>
      <c r="E53" s="131">
        <v>3081</v>
      </c>
      <c r="F53" s="131">
        <v>0</v>
      </c>
      <c r="G53" s="131">
        <v>3081</v>
      </c>
      <c r="H53" s="134"/>
      <c r="I53" s="131">
        <v>3081</v>
      </c>
      <c r="J53" s="132">
        <f t="shared" si="1"/>
        <v>0.30444664031620555</v>
      </c>
    </row>
    <row r="54" spans="1:10" ht="25.5" x14ac:dyDescent="0.2">
      <c r="A54" s="2" t="s">
        <v>208</v>
      </c>
      <c r="B54" s="3" t="s">
        <v>209</v>
      </c>
      <c r="C54" s="131">
        <v>0</v>
      </c>
      <c r="D54" s="131">
        <v>1010</v>
      </c>
      <c r="E54" s="131">
        <v>1001</v>
      </c>
      <c r="F54" s="131">
        <v>0</v>
      </c>
      <c r="G54" s="131">
        <v>1001</v>
      </c>
      <c r="H54" s="134"/>
      <c r="I54" s="131">
        <v>1001</v>
      </c>
      <c r="J54" s="132">
        <f t="shared" si="1"/>
        <v>0.99108910891089108</v>
      </c>
    </row>
    <row r="55" spans="1:10" ht="38.25" x14ac:dyDescent="0.2">
      <c r="A55" s="5" t="s">
        <v>210</v>
      </c>
      <c r="B55" s="6" t="s">
        <v>211</v>
      </c>
      <c r="C55" s="133">
        <v>0</v>
      </c>
      <c r="D55" s="133">
        <v>32661</v>
      </c>
      <c r="E55" s="133">
        <v>25613</v>
      </c>
      <c r="F55" s="133">
        <v>0</v>
      </c>
      <c r="G55" s="133">
        <v>25613</v>
      </c>
      <c r="H55" s="134"/>
      <c r="I55" s="133">
        <v>25613</v>
      </c>
      <c r="J55" s="132">
        <f t="shared" si="1"/>
        <v>0.78420746456017876</v>
      </c>
    </row>
    <row r="56" spans="1:10" ht="38.25" x14ac:dyDescent="0.2">
      <c r="A56" s="5" t="s">
        <v>230</v>
      </c>
      <c r="B56" s="6" t="s">
        <v>231</v>
      </c>
      <c r="C56" s="133">
        <v>6600000</v>
      </c>
      <c r="D56" s="133">
        <v>7540832</v>
      </c>
      <c r="E56" s="133">
        <v>7530924</v>
      </c>
      <c r="F56" s="133">
        <v>0</v>
      </c>
      <c r="G56" s="133">
        <v>7530924</v>
      </c>
      <c r="H56" s="134"/>
      <c r="I56" s="133">
        <v>7530924</v>
      </c>
      <c r="J56" s="132">
        <f t="shared" si="1"/>
        <v>0.99868608662810687</v>
      </c>
    </row>
    <row r="57" spans="1:10" ht="20.25" customHeight="1" x14ac:dyDescent="0.2">
      <c r="A57" s="193" t="s">
        <v>252</v>
      </c>
      <c r="B57" s="194"/>
      <c r="C57" s="194"/>
      <c r="D57" s="194"/>
      <c r="E57" s="194"/>
      <c r="F57" s="194"/>
      <c r="G57" s="194"/>
      <c r="H57" s="194"/>
      <c r="I57" s="194"/>
      <c r="J57" s="195"/>
    </row>
    <row r="58" spans="1:10" ht="30" x14ac:dyDescent="0.2">
      <c r="A58" s="129"/>
      <c r="B58" s="129" t="s">
        <v>0</v>
      </c>
      <c r="C58" s="129" t="s">
        <v>1</v>
      </c>
      <c r="D58" s="129" t="s">
        <v>2</v>
      </c>
      <c r="E58" s="129" t="s">
        <v>233</v>
      </c>
      <c r="F58" s="129" t="s">
        <v>149</v>
      </c>
      <c r="G58" s="129" t="s">
        <v>7</v>
      </c>
      <c r="H58" s="130"/>
      <c r="I58" s="129" t="s">
        <v>7</v>
      </c>
      <c r="J58" s="129" t="s">
        <v>7</v>
      </c>
    </row>
    <row r="59" spans="1:10" ht="15" x14ac:dyDescent="0.2">
      <c r="A59" s="13">
        <v>1</v>
      </c>
      <c r="B59" s="13">
        <v>2</v>
      </c>
      <c r="C59" s="13">
        <v>3</v>
      </c>
      <c r="D59" s="13">
        <v>4</v>
      </c>
      <c r="E59" s="13">
        <v>6</v>
      </c>
      <c r="F59" s="13">
        <v>7</v>
      </c>
      <c r="G59" s="13">
        <v>8</v>
      </c>
      <c r="H59" s="12"/>
      <c r="I59" s="13">
        <v>5</v>
      </c>
      <c r="J59" s="128">
        <v>6</v>
      </c>
    </row>
    <row r="60" spans="1:10" ht="38.25" x14ac:dyDescent="0.2">
      <c r="A60" s="2" t="s">
        <v>234</v>
      </c>
      <c r="B60" s="3" t="s">
        <v>235</v>
      </c>
      <c r="C60" s="131">
        <v>2362000</v>
      </c>
      <c r="D60" s="131">
        <v>2463114</v>
      </c>
      <c r="E60" s="131">
        <v>2463114</v>
      </c>
      <c r="F60" s="131">
        <v>0</v>
      </c>
      <c r="G60" s="131">
        <v>2463114</v>
      </c>
      <c r="H60" s="134"/>
      <c r="I60" s="131">
        <v>2463114</v>
      </c>
      <c r="J60" s="132">
        <f t="shared" ref="J60:J64" si="2">I60/D60</f>
        <v>1</v>
      </c>
    </row>
    <row r="61" spans="1:10" ht="25.5" x14ac:dyDescent="0.2">
      <c r="A61" s="2" t="s">
        <v>236</v>
      </c>
      <c r="B61" s="3" t="s">
        <v>237</v>
      </c>
      <c r="C61" s="131">
        <v>2362000</v>
      </c>
      <c r="D61" s="131">
        <v>2463114</v>
      </c>
      <c r="E61" s="131">
        <v>2463114</v>
      </c>
      <c r="F61" s="131">
        <v>0</v>
      </c>
      <c r="G61" s="131">
        <v>2463114</v>
      </c>
      <c r="H61" s="134"/>
      <c r="I61" s="131">
        <v>2463114</v>
      </c>
      <c r="J61" s="132">
        <f t="shared" si="2"/>
        <v>1</v>
      </c>
    </row>
    <row r="62" spans="1:10" ht="25.5" x14ac:dyDescent="0.2">
      <c r="A62" s="2" t="s">
        <v>24</v>
      </c>
      <c r="B62" s="3" t="s">
        <v>251</v>
      </c>
      <c r="C62" s="131">
        <v>58644000</v>
      </c>
      <c r="D62" s="131">
        <v>56872428</v>
      </c>
      <c r="E62" s="131">
        <v>56872428</v>
      </c>
      <c r="F62" s="131">
        <v>0</v>
      </c>
      <c r="G62" s="131">
        <v>56872428</v>
      </c>
      <c r="H62" s="134"/>
      <c r="I62" s="131">
        <v>56872428</v>
      </c>
      <c r="J62" s="132">
        <f t="shared" si="2"/>
        <v>1</v>
      </c>
    </row>
    <row r="63" spans="1:10" ht="25.5" x14ac:dyDescent="0.2">
      <c r="A63" s="2" t="s">
        <v>239</v>
      </c>
      <c r="B63" s="3" t="s">
        <v>240</v>
      </c>
      <c r="C63" s="131">
        <v>61006000</v>
      </c>
      <c r="D63" s="131">
        <v>59335542</v>
      </c>
      <c r="E63" s="131">
        <v>59335542</v>
      </c>
      <c r="F63" s="131">
        <v>0</v>
      </c>
      <c r="G63" s="131">
        <v>59335542</v>
      </c>
      <c r="H63" s="134"/>
      <c r="I63" s="131">
        <v>59335542</v>
      </c>
      <c r="J63" s="132">
        <f t="shared" si="2"/>
        <v>1</v>
      </c>
    </row>
    <row r="64" spans="1:10" ht="25.5" x14ac:dyDescent="0.2">
      <c r="A64" s="5" t="s">
        <v>46</v>
      </c>
      <c r="B64" s="6" t="s">
        <v>241</v>
      </c>
      <c r="C64" s="133">
        <v>61006000</v>
      </c>
      <c r="D64" s="133">
        <v>59335542</v>
      </c>
      <c r="E64" s="133">
        <v>59335542</v>
      </c>
      <c r="F64" s="133">
        <v>0</v>
      </c>
      <c r="G64" s="133">
        <v>59335542</v>
      </c>
      <c r="H64" s="134"/>
      <c r="I64" s="133">
        <v>59335542</v>
      </c>
      <c r="J64" s="132">
        <f t="shared" si="2"/>
        <v>1</v>
      </c>
    </row>
  </sheetData>
  <mergeCells count="3">
    <mergeCell ref="A3:J3"/>
    <mergeCell ref="A44:J44"/>
    <mergeCell ref="A57:J57"/>
  </mergeCells>
  <pageMargins left="0.75" right="0.75" top="1" bottom="1" header="0.5" footer="0.5"/>
  <pageSetup orientation="portrait" verticalDpi="300" r:id="rId1"/>
  <headerFooter alignWithMargins="0">
    <oddHeader>&amp;C&amp;L&amp;RÉrték típus: Forint</oddHeader>
    <oddFooter>&amp;C&amp;LAdatellenőrző kód: 51-1e32-2c-242133-477a2ea6f-3a786e5b-3f-503a-53&amp;R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ySplit="5" topLeftCell="A33" activePane="bottomLeft" state="frozen"/>
      <selection pane="bottomLeft" activeCell="B1" sqref="B1"/>
    </sheetView>
  </sheetViews>
  <sheetFormatPr defaultRowHeight="12.75" x14ac:dyDescent="0.2"/>
  <cols>
    <col min="1" max="1" width="8.140625" hidden="1" customWidth="1"/>
    <col min="2" max="2" width="36.7109375" customWidth="1"/>
    <col min="3" max="3" width="14.42578125" customWidth="1"/>
    <col min="4" max="4" width="16.7109375" customWidth="1"/>
    <col min="5" max="8" width="32.85546875" hidden="1" customWidth="1"/>
    <col min="9" max="9" width="16.5703125" customWidth="1"/>
    <col min="10" max="10" width="12.42578125" customWidth="1"/>
    <col min="257" max="257" width="8.140625" customWidth="1"/>
    <col min="258" max="258" width="41" customWidth="1"/>
    <col min="259" max="260" width="32.85546875" customWidth="1"/>
    <col min="261" max="264" width="0" hidden="1" customWidth="1"/>
    <col min="265" max="265" width="32.85546875" customWidth="1"/>
    <col min="513" max="513" width="8.140625" customWidth="1"/>
    <col min="514" max="514" width="41" customWidth="1"/>
    <col min="515" max="516" width="32.85546875" customWidth="1"/>
    <col min="517" max="520" width="0" hidden="1" customWidth="1"/>
    <col min="521" max="521" width="32.85546875" customWidth="1"/>
    <col min="769" max="769" width="8.140625" customWidth="1"/>
    <col min="770" max="770" width="41" customWidth="1"/>
    <col min="771" max="772" width="32.85546875" customWidth="1"/>
    <col min="773" max="776" width="0" hidden="1" customWidth="1"/>
    <col min="777" max="777" width="32.85546875" customWidth="1"/>
    <col min="1025" max="1025" width="8.140625" customWidth="1"/>
    <col min="1026" max="1026" width="41" customWidth="1"/>
    <col min="1027" max="1028" width="32.85546875" customWidth="1"/>
    <col min="1029" max="1032" width="0" hidden="1" customWidth="1"/>
    <col min="1033" max="1033" width="32.85546875" customWidth="1"/>
    <col min="1281" max="1281" width="8.140625" customWidth="1"/>
    <col min="1282" max="1282" width="41" customWidth="1"/>
    <col min="1283" max="1284" width="32.85546875" customWidth="1"/>
    <col min="1285" max="1288" width="0" hidden="1" customWidth="1"/>
    <col min="1289" max="1289" width="32.85546875" customWidth="1"/>
    <col min="1537" max="1537" width="8.140625" customWidth="1"/>
    <col min="1538" max="1538" width="41" customWidth="1"/>
    <col min="1539" max="1540" width="32.85546875" customWidth="1"/>
    <col min="1541" max="1544" width="0" hidden="1" customWidth="1"/>
    <col min="1545" max="1545" width="32.85546875" customWidth="1"/>
    <col min="1793" max="1793" width="8.140625" customWidth="1"/>
    <col min="1794" max="1794" width="41" customWidth="1"/>
    <col min="1795" max="1796" width="32.85546875" customWidth="1"/>
    <col min="1797" max="1800" width="0" hidden="1" customWidth="1"/>
    <col min="1801" max="1801" width="32.85546875" customWidth="1"/>
    <col min="2049" max="2049" width="8.140625" customWidth="1"/>
    <col min="2050" max="2050" width="41" customWidth="1"/>
    <col min="2051" max="2052" width="32.85546875" customWidth="1"/>
    <col min="2053" max="2056" width="0" hidden="1" customWidth="1"/>
    <col min="2057" max="2057" width="32.85546875" customWidth="1"/>
    <col min="2305" max="2305" width="8.140625" customWidth="1"/>
    <col min="2306" max="2306" width="41" customWidth="1"/>
    <col min="2307" max="2308" width="32.85546875" customWidth="1"/>
    <col min="2309" max="2312" width="0" hidden="1" customWidth="1"/>
    <col min="2313" max="2313" width="32.85546875" customWidth="1"/>
    <col min="2561" max="2561" width="8.140625" customWidth="1"/>
    <col min="2562" max="2562" width="41" customWidth="1"/>
    <col min="2563" max="2564" width="32.85546875" customWidth="1"/>
    <col min="2565" max="2568" width="0" hidden="1" customWidth="1"/>
    <col min="2569" max="2569" width="32.85546875" customWidth="1"/>
    <col min="2817" max="2817" width="8.140625" customWidth="1"/>
    <col min="2818" max="2818" width="41" customWidth="1"/>
    <col min="2819" max="2820" width="32.85546875" customWidth="1"/>
    <col min="2821" max="2824" width="0" hidden="1" customWidth="1"/>
    <col min="2825" max="2825" width="32.85546875" customWidth="1"/>
    <col min="3073" max="3073" width="8.140625" customWidth="1"/>
    <col min="3074" max="3074" width="41" customWidth="1"/>
    <col min="3075" max="3076" width="32.85546875" customWidth="1"/>
    <col min="3077" max="3080" width="0" hidden="1" customWidth="1"/>
    <col min="3081" max="3081" width="32.85546875" customWidth="1"/>
    <col min="3329" max="3329" width="8.140625" customWidth="1"/>
    <col min="3330" max="3330" width="41" customWidth="1"/>
    <col min="3331" max="3332" width="32.85546875" customWidth="1"/>
    <col min="3333" max="3336" width="0" hidden="1" customWidth="1"/>
    <col min="3337" max="3337" width="32.85546875" customWidth="1"/>
    <col min="3585" max="3585" width="8.140625" customWidth="1"/>
    <col min="3586" max="3586" width="41" customWidth="1"/>
    <col min="3587" max="3588" width="32.85546875" customWidth="1"/>
    <col min="3589" max="3592" width="0" hidden="1" customWidth="1"/>
    <col min="3593" max="3593" width="32.85546875" customWidth="1"/>
    <col min="3841" max="3841" width="8.140625" customWidth="1"/>
    <col min="3842" max="3842" width="41" customWidth="1"/>
    <col min="3843" max="3844" width="32.85546875" customWidth="1"/>
    <col min="3845" max="3848" width="0" hidden="1" customWidth="1"/>
    <col min="3849" max="3849" width="32.85546875" customWidth="1"/>
    <col min="4097" max="4097" width="8.140625" customWidth="1"/>
    <col min="4098" max="4098" width="41" customWidth="1"/>
    <col min="4099" max="4100" width="32.85546875" customWidth="1"/>
    <col min="4101" max="4104" width="0" hidden="1" customWidth="1"/>
    <col min="4105" max="4105" width="32.85546875" customWidth="1"/>
    <col min="4353" max="4353" width="8.140625" customWidth="1"/>
    <col min="4354" max="4354" width="41" customWidth="1"/>
    <col min="4355" max="4356" width="32.85546875" customWidth="1"/>
    <col min="4357" max="4360" width="0" hidden="1" customWidth="1"/>
    <col min="4361" max="4361" width="32.85546875" customWidth="1"/>
    <col min="4609" max="4609" width="8.140625" customWidth="1"/>
    <col min="4610" max="4610" width="41" customWidth="1"/>
    <col min="4611" max="4612" width="32.85546875" customWidth="1"/>
    <col min="4613" max="4616" width="0" hidden="1" customWidth="1"/>
    <col min="4617" max="4617" width="32.85546875" customWidth="1"/>
    <col min="4865" max="4865" width="8.140625" customWidth="1"/>
    <col min="4866" max="4866" width="41" customWidth="1"/>
    <col min="4867" max="4868" width="32.85546875" customWidth="1"/>
    <col min="4869" max="4872" width="0" hidden="1" customWidth="1"/>
    <col min="4873" max="4873" width="32.85546875" customWidth="1"/>
    <col min="5121" max="5121" width="8.140625" customWidth="1"/>
    <col min="5122" max="5122" width="41" customWidth="1"/>
    <col min="5123" max="5124" width="32.85546875" customWidth="1"/>
    <col min="5125" max="5128" width="0" hidden="1" customWidth="1"/>
    <col min="5129" max="5129" width="32.85546875" customWidth="1"/>
    <col min="5377" max="5377" width="8.140625" customWidth="1"/>
    <col min="5378" max="5378" width="41" customWidth="1"/>
    <col min="5379" max="5380" width="32.85546875" customWidth="1"/>
    <col min="5381" max="5384" width="0" hidden="1" customWidth="1"/>
    <col min="5385" max="5385" width="32.85546875" customWidth="1"/>
    <col min="5633" max="5633" width="8.140625" customWidth="1"/>
    <col min="5634" max="5634" width="41" customWidth="1"/>
    <col min="5635" max="5636" width="32.85546875" customWidth="1"/>
    <col min="5637" max="5640" width="0" hidden="1" customWidth="1"/>
    <col min="5641" max="5641" width="32.85546875" customWidth="1"/>
    <col min="5889" max="5889" width="8.140625" customWidth="1"/>
    <col min="5890" max="5890" width="41" customWidth="1"/>
    <col min="5891" max="5892" width="32.85546875" customWidth="1"/>
    <col min="5893" max="5896" width="0" hidden="1" customWidth="1"/>
    <col min="5897" max="5897" width="32.85546875" customWidth="1"/>
    <col min="6145" max="6145" width="8.140625" customWidth="1"/>
    <col min="6146" max="6146" width="41" customWidth="1"/>
    <col min="6147" max="6148" width="32.85546875" customWidth="1"/>
    <col min="6149" max="6152" width="0" hidden="1" customWidth="1"/>
    <col min="6153" max="6153" width="32.85546875" customWidth="1"/>
    <col min="6401" max="6401" width="8.140625" customWidth="1"/>
    <col min="6402" max="6402" width="41" customWidth="1"/>
    <col min="6403" max="6404" width="32.85546875" customWidth="1"/>
    <col min="6405" max="6408" width="0" hidden="1" customWidth="1"/>
    <col min="6409" max="6409" width="32.85546875" customWidth="1"/>
    <col min="6657" max="6657" width="8.140625" customWidth="1"/>
    <col min="6658" max="6658" width="41" customWidth="1"/>
    <col min="6659" max="6660" width="32.85546875" customWidth="1"/>
    <col min="6661" max="6664" width="0" hidden="1" customWidth="1"/>
    <col min="6665" max="6665" width="32.85546875" customWidth="1"/>
    <col min="6913" max="6913" width="8.140625" customWidth="1"/>
    <col min="6914" max="6914" width="41" customWidth="1"/>
    <col min="6915" max="6916" width="32.85546875" customWidth="1"/>
    <col min="6917" max="6920" width="0" hidden="1" customWidth="1"/>
    <col min="6921" max="6921" width="32.85546875" customWidth="1"/>
    <col min="7169" max="7169" width="8.140625" customWidth="1"/>
    <col min="7170" max="7170" width="41" customWidth="1"/>
    <col min="7171" max="7172" width="32.85546875" customWidth="1"/>
    <col min="7173" max="7176" width="0" hidden="1" customWidth="1"/>
    <col min="7177" max="7177" width="32.85546875" customWidth="1"/>
    <col min="7425" max="7425" width="8.140625" customWidth="1"/>
    <col min="7426" max="7426" width="41" customWidth="1"/>
    <col min="7427" max="7428" width="32.85546875" customWidth="1"/>
    <col min="7429" max="7432" width="0" hidden="1" customWidth="1"/>
    <col min="7433" max="7433" width="32.85546875" customWidth="1"/>
    <col min="7681" max="7681" width="8.140625" customWidth="1"/>
    <col min="7682" max="7682" width="41" customWidth="1"/>
    <col min="7683" max="7684" width="32.85546875" customWidth="1"/>
    <col min="7685" max="7688" width="0" hidden="1" customWidth="1"/>
    <col min="7689" max="7689" width="32.85546875" customWidth="1"/>
    <col min="7937" max="7937" width="8.140625" customWidth="1"/>
    <col min="7938" max="7938" width="41" customWidth="1"/>
    <col min="7939" max="7940" width="32.85546875" customWidth="1"/>
    <col min="7941" max="7944" width="0" hidden="1" customWidth="1"/>
    <col min="7945" max="7945" width="32.85546875" customWidth="1"/>
    <col min="8193" max="8193" width="8.140625" customWidth="1"/>
    <col min="8194" max="8194" width="41" customWidth="1"/>
    <col min="8195" max="8196" width="32.85546875" customWidth="1"/>
    <col min="8197" max="8200" width="0" hidden="1" customWidth="1"/>
    <col min="8201" max="8201" width="32.85546875" customWidth="1"/>
    <col min="8449" max="8449" width="8.140625" customWidth="1"/>
    <col min="8450" max="8450" width="41" customWidth="1"/>
    <col min="8451" max="8452" width="32.85546875" customWidth="1"/>
    <col min="8453" max="8456" width="0" hidden="1" customWidth="1"/>
    <col min="8457" max="8457" width="32.85546875" customWidth="1"/>
    <col min="8705" max="8705" width="8.140625" customWidth="1"/>
    <col min="8706" max="8706" width="41" customWidth="1"/>
    <col min="8707" max="8708" width="32.85546875" customWidth="1"/>
    <col min="8709" max="8712" width="0" hidden="1" customWidth="1"/>
    <col min="8713" max="8713" width="32.85546875" customWidth="1"/>
    <col min="8961" max="8961" width="8.140625" customWidth="1"/>
    <col min="8962" max="8962" width="41" customWidth="1"/>
    <col min="8963" max="8964" width="32.85546875" customWidth="1"/>
    <col min="8965" max="8968" width="0" hidden="1" customWidth="1"/>
    <col min="8969" max="8969" width="32.85546875" customWidth="1"/>
    <col min="9217" max="9217" width="8.140625" customWidth="1"/>
    <col min="9218" max="9218" width="41" customWidth="1"/>
    <col min="9219" max="9220" width="32.85546875" customWidth="1"/>
    <col min="9221" max="9224" width="0" hidden="1" customWidth="1"/>
    <col min="9225" max="9225" width="32.85546875" customWidth="1"/>
    <col min="9473" max="9473" width="8.140625" customWidth="1"/>
    <col min="9474" max="9474" width="41" customWidth="1"/>
    <col min="9475" max="9476" width="32.85546875" customWidth="1"/>
    <col min="9477" max="9480" width="0" hidden="1" customWidth="1"/>
    <col min="9481" max="9481" width="32.85546875" customWidth="1"/>
    <col min="9729" max="9729" width="8.140625" customWidth="1"/>
    <col min="9730" max="9730" width="41" customWidth="1"/>
    <col min="9731" max="9732" width="32.85546875" customWidth="1"/>
    <col min="9733" max="9736" width="0" hidden="1" customWidth="1"/>
    <col min="9737" max="9737" width="32.85546875" customWidth="1"/>
    <col min="9985" max="9985" width="8.140625" customWidth="1"/>
    <col min="9986" max="9986" width="41" customWidth="1"/>
    <col min="9987" max="9988" width="32.85546875" customWidth="1"/>
    <col min="9989" max="9992" width="0" hidden="1" customWidth="1"/>
    <col min="9993" max="9993" width="32.85546875" customWidth="1"/>
    <col min="10241" max="10241" width="8.140625" customWidth="1"/>
    <col min="10242" max="10242" width="41" customWidth="1"/>
    <col min="10243" max="10244" width="32.85546875" customWidth="1"/>
    <col min="10245" max="10248" width="0" hidden="1" customWidth="1"/>
    <col min="10249" max="10249" width="32.85546875" customWidth="1"/>
    <col min="10497" max="10497" width="8.140625" customWidth="1"/>
    <col min="10498" max="10498" width="41" customWidth="1"/>
    <col min="10499" max="10500" width="32.85546875" customWidth="1"/>
    <col min="10501" max="10504" width="0" hidden="1" customWidth="1"/>
    <col min="10505" max="10505" width="32.85546875" customWidth="1"/>
    <col min="10753" max="10753" width="8.140625" customWidth="1"/>
    <col min="10754" max="10754" width="41" customWidth="1"/>
    <col min="10755" max="10756" width="32.85546875" customWidth="1"/>
    <col min="10757" max="10760" width="0" hidden="1" customWidth="1"/>
    <col min="10761" max="10761" width="32.85546875" customWidth="1"/>
    <col min="11009" max="11009" width="8.140625" customWidth="1"/>
    <col min="11010" max="11010" width="41" customWidth="1"/>
    <col min="11011" max="11012" width="32.85546875" customWidth="1"/>
    <col min="11013" max="11016" width="0" hidden="1" customWidth="1"/>
    <col min="11017" max="11017" width="32.85546875" customWidth="1"/>
    <col min="11265" max="11265" width="8.140625" customWidth="1"/>
    <col min="11266" max="11266" width="41" customWidth="1"/>
    <col min="11267" max="11268" width="32.85546875" customWidth="1"/>
    <col min="11269" max="11272" width="0" hidden="1" customWidth="1"/>
    <col min="11273" max="11273" width="32.85546875" customWidth="1"/>
    <col min="11521" max="11521" width="8.140625" customWidth="1"/>
    <col min="11522" max="11522" width="41" customWidth="1"/>
    <col min="11523" max="11524" width="32.85546875" customWidth="1"/>
    <col min="11525" max="11528" width="0" hidden="1" customWidth="1"/>
    <col min="11529" max="11529" width="32.85546875" customWidth="1"/>
    <col min="11777" max="11777" width="8.140625" customWidth="1"/>
    <col min="11778" max="11778" width="41" customWidth="1"/>
    <col min="11779" max="11780" width="32.85546875" customWidth="1"/>
    <col min="11781" max="11784" width="0" hidden="1" customWidth="1"/>
    <col min="11785" max="11785" width="32.85546875" customWidth="1"/>
    <col min="12033" max="12033" width="8.140625" customWidth="1"/>
    <col min="12034" max="12034" width="41" customWidth="1"/>
    <col min="12035" max="12036" width="32.85546875" customWidth="1"/>
    <col min="12037" max="12040" width="0" hidden="1" customWidth="1"/>
    <col min="12041" max="12041" width="32.85546875" customWidth="1"/>
    <col min="12289" max="12289" width="8.140625" customWidth="1"/>
    <col min="12290" max="12290" width="41" customWidth="1"/>
    <col min="12291" max="12292" width="32.85546875" customWidth="1"/>
    <col min="12293" max="12296" width="0" hidden="1" customWidth="1"/>
    <col min="12297" max="12297" width="32.85546875" customWidth="1"/>
    <col min="12545" max="12545" width="8.140625" customWidth="1"/>
    <col min="12546" max="12546" width="41" customWidth="1"/>
    <col min="12547" max="12548" width="32.85546875" customWidth="1"/>
    <col min="12549" max="12552" width="0" hidden="1" customWidth="1"/>
    <col min="12553" max="12553" width="32.85546875" customWidth="1"/>
    <col min="12801" max="12801" width="8.140625" customWidth="1"/>
    <col min="12802" max="12802" width="41" customWidth="1"/>
    <col min="12803" max="12804" width="32.85546875" customWidth="1"/>
    <col min="12805" max="12808" width="0" hidden="1" customWidth="1"/>
    <col min="12809" max="12809" width="32.85546875" customWidth="1"/>
    <col min="13057" max="13057" width="8.140625" customWidth="1"/>
    <col min="13058" max="13058" width="41" customWidth="1"/>
    <col min="13059" max="13060" width="32.85546875" customWidth="1"/>
    <col min="13061" max="13064" width="0" hidden="1" customWidth="1"/>
    <col min="13065" max="13065" width="32.85546875" customWidth="1"/>
    <col min="13313" max="13313" width="8.140625" customWidth="1"/>
    <col min="13314" max="13314" width="41" customWidth="1"/>
    <col min="13315" max="13316" width="32.85546875" customWidth="1"/>
    <col min="13317" max="13320" width="0" hidden="1" customWidth="1"/>
    <col min="13321" max="13321" width="32.85546875" customWidth="1"/>
    <col min="13569" max="13569" width="8.140625" customWidth="1"/>
    <col min="13570" max="13570" width="41" customWidth="1"/>
    <col min="13571" max="13572" width="32.85546875" customWidth="1"/>
    <col min="13573" max="13576" width="0" hidden="1" customWidth="1"/>
    <col min="13577" max="13577" width="32.85546875" customWidth="1"/>
    <col min="13825" max="13825" width="8.140625" customWidth="1"/>
    <col min="13826" max="13826" width="41" customWidth="1"/>
    <col min="13827" max="13828" width="32.85546875" customWidth="1"/>
    <col min="13829" max="13832" width="0" hidden="1" customWidth="1"/>
    <col min="13833" max="13833" width="32.85546875" customWidth="1"/>
    <col min="14081" max="14081" width="8.140625" customWidth="1"/>
    <col min="14082" max="14082" width="41" customWidth="1"/>
    <col min="14083" max="14084" width="32.85546875" customWidth="1"/>
    <col min="14085" max="14088" width="0" hidden="1" customWidth="1"/>
    <col min="14089" max="14089" width="32.85546875" customWidth="1"/>
    <col min="14337" max="14337" width="8.140625" customWidth="1"/>
    <col min="14338" max="14338" width="41" customWidth="1"/>
    <col min="14339" max="14340" width="32.85546875" customWidth="1"/>
    <col min="14341" max="14344" width="0" hidden="1" customWidth="1"/>
    <col min="14345" max="14345" width="32.85546875" customWidth="1"/>
    <col min="14593" max="14593" width="8.140625" customWidth="1"/>
    <col min="14594" max="14594" width="41" customWidth="1"/>
    <col min="14595" max="14596" width="32.85546875" customWidth="1"/>
    <col min="14597" max="14600" width="0" hidden="1" customWidth="1"/>
    <col min="14601" max="14601" width="32.85546875" customWidth="1"/>
    <col min="14849" max="14849" width="8.140625" customWidth="1"/>
    <col min="14850" max="14850" width="41" customWidth="1"/>
    <col min="14851" max="14852" width="32.85546875" customWidth="1"/>
    <col min="14853" max="14856" width="0" hidden="1" customWidth="1"/>
    <col min="14857" max="14857" width="32.85546875" customWidth="1"/>
    <col min="15105" max="15105" width="8.140625" customWidth="1"/>
    <col min="15106" max="15106" width="41" customWidth="1"/>
    <col min="15107" max="15108" width="32.85546875" customWidth="1"/>
    <col min="15109" max="15112" width="0" hidden="1" customWidth="1"/>
    <col min="15113" max="15113" width="32.85546875" customWidth="1"/>
    <col min="15361" max="15361" width="8.140625" customWidth="1"/>
    <col min="15362" max="15362" width="41" customWidth="1"/>
    <col min="15363" max="15364" width="32.85546875" customWidth="1"/>
    <col min="15365" max="15368" width="0" hidden="1" customWidth="1"/>
    <col min="15369" max="15369" width="32.85546875" customWidth="1"/>
    <col min="15617" max="15617" width="8.140625" customWidth="1"/>
    <col min="15618" max="15618" width="41" customWidth="1"/>
    <col min="15619" max="15620" width="32.85546875" customWidth="1"/>
    <col min="15621" max="15624" width="0" hidden="1" customWidth="1"/>
    <col min="15625" max="15625" width="32.85546875" customWidth="1"/>
    <col min="15873" max="15873" width="8.140625" customWidth="1"/>
    <col min="15874" max="15874" width="41" customWidth="1"/>
    <col min="15875" max="15876" width="32.85546875" customWidth="1"/>
    <col min="15877" max="15880" width="0" hidden="1" customWidth="1"/>
    <col min="15881" max="15881" width="32.85546875" customWidth="1"/>
    <col min="16129" max="16129" width="8.140625" customWidth="1"/>
    <col min="16130" max="16130" width="41" customWidth="1"/>
    <col min="16131" max="16132" width="32.85546875" customWidth="1"/>
    <col min="16133" max="16136" width="0" hidden="1" customWidth="1"/>
    <col min="16137" max="16137" width="32.85546875" customWidth="1"/>
  </cols>
  <sheetData>
    <row r="1" spans="1:10" x14ac:dyDescent="0.2">
      <c r="B1" t="s">
        <v>481</v>
      </c>
    </row>
    <row r="3" spans="1:10" ht="25.5" customHeight="1" x14ac:dyDescent="0.2">
      <c r="A3" s="196" t="s">
        <v>242</v>
      </c>
      <c r="B3" s="183"/>
      <c r="C3" s="183"/>
      <c r="D3" s="183"/>
      <c r="E3" s="183"/>
      <c r="F3" s="183"/>
      <c r="G3" s="183"/>
      <c r="H3" s="183"/>
      <c r="I3" s="183"/>
    </row>
    <row r="4" spans="1:10" ht="32.25" customHeight="1" x14ac:dyDescent="0.2">
      <c r="A4" s="19"/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21" t="s">
        <v>7</v>
      </c>
    </row>
    <row r="5" spans="1:10" ht="15" x14ac:dyDescent="0.2">
      <c r="A5" s="19">
        <v>1</v>
      </c>
      <c r="B5" s="19">
        <v>2</v>
      </c>
      <c r="C5" s="19">
        <v>3</v>
      </c>
      <c r="D5" s="19">
        <v>4</v>
      </c>
      <c r="E5" s="19">
        <v>6</v>
      </c>
      <c r="F5" s="19">
        <v>7</v>
      </c>
      <c r="G5" s="19">
        <v>8</v>
      </c>
      <c r="H5" s="19">
        <v>9</v>
      </c>
      <c r="I5" s="19">
        <v>5</v>
      </c>
      <c r="J5" s="135">
        <v>6</v>
      </c>
    </row>
    <row r="6" spans="1:10" ht="25.5" x14ac:dyDescent="0.2">
      <c r="A6" s="2" t="s">
        <v>8</v>
      </c>
      <c r="B6" s="3" t="s">
        <v>9</v>
      </c>
      <c r="C6" s="4">
        <v>3877000</v>
      </c>
      <c r="D6" s="4">
        <v>3969174</v>
      </c>
      <c r="E6" s="4">
        <v>0</v>
      </c>
      <c r="F6" s="4">
        <v>3957600</v>
      </c>
      <c r="G6" s="4">
        <v>11252000</v>
      </c>
      <c r="H6" s="4">
        <v>0</v>
      </c>
      <c r="I6" s="4">
        <v>3957600</v>
      </c>
      <c r="J6" s="126">
        <f>I6/D6</f>
        <v>0.99708402806226182</v>
      </c>
    </row>
    <row r="7" spans="1:10" x14ac:dyDescent="0.2">
      <c r="A7" s="2" t="s">
        <v>10</v>
      </c>
      <c r="B7" s="3" t="s">
        <v>11</v>
      </c>
      <c r="C7" s="4">
        <v>0</v>
      </c>
      <c r="D7" s="4">
        <v>111570</v>
      </c>
      <c r="E7" s="4">
        <v>0</v>
      </c>
      <c r="F7" s="4">
        <v>111570</v>
      </c>
      <c r="G7" s="4">
        <v>0</v>
      </c>
      <c r="H7" s="4">
        <v>0</v>
      </c>
      <c r="I7" s="4">
        <v>111570</v>
      </c>
      <c r="J7" s="126">
        <f t="shared" ref="J7:J39" si="0">I7/D7</f>
        <v>1</v>
      </c>
    </row>
    <row r="8" spans="1:10" x14ac:dyDescent="0.2">
      <c r="A8" s="2" t="s">
        <v>12</v>
      </c>
      <c r="B8" s="3" t="s">
        <v>13</v>
      </c>
      <c r="C8" s="4">
        <v>120000</v>
      </c>
      <c r="D8" s="4">
        <v>125700</v>
      </c>
      <c r="E8" s="4">
        <v>0</v>
      </c>
      <c r="F8" s="4">
        <v>125700</v>
      </c>
      <c r="G8" s="4">
        <v>0</v>
      </c>
      <c r="H8" s="4">
        <v>0</v>
      </c>
      <c r="I8" s="4">
        <v>125700</v>
      </c>
      <c r="J8" s="126">
        <f t="shared" si="0"/>
        <v>1</v>
      </c>
    </row>
    <row r="9" spans="1:10" x14ac:dyDescent="0.2">
      <c r="A9" s="2" t="s">
        <v>14</v>
      </c>
      <c r="B9" s="3" t="s">
        <v>15</v>
      </c>
      <c r="C9" s="4">
        <v>30000</v>
      </c>
      <c r="D9" s="4">
        <v>36000</v>
      </c>
      <c r="E9" s="4">
        <v>0</v>
      </c>
      <c r="F9" s="4">
        <v>35938</v>
      </c>
      <c r="G9" s="4">
        <v>0</v>
      </c>
      <c r="H9" s="4">
        <v>0</v>
      </c>
      <c r="I9" s="4">
        <v>35938</v>
      </c>
      <c r="J9" s="126">
        <f t="shared" si="0"/>
        <v>0.99827777777777782</v>
      </c>
    </row>
    <row r="10" spans="1:10" x14ac:dyDescent="0.2">
      <c r="A10" s="2" t="s">
        <v>16</v>
      </c>
      <c r="B10" s="3" t="s">
        <v>17</v>
      </c>
      <c r="C10" s="4">
        <v>24000</v>
      </c>
      <c r="D10" s="4">
        <v>24000</v>
      </c>
      <c r="E10" s="4">
        <v>0</v>
      </c>
      <c r="F10" s="4">
        <v>24000</v>
      </c>
      <c r="G10" s="4">
        <v>0</v>
      </c>
      <c r="H10" s="4">
        <v>0</v>
      </c>
      <c r="I10" s="4">
        <v>24000</v>
      </c>
      <c r="J10" s="126">
        <f t="shared" si="0"/>
        <v>1</v>
      </c>
    </row>
    <row r="11" spans="1:10" ht="25.5" x14ac:dyDescent="0.2">
      <c r="A11" s="2" t="s">
        <v>20</v>
      </c>
      <c r="B11" s="3" t="s">
        <v>21</v>
      </c>
      <c r="C11" s="4">
        <v>4051000</v>
      </c>
      <c r="D11" s="4">
        <v>4266444</v>
      </c>
      <c r="E11" s="4">
        <v>0</v>
      </c>
      <c r="F11" s="4">
        <v>4254808</v>
      </c>
      <c r="G11" s="4">
        <v>11252000</v>
      </c>
      <c r="H11" s="4">
        <v>0</v>
      </c>
      <c r="I11" s="4">
        <v>4254808</v>
      </c>
      <c r="J11" s="126">
        <f t="shared" si="0"/>
        <v>0.99727267016747434</v>
      </c>
    </row>
    <row r="12" spans="1:10" ht="51" x14ac:dyDescent="0.2">
      <c r="A12" s="2" t="s">
        <v>24</v>
      </c>
      <c r="B12" s="3" t="s">
        <v>25</v>
      </c>
      <c r="C12" s="4">
        <v>0</v>
      </c>
      <c r="D12" s="4">
        <v>20000</v>
      </c>
      <c r="E12" s="4">
        <v>0</v>
      </c>
      <c r="F12" s="4">
        <v>19580</v>
      </c>
      <c r="G12" s="4">
        <v>0</v>
      </c>
      <c r="H12" s="4">
        <v>0</v>
      </c>
      <c r="I12" s="4">
        <v>19580</v>
      </c>
      <c r="J12" s="126">
        <f t="shared" si="0"/>
        <v>0.97899999999999998</v>
      </c>
    </row>
    <row r="13" spans="1:10" ht="25.5" x14ac:dyDescent="0.2">
      <c r="A13" s="2" t="s">
        <v>28</v>
      </c>
      <c r="B13" s="3" t="s">
        <v>29</v>
      </c>
      <c r="C13" s="4">
        <v>0</v>
      </c>
      <c r="D13" s="4">
        <v>20000</v>
      </c>
      <c r="E13" s="4">
        <v>0</v>
      </c>
      <c r="F13" s="4">
        <v>19580</v>
      </c>
      <c r="G13" s="4">
        <v>0</v>
      </c>
      <c r="H13" s="4">
        <v>0</v>
      </c>
      <c r="I13" s="4">
        <v>19580</v>
      </c>
      <c r="J13" s="126">
        <f t="shared" si="0"/>
        <v>0.97899999999999998</v>
      </c>
    </row>
    <row r="14" spans="1:10" x14ac:dyDescent="0.2">
      <c r="A14" s="5" t="s">
        <v>30</v>
      </c>
      <c r="B14" s="6" t="s">
        <v>31</v>
      </c>
      <c r="C14" s="7">
        <v>4051000</v>
      </c>
      <c r="D14" s="7">
        <v>4286444</v>
      </c>
      <c r="E14" s="7">
        <v>0</v>
      </c>
      <c r="F14" s="7">
        <v>4274388</v>
      </c>
      <c r="G14" s="7">
        <v>11252000</v>
      </c>
      <c r="H14" s="7">
        <v>0</v>
      </c>
      <c r="I14" s="7">
        <v>4274388</v>
      </c>
      <c r="J14" s="126">
        <f t="shared" si="0"/>
        <v>0.99718741222327878</v>
      </c>
    </row>
    <row r="15" spans="1:10" ht="38.25" x14ac:dyDescent="0.2">
      <c r="A15" s="5" t="s">
        <v>32</v>
      </c>
      <c r="B15" s="6" t="s">
        <v>33</v>
      </c>
      <c r="C15" s="7">
        <v>1094000</v>
      </c>
      <c r="D15" s="7">
        <v>1173930</v>
      </c>
      <c r="E15" s="7">
        <v>0</v>
      </c>
      <c r="F15" s="7">
        <v>1157661</v>
      </c>
      <c r="G15" s="7">
        <v>2608000</v>
      </c>
      <c r="H15" s="7">
        <v>0</v>
      </c>
      <c r="I15" s="7">
        <v>1157661</v>
      </c>
      <c r="J15" s="126">
        <f t="shared" si="0"/>
        <v>0.98614142240167646</v>
      </c>
    </row>
    <row r="16" spans="1:10" x14ac:dyDescent="0.2">
      <c r="A16" s="2" t="s">
        <v>34</v>
      </c>
      <c r="B16" s="3" t="s">
        <v>35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1110865</v>
      </c>
      <c r="J16" s="126"/>
    </row>
    <row r="17" spans="1:10" x14ac:dyDescent="0.2">
      <c r="A17" s="2" t="s">
        <v>36</v>
      </c>
      <c r="B17" s="3" t="s">
        <v>37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23130</v>
      </c>
      <c r="J17" s="126"/>
    </row>
    <row r="18" spans="1:10" ht="25.5" x14ac:dyDescent="0.2">
      <c r="A18" s="2" t="s">
        <v>40</v>
      </c>
      <c r="B18" s="3" t="s">
        <v>41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23666</v>
      </c>
      <c r="J18" s="126"/>
    </row>
    <row r="19" spans="1:10" x14ac:dyDescent="0.2">
      <c r="A19" s="2" t="s">
        <v>42</v>
      </c>
      <c r="B19" s="3" t="s">
        <v>43</v>
      </c>
      <c r="C19" s="4">
        <v>0</v>
      </c>
      <c r="D19" s="4">
        <v>12400</v>
      </c>
      <c r="E19" s="4">
        <v>0</v>
      </c>
      <c r="F19" s="4">
        <v>12400</v>
      </c>
      <c r="G19" s="4">
        <v>0</v>
      </c>
      <c r="H19" s="4">
        <v>0</v>
      </c>
      <c r="I19" s="4">
        <v>12400</v>
      </c>
      <c r="J19" s="126">
        <f t="shared" si="0"/>
        <v>1</v>
      </c>
    </row>
    <row r="20" spans="1:10" x14ac:dyDescent="0.2">
      <c r="A20" s="2" t="s">
        <v>44</v>
      </c>
      <c r="B20" s="3" t="s">
        <v>45</v>
      </c>
      <c r="C20" s="4">
        <v>530000</v>
      </c>
      <c r="D20" s="4">
        <v>504572</v>
      </c>
      <c r="E20" s="4">
        <v>0</v>
      </c>
      <c r="F20" s="4">
        <v>504132</v>
      </c>
      <c r="G20" s="4">
        <v>0</v>
      </c>
      <c r="H20" s="4">
        <v>0</v>
      </c>
      <c r="I20" s="4">
        <v>504132</v>
      </c>
      <c r="J20" s="126">
        <f t="shared" si="0"/>
        <v>0.99912797380750418</v>
      </c>
    </row>
    <row r="21" spans="1:10" x14ac:dyDescent="0.2">
      <c r="A21" s="2" t="s">
        <v>46</v>
      </c>
      <c r="B21" s="3" t="s">
        <v>47</v>
      </c>
      <c r="C21" s="4">
        <v>530000</v>
      </c>
      <c r="D21" s="4">
        <v>516972</v>
      </c>
      <c r="E21" s="4">
        <v>0</v>
      </c>
      <c r="F21" s="4">
        <v>516532</v>
      </c>
      <c r="G21" s="4">
        <v>0</v>
      </c>
      <c r="H21" s="4">
        <v>0</v>
      </c>
      <c r="I21" s="4">
        <v>516532</v>
      </c>
      <c r="J21" s="126">
        <f t="shared" si="0"/>
        <v>0.99914889007528451</v>
      </c>
    </row>
    <row r="22" spans="1:10" ht="25.5" x14ac:dyDescent="0.2">
      <c r="A22" s="2" t="s">
        <v>50</v>
      </c>
      <c r="B22" s="3" t="s">
        <v>51</v>
      </c>
      <c r="C22" s="4">
        <v>40000</v>
      </c>
      <c r="D22" s="4">
        <v>30000</v>
      </c>
      <c r="E22" s="4">
        <v>0</v>
      </c>
      <c r="F22" s="4">
        <v>29074</v>
      </c>
      <c r="G22" s="4">
        <v>0</v>
      </c>
      <c r="H22" s="4">
        <v>0</v>
      </c>
      <c r="I22" s="4">
        <v>29074</v>
      </c>
      <c r="J22" s="126">
        <f t="shared" si="0"/>
        <v>0.96913333333333329</v>
      </c>
    </row>
    <row r="23" spans="1:10" ht="25.5" x14ac:dyDescent="0.2">
      <c r="A23" s="2" t="s">
        <v>52</v>
      </c>
      <c r="B23" s="3" t="s">
        <v>53</v>
      </c>
      <c r="C23" s="4">
        <v>40000</v>
      </c>
      <c r="D23" s="4">
        <v>30000</v>
      </c>
      <c r="E23" s="4">
        <v>0</v>
      </c>
      <c r="F23" s="4">
        <v>29074</v>
      </c>
      <c r="G23" s="4">
        <v>0</v>
      </c>
      <c r="H23" s="4">
        <v>0</v>
      </c>
      <c r="I23" s="4">
        <v>29074</v>
      </c>
      <c r="J23" s="126">
        <f t="shared" si="0"/>
        <v>0.96913333333333329</v>
      </c>
    </row>
    <row r="24" spans="1:10" x14ac:dyDescent="0.2">
      <c r="A24" s="2" t="s">
        <v>54</v>
      </c>
      <c r="B24" s="3" t="s">
        <v>55</v>
      </c>
      <c r="C24" s="4">
        <v>70000</v>
      </c>
      <c r="D24" s="4">
        <v>65000</v>
      </c>
      <c r="E24" s="4">
        <v>0</v>
      </c>
      <c r="F24" s="4">
        <v>64941</v>
      </c>
      <c r="G24" s="4">
        <v>204000</v>
      </c>
      <c r="H24" s="4">
        <v>0</v>
      </c>
      <c r="I24" s="4">
        <v>64941</v>
      </c>
      <c r="J24" s="126">
        <f t="shared" si="0"/>
        <v>0.99909230769230772</v>
      </c>
    </row>
    <row r="25" spans="1:10" x14ac:dyDescent="0.2">
      <c r="A25" s="2" t="s">
        <v>58</v>
      </c>
      <c r="B25" s="3" t="s">
        <v>59</v>
      </c>
      <c r="C25" s="4">
        <v>80000</v>
      </c>
      <c r="D25" s="4">
        <v>450000</v>
      </c>
      <c r="E25" s="4">
        <v>0</v>
      </c>
      <c r="F25" s="4">
        <v>450000</v>
      </c>
      <c r="G25" s="4">
        <v>0</v>
      </c>
      <c r="H25" s="4">
        <v>0</v>
      </c>
      <c r="I25" s="4">
        <v>450000</v>
      </c>
      <c r="J25" s="126">
        <f t="shared" si="0"/>
        <v>1</v>
      </c>
    </row>
    <row r="26" spans="1:10" ht="25.5" x14ac:dyDescent="0.2">
      <c r="A26" s="2" t="s">
        <v>60</v>
      </c>
      <c r="B26" s="3" t="s">
        <v>61</v>
      </c>
      <c r="C26" s="4">
        <v>80000</v>
      </c>
      <c r="D26" s="4">
        <v>57630</v>
      </c>
      <c r="E26" s="4">
        <v>0</v>
      </c>
      <c r="F26" s="4">
        <v>57600</v>
      </c>
      <c r="G26" s="4">
        <v>0</v>
      </c>
      <c r="H26" s="4">
        <v>0</v>
      </c>
      <c r="I26" s="4">
        <v>57600</v>
      </c>
      <c r="J26" s="126">
        <f t="shared" si="0"/>
        <v>0.99947943779281623</v>
      </c>
    </row>
    <row r="27" spans="1:10" x14ac:dyDescent="0.2">
      <c r="A27" s="2" t="s">
        <v>66</v>
      </c>
      <c r="B27" s="3" t="s">
        <v>67</v>
      </c>
      <c r="C27" s="4">
        <v>3250000</v>
      </c>
      <c r="D27" s="4">
        <v>3312147</v>
      </c>
      <c r="E27" s="4">
        <v>0</v>
      </c>
      <c r="F27" s="4">
        <v>3310566</v>
      </c>
      <c r="G27" s="4">
        <v>0</v>
      </c>
      <c r="H27" s="4">
        <v>0</v>
      </c>
      <c r="I27" s="4">
        <v>3310566</v>
      </c>
      <c r="J27" s="126">
        <f t="shared" si="0"/>
        <v>0.99952266611355112</v>
      </c>
    </row>
    <row r="28" spans="1:10" ht="25.5" x14ac:dyDescent="0.2">
      <c r="A28" s="2" t="s">
        <v>70</v>
      </c>
      <c r="B28" s="3" t="s">
        <v>71</v>
      </c>
      <c r="C28" s="4">
        <v>3480000</v>
      </c>
      <c r="D28" s="4">
        <v>3884777</v>
      </c>
      <c r="E28" s="4">
        <v>0</v>
      </c>
      <c r="F28" s="4">
        <v>3883107</v>
      </c>
      <c r="G28" s="4">
        <v>204000</v>
      </c>
      <c r="H28" s="4">
        <v>0</v>
      </c>
      <c r="I28" s="4">
        <v>3883107</v>
      </c>
      <c r="J28" s="126">
        <f t="shared" si="0"/>
        <v>0.99957011689474062</v>
      </c>
    </row>
    <row r="29" spans="1:10" ht="25.5" x14ac:dyDescent="0.2">
      <c r="A29" s="2" t="s">
        <v>72</v>
      </c>
      <c r="B29" s="3" t="s">
        <v>73</v>
      </c>
      <c r="C29" s="4">
        <v>1094000</v>
      </c>
      <c r="D29" s="4">
        <v>921926</v>
      </c>
      <c r="E29" s="4">
        <v>0</v>
      </c>
      <c r="F29" s="4">
        <v>921132</v>
      </c>
      <c r="G29" s="4">
        <v>55080</v>
      </c>
      <c r="H29" s="4">
        <v>0</v>
      </c>
      <c r="I29" s="4">
        <v>921132</v>
      </c>
      <c r="J29" s="126">
        <f t="shared" si="0"/>
        <v>0.99913875950998232</v>
      </c>
    </row>
    <row r="30" spans="1:10" x14ac:dyDescent="0.2">
      <c r="A30" s="2" t="s">
        <v>78</v>
      </c>
      <c r="B30" s="3" t="s">
        <v>79</v>
      </c>
      <c r="C30" s="4">
        <v>0</v>
      </c>
      <c r="D30" s="4">
        <v>13009</v>
      </c>
      <c r="E30" s="4">
        <v>0</v>
      </c>
      <c r="F30" s="4">
        <v>13009</v>
      </c>
      <c r="G30" s="4">
        <v>0</v>
      </c>
      <c r="H30" s="4">
        <v>0</v>
      </c>
      <c r="I30" s="4">
        <v>13009</v>
      </c>
      <c r="J30" s="126">
        <f t="shared" si="0"/>
        <v>1</v>
      </c>
    </row>
    <row r="31" spans="1:10" ht="25.5" x14ac:dyDescent="0.2">
      <c r="A31" s="2" t="s">
        <v>80</v>
      </c>
      <c r="B31" s="3" t="s">
        <v>81</v>
      </c>
      <c r="C31" s="4">
        <v>1094000</v>
      </c>
      <c r="D31" s="4">
        <v>934935</v>
      </c>
      <c r="E31" s="4">
        <v>0</v>
      </c>
      <c r="F31" s="4">
        <v>934141</v>
      </c>
      <c r="G31" s="4">
        <v>55080</v>
      </c>
      <c r="H31" s="4">
        <v>0</v>
      </c>
      <c r="I31" s="4">
        <v>934141</v>
      </c>
      <c r="J31" s="126">
        <f t="shared" si="0"/>
        <v>0.99915074309978769</v>
      </c>
    </row>
    <row r="32" spans="1:10" ht="25.5" x14ac:dyDescent="0.2">
      <c r="A32" s="5" t="s">
        <v>82</v>
      </c>
      <c r="B32" s="6" t="s">
        <v>83</v>
      </c>
      <c r="C32" s="7">
        <v>5144000</v>
      </c>
      <c r="D32" s="7">
        <v>5366684</v>
      </c>
      <c r="E32" s="7">
        <v>0</v>
      </c>
      <c r="F32" s="7">
        <v>5362854</v>
      </c>
      <c r="G32" s="7">
        <v>259080</v>
      </c>
      <c r="H32" s="7">
        <v>0</v>
      </c>
      <c r="I32" s="7">
        <v>5362854</v>
      </c>
      <c r="J32" s="126">
        <f t="shared" si="0"/>
        <v>0.99928633770872288</v>
      </c>
    </row>
    <row r="33" spans="1:10" ht="25.5" x14ac:dyDescent="0.2">
      <c r="A33" s="2" t="s">
        <v>122</v>
      </c>
      <c r="B33" s="3" t="s">
        <v>123</v>
      </c>
      <c r="C33" s="4">
        <v>119000</v>
      </c>
      <c r="D33" s="4">
        <v>98660</v>
      </c>
      <c r="E33" s="4">
        <v>0</v>
      </c>
      <c r="F33" s="4">
        <v>84760</v>
      </c>
      <c r="G33" s="4">
        <v>0</v>
      </c>
      <c r="H33" s="4">
        <v>0</v>
      </c>
      <c r="I33" s="4">
        <v>84760</v>
      </c>
      <c r="J33" s="126">
        <f t="shared" si="0"/>
        <v>0.85911210216906553</v>
      </c>
    </row>
    <row r="34" spans="1:10" ht="25.5" x14ac:dyDescent="0.2">
      <c r="A34" s="2" t="s">
        <v>124</v>
      </c>
      <c r="B34" s="3" t="s">
        <v>125</v>
      </c>
      <c r="C34" s="4">
        <v>32000</v>
      </c>
      <c r="D34" s="4">
        <v>19132</v>
      </c>
      <c r="E34" s="4">
        <v>0</v>
      </c>
      <c r="F34" s="4">
        <v>19132</v>
      </c>
      <c r="G34" s="4">
        <v>0</v>
      </c>
      <c r="H34" s="4">
        <v>0</v>
      </c>
      <c r="I34" s="4">
        <v>19132</v>
      </c>
      <c r="J34" s="126">
        <f t="shared" si="0"/>
        <v>1</v>
      </c>
    </row>
    <row r="35" spans="1:10" ht="25.5" x14ac:dyDescent="0.2">
      <c r="A35" s="5" t="s">
        <v>126</v>
      </c>
      <c r="B35" s="6" t="s">
        <v>127</v>
      </c>
      <c r="C35" s="7">
        <v>151000</v>
      </c>
      <c r="D35" s="7">
        <v>117792</v>
      </c>
      <c r="E35" s="7">
        <v>0</v>
      </c>
      <c r="F35" s="7">
        <v>103892</v>
      </c>
      <c r="G35" s="7">
        <v>0</v>
      </c>
      <c r="H35" s="7">
        <v>0</v>
      </c>
      <c r="I35" s="7">
        <v>103892</v>
      </c>
      <c r="J35" s="126">
        <f t="shared" si="0"/>
        <v>0.88199538168975822</v>
      </c>
    </row>
    <row r="36" spans="1:10" x14ac:dyDescent="0.2">
      <c r="A36" s="2" t="s">
        <v>254</v>
      </c>
      <c r="B36" s="3" t="s">
        <v>255</v>
      </c>
      <c r="C36" s="4">
        <v>0</v>
      </c>
      <c r="D36" s="4">
        <v>65000</v>
      </c>
      <c r="E36" s="4">
        <v>0</v>
      </c>
      <c r="F36" s="4">
        <v>64031</v>
      </c>
      <c r="G36" s="4">
        <v>0</v>
      </c>
      <c r="H36" s="4">
        <v>0</v>
      </c>
      <c r="I36" s="4">
        <v>64031</v>
      </c>
      <c r="J36" s="126">
        <f t="shared" si="0"/>
        <v>0.98509230769230771</v>
      </c>
    </row>
    <row r="37" spans="1:10" ht="25.5" x14ac:dyDescent="0.2">
      <c r="A37" s="2" t="s">
        <v>132</v>
      </c>
      <c r="B37" s="3" t="s">
        <v>133</v>
      </c>
      <c r="C37" s="4">
        <v>0</v>
      </c>
      <c r="D37" s="4">
        <v>18000</v>
      </c>
      <c r="E37" s="4">
        <v>0</v>
      </c>
      <c r="F37" s="4">
        <v>17289</v>
      </c>
      <c r="G37" s="4">
        <v>0</v>
      </c>
      <c r="H37" s="4">
        <v>0</v>
      </c>
      <c r="I37" s="4">
        <v>17289</v>
      </c>
      <c r="J37" s="126">
        <f t="shared" si="0"/>
        <v>0.96050000000000002</v>
      </c>
    </row>
    <row r="38" spans="1:10" x14ac:dyDescent="0.2">
      <c r="A38" s="5" t="s">
        <v>134</v>
      </c>
      <c r="B38" s="6" t="s">
        <v>135</v>
      </c>
      <c r="C38" s="7">
        <v>0</v>
      </c>
      <c r="D38" s="7">
        <v>83000</v>
      </c>
      <c r="E38" s="7">
        <v>0</v>
      </c>
      <c r="F38" s="7">
        <v>81320</v>
      </c>
      <c r="G38" s="7">
        <v>0</v>
      </c>
      <c r="H38" s="7">
        <v>0</v>
      </c>
      <c r="I38" s="7">
        <v>81320</v>
      </c>
      <c r="J38" s="126">
        <f t="shared" si="0"/>
        <v>0.97975903614457827</v>
      </c>
    </row>
    <row r="39" spans="1:10" ht="38.25" x14ac:dyDescent="0.2">
      <c r="A39" s="5" t="s">
        <v>142</v>
      </c>
      <c r="B39" s="6" t="s">
        <v>143</v>
      </c>
      <c r="C39" s="7">
        <v>10440000</v>
      </c>
      <c r="D39" s="7">
        <v>11027850</v>
      </c>
      <c r="E39" s="7">
        <v>0</v>
      </c>
      <c r="F39" s="7">
        <v>10980115</v>
      </c>
      <c r="G39" s="7">
        <v>14119080</v>
      </c>
      <c r="H39" s="7">
        <v>0</v>
      </c>
      <c r="I39" s="7">
        <v>10980115</v>
      </c>
      <c r="J39" s="126">
        <f t="shared" si="0"/>
        <v>0.99567141373885204</v>
      </c>
    </row>
    <row r="40" spans="1:10" ht="23.25" customHeight="1" x14ac:dyDescent="0.2">
      <c r="A40" s="189" t="s">
        <v>253</v>
      </c>
      <c r="B40" s="190"/>
      <c r="C40" s="190"/>
      <c r="D40" s="190"/>
      <c r="E40" s="190"/>
      <c r="F40" s="190"/>
      <c r="G40" s="190"/>
      <c r="H40" s="190"/>
      <c r="I40" s="190"/>
      <c r="J40" s="192"/>
    </row>
    <row r="41" spans="1:10" ht="30" x14ac:dyDescent="0.2">
      <c r="A41" s="20"/>
      <c r="B41" s="20" t="s">
        <v>0</v>
      </c>
      <c r="C41" s="20" t="s">
        <v>1</v>
      </c>
      <c r="D41" s="20" t="s">
        <v>2</v>
      </c>
      <c r="E41" s="20" t="s">
        <v>148</v>
      </c>
      <c r="F41" s="20" t="s">
        <v>149</v>
      </c>
      <c r="G41" s="20" t="s">
        <v>7</v>
      </c>
      <c r="H41" s="18"/>
      <c r="I41" s="20" t="s">
        <v>7</v>
      </c>
      <c r="J41" s="122" t="s">
        <v>7</v>
      </c>
    </row>
    <row r="42" spans="1:10" ht="15" x14ac:dyDescent="0.2">
      <c r="A42" s="20">
        <v>1</v>
      </c>
      <c r="B42" s="20">
        <v>2</v>
      </c>
      <c r="C42" s="20">
        <v>3</v>
      </c>
      <c r="D42" s="20">
        <v>4</v>
      </c>
      <c r="E42" s="20">
        <v>6</v>
      </c>
      <c r="F42" s="20">
        <v>7</v>
      </c>
      <c r="G42" s="20">
        <v>8</v>
      </c>
      <c r="H42" s="18"/>
      <c r="I42" s="20">
        <v>5</v>
      </c>
      <c r="J42" s="121">
        <v>6</v>
      </c>
    </row>
    <row r="43" spans="1:10" ht="25.5" x14ac:dyDescent="0.2">
      <c r="A43" s="21" t="s">
        <v>194</v>
      </c>
      <c r="B43" s="22" t="s">
        <v>195</v>
      </c>
      <c r="C43" s="23">
        <v>0</v>
      </c>
      <c r="D43" s="23">
        <v>101000</v>
      </c>
      <c r="E43" s="23">
        <v>100820</v>
      </c>
      <c r="F43" s="23">
        <v>0</v>
      </c>
      <c r="G43" s="23">
        <v>100820</v>
      </c>
      <c r="H43" s="11"/>
      <c r="I43" s="23">
        <v>100820</v>
      </c>
      <c r="J43" s="126">
        <f>I43/D43</f>
        <v>0.99821782178217822</v>
      </c>
    </row>
    <row r="44" spans="1:10" ht="25.5" x14ac:dyDescent="0.2">
      <c r="A44" s="21" t="s">
        <v>196</v>
      </c>
      <c r="B44" s="22" t="s">
        <v>197</v>
      </c>
      <c r="C44" s="23">
        <v>0</v>
      </c>
      <c r="D44" s="23">
        <v>0</v>
      </c>
      <c r="E44" s="23">
        <v>0</v>
      </c>
      <c r="F44" s="23">
        <v>0</v>
      </c>
      <c r="G44" s="23">
        <v>48820</v>
      </c>
      <c r="H44" s="11"/>
      <c r="I44" s="23">
        <v>48820</v>
      </c>
      <c r="J44" s="126"/>
    </row>
    <row r="45" spans="1:10" ht="38.25" x14ac:dyDescent="0.2">
      <c r="A45" s="21" t="s">
        <v>134</v>
      </c>
      <c r="B45" s="22" t="s">
        <v>205</v>
      </c>
      <c r="C45" s="23">
        <v>0</v>
      </c>
      <c r="D45" s="23">
        <v>16</v>
      </c>
      <c r="E45" s="23">
        <v>16</v>
      </c>
      <c r="F45" s="23">
        <v>0</v>
      </c>
      <c r="G45" s="23">
        <v>16</v>
      </c>
      <c r="H45" s="11"/>
      <c r="I45" s="23">
        <v>16</v>
      </c>
      <c r="J45" s="126">
        <f t="shared" ref="J45:J49" si="1">I45/D45</f>
        <v>1</v>
      </c>
    </row>
    <row r="46" spans="1:10" ht="25.5" x14ac:dyDescent="0.2">
      <c r="A46" s="21" t="s">
        <v>206</v>
      </c>
      <c r="B46" s="22" t="s">
        <v>207</v>
      </c>
      <c r="C46" s="23">
        <v>0</v>
      </c>
      <c r="D46" s="23">
        <v>16</v>
      </c>
      <c r="E46" s="23">
        <v>16</v>
      </c>
      <c r="F46" s="23">
        <v>0</v>
      </c>
      <c r="G46" s="23">
        <v>16</v>
      </c>
      <c r="H46" s="11"/>
      <c r="I46" s="23">
        <v>16</v>
      </c>
      <c r="J46" s="126">
        <f t="shared" si="1"/>
        <v>1</v>
      </c>
    </row>
    <row r="47" spans="1:10" ht="25.5" x14ac:dyDescent="0.2">
      <c r="A47" s="21" t="s">
        <v>208</v>
      </c>
      <c r="B47" s="22" t="s">
        <v>209</v>
      </c>
      <c r="C47" s="23">
        <v>0</v>
      </c>
      <c r="D47" s="23">
        <v>10</v>
      </c>
      <c r="E47" s="23">
        <v>10</v>
      </c>
      <c r="F47" s="23">
        <v>0</v>
      </c>
      <c r="G47" s="23">
        <v>10</v>
      </c>
      <c r="H47" s="11"/>
      <c r="I47" s="23">
        <v>10</v>
      </c>
      <c r="J47" s="126">
        <f t="shared" si="1"/>
        <v>1</v>
      </c>
    </row>
    <row r="48" spans="1:10" ht="38.25" x14ac:dyDescent="0.2">
      <c r="A48" s="24" t="s">
        <v>210</v>
      </c>
      <c r="B48" s="25" t="s">
        <v>211</v>
      </c>
      <c r="C48" s="26">
        <v>0</v>
      </c>
      <c r="D48" s="26">
        <v>101026</v>
      </c>
      <c r="E48" s="26">
        <v>100846</v>
      </c>
      <c r="F48" s="26">
        <v>0</v>
      </c>
      <c r="G48" s="26">
        <v>100846</v>
      </c>
      <c r="H48" s="11"/>
      <c r="I48" s="26">
        <v>100846</v>
      </c>
      <c r="J48" s="126">
        <f t="shared" si="1"/>
        <v>0.99821828044265837</v>
      </c>
    </row>
    <row r="49" spans="1:10" ht="38.25" x14ac:dyDescent="0.2">
      <c r="A49" s="24" t="s">
        <v>230</v>
      </c>
      <c r="B49" s="25" t="s">
        <v>231</v>
      </c>
      <c r="C49" s="26">
        <v>0</v>
      </c>
      <c r="D49" s="26">
        <v>101026</v>
      </c>
      <c r="E49" s="26">
        <v>100846</v>
      </c>
      <c r="F49" s="26">
        <v>0</v>
      </c>
      <c r="G49" s="26">
        <v>100846</v>
      </c>
      <c r="H49" s="11"/>
      <c r="I49" s="26">
        <v>100846</v>
      </c>
      <c r="J49" s="126">
        <f t="shared" si="1"/>
        <v>0.99821828044265837</v>
      </c>
    </row>
    <row r="50" spans="1:10" ht="25.5" customHeight="1" x14ac:dyDescent="0.2">
      <c r="A50" s="197" t="s">
        <v>256</v>
      </c>
      <c r="B50" s="198"/>
      <c r="C50" s="198"/>
      <c r="D50" s="198"/>
      <c r="E50" s="198"/>
      <c r="F50" s="198"/>
      <c r="G50" s="198"/>
      <c r="H50" s="198"/>
      <c r="I50" s="198"/>
      <c r="J50" s="192"/>
    </row>
    <row r="51" spans="1:10" ht="30" x14ac:dyDescent="0.2">
      <c r="A51" s="27"/>
      <c r="B51" s="27" t="s">
        <v>0</v>
      </c>
      <c r="C51" s="27" t="s">
        <v>1</v>
      </c>
      <c r="D51" s="27" t="s">
        <v>2</v>
      </c>
      <c r="E51" s="27" t="s">
        <v>233</v>
      </c>
      <c r="F51" s="27" t="s">
        <v>149</v>
      </c>
      <c r="G51" s="27" t="s">
        <v>7</v>
      </c>
      <c r="H51" s="12"/>
      <c r="I51" s="27" t="s">
        <v>7</v>
      </c>
      <c r="J51" s="123" t="s">
        <v>7</v>
      </c>
    </row>
    <row r="52" spans="1:10" ht="15" x14ac:dyDescent="0.2">
      <c r="A52" s="27">
        <v>1</v>
      </c>
      <c r="B52" s="27">
        <v>2</v>
      </c>
      <c r="C52" s="27">
        <v>3</v>
      </c>
      <c r="D52" s="27">
        <v>4</v>
      </c>
      <c r="E52" s="27">
        <v>6</v>
      </c>
      <c r="F52" s="27">
        <v>7</v>
      </c>
      <c r="G52" s="27">
        <v>8</v>
      </c>
      <c r="H52" s="12"/>
      <c r="I52" s="27">
        <v>5</v>
      </c>
      <c r="J52" s="128">
        <v>6</v>
      </c>
    </row>
    <row r="53" spans="1:10" ht="25.5" x14ac:dyDescent="0.2">
      <c r="A53" s="21" t="s">
        <v>234</v>
      </c>
      <c r="B53" s="22" t="s">
        <v>235</v>
      </c>
      <c r="C53" s="23">
        <v>267000</v>
      </c>
      <c r="D53" s="23">
        <v>267332</v>
      </c>
      <c r="E53" s="23">
        <v>267332</v>
      </c>
      <c r="F53" s="23">
        <v>0</v>
      </c>
      <c r="G53" s="23">
        <v>267332</v>
      </c>
      <c r="H53" s="11"/>
      <c r="I53" s="23">
        <v>267332</v>
      </c>
      <c r="J53" s="126">
        <f t="shared" ref="J53:J57" si="2">I53/D53</f>
        <v>1</v>
      </c>
    </row>
    <row r="54" spans="1:10" x14ac:dyDescent="0.2">
      <c r="A54" s="21" t="s">
        <v>236</v>
      </c>
      <c r="B54" s="22" t="s">
        <v>237</v>
      </c>
      <c r="C54" s="23">
        <v>267000</v>
      </c>
      <c r="D54" s="23">
        <v>267332</v>
      </c>
      <c r="E54" s="23">
        <v>267332</v>
      </c>
      <c r="F54" s="23">
        <v>0</v>
      </c>
      <c r="G54" s="23">
        <v>267332</v>
      </c>
      <c r="H54" s="11"/>
      <c r="I54" s="23">
        <v>267332</v>
      </c>
      <c r="J54" s="126">
        <f t="shared" si="2"/>
        <v>1</v>
      </c>
    </row>
    <row r="55" spans="1:10" ht="25.5" x14ac:dyDescent="0.2">
      <c r="A55" s="21" t="s">
        <v>24</v>
      </c>
      <c r="B55" s="22" t="s">
        <v>251</v>
      </c>
      <c r="C55" s="23">
        <v>10173000</v>
      </c>
      <c r="D55" s="23">
        <v>10659492</v>
      </c>
      <c r="E55" s="23">
        <v>10659492</v>
      </c>
      <c r="F55" s="23">
        <v>0</v>
      </c>
      <c r="G55" s="23">
        <v>10659492</v>
      </c>
      <c r="H55" s="11"/>
      <c r="I55" s="23">
        <v>10659492</v>
      </c>
      <c r="J55" s="126">
        <f t="shared" si="2"/>
        <v>1</v>
      </c>
    </row>
    <row r="56" spans="1:10" ht="25.5" x14ac:dyDescent="0.2">
      <c r="A56" s="21" t="s">
        <v>239</v>
      </c>
      <c r="B56" s="22" t="s">
        <v>240</v>
      </c>
      <c r="C56" s="23">
        <v>10440000</v>
      </c>
      <c r="D56" s="23">
        <v>10926824</v>
      </c>
      <c r="E56" s="23">
        <v>10926824</v>
      </c>
      <c r="F56" s="23">
        <v>0</v>
      </c>
      <c r="G56" s="23">
        <v>10926824</v>
      </c>
      <c r="H56" s="11"/>
      <c r="I56" s="23">
        <v>10926824</v>
      </c>
      <c r="J56" s="126">
        <f t="shared" si="2"/>
        <v>1</v>
      </c>
    </row>
    <row r="57" spans="1:10" ht="25.5" x14ac:dyDescent="0.2">
      <c r="A57" s="24" t="s">
        <v>46</v>
      </c>
      <c r="B57" s="25" t="s">
        <v>241</v>
      </c>
      <c r="C57" s="26">
        <v>10440000</v>
      </c>
      <c r="D57" s="26">
        <v>10926824</v>
      </c>
      <c r="E57" s="26">
        <v>10926824</v>
      </c>
      <c r="F57" s="26">
        <v>0</v>
      </c>
      <c r="G57" s="26">
        <v>10926824</v>
      </c>
      <c r="H57" s="11"/>
      <c r="I57" s="26">
        <v>10926824</v>
      </c>
      <c r="J57" s="126">
        <f t="shared" si="2"/>
        <v>1</v>
      </c>
    </row>
  </sheetData>
  <mergeCells count="3">
    <mergeCell ref="A3:I3"/>
    <mergeCell ref="A40:J40"/>
    <mergeCell ref="A50:J50"/>
  </mergeCells>
  <pageMargins left="0.75" right="0.75" top="1" bottom="1" header="0.5" footer="0.5"/>
  <pageSetup orientation="portrait" verticalDpi="300" r:id="rId1"/>
  <headerFooter alignWithMargins="0">
    <oddHeader>&amp;C&amp;L&amp;RÉrték típus: Forint</oddHeader>
    <oddFooter>&amp;C&amp;LAdatellenőrző kód: 1a-41-5f-1a-3b-1e-3a-4151-34-5620-297019-6c71-e535b&amp;R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2.75" x14ac:dyDescent="0.2"/>
  <cols>
    <col min="1" max="1" width="27.140625" style="30" customWidth="1"/>
    <col min="2" max="2" width="37.42578125" style="30" customWidth="1"/>
    <col min="3" max="3" width="33.7109375" style="30" customWidth="1"/>
    <col min="4" max="16384" width="9.140625" style="30"/>
  </cols>
  <sheetData>
    <row r="1" spans="1:4" x14ac:dyDescent="0.2">
      <c r="A1" s="29" t="s">
        <v>478</v>
      </c>
    </row>
    <row r="3" spans="1:4" ht="48" customHeight="1" x14ac:dyDescent="0.2">
      <c r="A3" s="199" t="s">
        <v>319</v>
      </c>
      <c r="B3" s="199"/>
      <c r="C3" s="199"/>
      <c r="D3" s="200"/>
    </row>
    <row r="5" spans="1:4" x14ac:dyDescent="0.2">
      <c r="A5" s="30" t="s">
        <v>320</v>
      </c>
    </row>
    <row r="7" spans="1:4" x14ac:dyDescent="0.2">
      <c r="A7" s="29" t="s">
        <v>321</v>
      </c>
    </row>
    <row r="8" spans="1:4" x14ac:dyDescent="0.2">
      <c r="A8" s="31" t="s">
        <v>322</v>
      </c>
      <c r="B8" s="31" t="s">
        <v>323</v>
      </c>
      <c r="C8" s="31" t="s">
        <v>324</v>
      </c>
    </row>
    <row r="9" spans="1:4" x14ac:dyDescent="0.2">
      <c r="A9" s="31" t="s">
        <v>325</v>
      </c>
      <c r="B9" s="32">
        <v>57</v>
      </c>
      <c r="C9" s="32">
        <v>6267054</v>
      </c>
    </row>
    <row r="10" spans="1:4" x14ac:dyDescent="0.2">
      <c r="A10" s="31" t="s">
        <v>326</v>
      </c>
      <c r="B10" s="32">
        <v>21</v>
      </c>
      <c r="C10" s="32">
        <v>2483122</v>
      </c>
    </row>
    <row r="11" spans="1:4" x14ac:dyDescent="0.2">
      <c r="A11" s="31" t="s">
        <v>327</v>
      </c>
      <c r="B11" s="32">
        <f>B9+B10</f>
        <v>78</v>
      </c>
      <c r="C11" s="32">
        <f>C9+C10</f>
        <v>8750176</v>
      </c>
    </row>
    <row r="13" spans="1:4" x14ac:dyDescent="0.2">
      <c r="A13" s="201" t="s">
        <v>328</v>
      </c>
      <c r="B13" s="201"/>
      <c r="C13" s="201"/>
      <c r="D13" s="30">
        <v>0</v>
      </c>
    </row>
    <row r="15" spans="1:4" x14ac:dyDescent="0.2">
      <c r="A15" s="201" t="s">
        <v>329</v>
      </c>
      <c r="B15" s="201"/>
      <c r="C15" s="201"/>
      <c r="D15" s="30">
        <v>0</v>
      </c>
    </row>
    <row r="17" spans="1:4" x14ac:dyDescent="0.2">
      <c r="A17" s="30" t="s">
        <v>330</v>
      </c>
      <c r="D17" s="30">
        <v>0</v>
      </c>
    </row>
    <row r="19" spans="1:4" x14ac:dyDescent="0.2">
      <c r="A19" s="201" t="s">
        <v>331</v>
      </c>
      <c r="B19" s="201"/>
      <c r="C19" s="201"/>
      <c r="D19" s="30">
        <v>0</v>
      </c>
    </row>
  </sheetData>
  <mergeCells count="4">
    <mergeCell ref="A3:D3"/>
    <mergeCell ref="A13:C13"/>
    <mergeCell ref="A15:C15"/>
    <mergeCell ref="A19:C1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zoomScaleNormal="100" workbookViewId="0">
      <selection sqref="A1:I2"/>
    </sheetView>
  </sheetViews>
  <sheetFormatPr defaultRowHeight="12.75" x14ac:dyDescent="0.2"/>
  <cols>
    <col min="1" max="1" width="36.42578125" style="169" customWidth="1"/>
    <col min="2" max="2" width="12.7109375" style="170" customWidth="1"/>
    <col min="3" max="3" width="12.7109375" style="169" customWidth="1"/>
    <col min="4" max="4" width="10.5703125" style="169" customWidth="1"/>
    <col min="5" max="8" width="12.7109375" style="30" customWidth="1"/>
    <col min="9" max="9" width="12.85546875" style="171" customWidth="1"/>
    <col min="10" max="11" width="11.140625" style="30" customWidth="1"/>
    <col min="12" max="12" width="9.7109375" style="30" customWidth="1"/>
    <col min="13" max="16384" width="9.140625" style="30"/>
  </cols>
  <sheetData>
    <row r="1" spans="1:12" x14ac:dyDescent="0.2">
      <c r="A1" s="204" t="s">
        <v>482</v>
      </c>
      <c r="B1" s="205"/>
      <c r="C1" s="205"/>
      <c r="D1" s="205"/>
      <c r="E1" s="205"/>
      <c r="F1" s="205"/>
      <c r="G1" s="205"/>
      <c r="H1" s="205"/>
      <c r="I1" s="200"/>
    </row>
    <row r="2" spans="1:12" x14ac:dyDescent="0.2">
      <c r="A2" s="204"/>
      <c r="B2" s="205"/>
      <c r="C2" s="205"/>
      <c r="D2" s="205"/>
      <c r="E2" s="205"/>
      <c r="F2" s="205"/>
      <c r="G2" s="205"/>
      <c r="H2" s="205"/>
      <c r="I2" s="200"/>
    </row>
    <row r="3" spans="1:12" ht="19.5" customHeight="1" thickBot="1" x14ac:dyDescent="0.3">
      <c r="A3" s="202" t="s">
        <v>428</v>
      </c>
      <c r="B3" s="203"/>
      <c r="C3" s="203"/>
      <c r="D3" s="203"/>
      <c r="E3" s="203"/>
      <c r="F3" s="203"/>
      <c r="G3" s="203"/>
      <c r="H3" s="203"/>
      <c r="I3" s="203"/>
    </row>
    <row r="4" spans="1:12" ht="67.5" x14ac:dyDescent="0.2">
      <c r="A4" s="136" t="s">
        <v>0</v>
      </c>
      <c r="B4" s="137" t="s">
        <v>429</v>
      </c>
      <c r="C4" s="137" t="s">
        <v>430</v>
      </c>
      <c r="D4" s="137" t="s">
        <v>431</v>
      </c>
      <c r="E4" s="137" t="s">
        <v>432</v>
      </c>
      <c r="F4" s="206" t="s">
        <v>433</v>
      </c>
      <c r="G4" s="207"/>
      <c r="H4" s="138" t="s">
        <v>434</v>
      </c>
      <c r="I4" s="139" t="s">
        <v>327</v>
      </c>
    </row>
    <row r="5" spans="1:12" ht="33.75" x14ac:dyDescent="0.2">
      <c r="A5" s="140"/>
      <c r="B5" s="141"/>
      <c r="C5" s="142"/>
      <c r="D5" s="142"/>
      <c r="E5" s="143"/>
      <c r="F5" s="144" t="s">
        <v>435</v>
      </c>
      <c r="G5" s="144" t="s">
        <v>436</v>
      </c>
      <c r="H5" s="144" t="s">
        <v>437</v>
      </c>
      <c r="I5" s="145"/>
    </row>
    <row r="6" spans="1:12" ht="26.25" thickBot="1" x14ac:dyDescent="0.25">
      <c r="A6" s="140" t="s">
        <v>438</v>
      </c>
      <c r="B6" s="146">
        <f>21110+147990+144213+44551+2390769</f>
        <v>2748633</v>
      </c>
      <c r="C6" s="147">
        <f>147990+144213+2390769</f>
        <v>2682972</v>
      </c>
      <c r="D6" s="146">
        <v>44551</v>
      </c>
      <c r="E6" s="148">
        <v>10765</v>
      </c>
      <c r="F6" s="146">
        <v>0</v>
      </c>
      <c r="G6" s="147">
        <f>147990</f>
        <v>147990</v>
      </c>
      <c r="H6" s="149">
        <f>21110+144213+44551+2390769</f>
        <v>2600643</v>
      </c>
      <c r="I6" s="149">
        <f>SUM(F6:H6)</f>
        <v>2748633</v>
      </c>
      <c r="L6" s="150"/>
    </row>
    <row r="7" spans="1:12" ht="13.5" thickBot="1" x14ac:dyDescent="0.25">
      <c r="A7" s="151" t="s">
        <v>439</v>
      </c>
      <c r="B7" s="152">
        <f>SUM(B6:B6)</f>
        <v>2748633</v>
      </c>
      <c r="C7" s="152">
        <f>SUM(C6:C6)</f>
        <v>2682972</v>
      </c>
      <c r="D7" s="152">
        <f t="shared" ref="D7:H7" si="0">SUM(D6:D6)</f>
        <v>44551</v>
      </c>
      <c r="E7" s="152">
        <f t="shared" si="0"/>
        <v>10765</v>
      </c>
      <c r="F7" s="152">
        <f t="shared" si="0"/>
        <v>0</v>
      </c>
      <c r="G7" s="152">
        <f t="shared" si="0"/>
        <v>147990</v>
      </c>
      <c r="H7" s="152">
        <f t="shared" si="0"/>
        <v>2600643</v>
      </c>
      <c r="I7" s="152">
        <f>SUM(F7:H7)</f>
        <v>2748633</v>
      </c>
    </row>
    <row r="8" spans="1:12" x14ac:dyDescent="0.2">
      <c r="A8" s="153" t="s">
        <v>440</v>
      </c>
      <c r="B8" s="154">
        <f>3314268+4154195+17175284</f>
        <v>24643747</v>
      </c>
      <c r="C8" s="155">
        <v>17175284</v>
      </c>
      <c r="D8" s="154">
        <v>4154195</v>
      </c>
      <c r="E8" s="156">
        <v>1637340</v>
      </c>
      <c r="F8" s="154">
        <v>0</v>
      </c>
      <c r="G8" s="155">
        <v>0</v>
      </c>
      <c r="H8" s="157">
        <v>24643747</v>
      </c>
      <c r="I8" s="157">
        <f>SUM(F8:H8)</f>
        <v>24643747</v>
      </c>
      <c r="J8" s="158"/>
      <c r="K8" s="158"/>
      <c r="L8" s="150"/>
    </row>
    <row r="9" spans="1:12" ht="25.5" x14ac:dyDescent="0.2">
      <c r="A9" s="159" t="s">
        <v>441</v>
      </c>
      <c r="B9" s="155">
        <f>19041510+8751180+190000+17851271</f>
        <v>45833961</v>
      </c>
      <c r="C9" s="155">
        <v>17851271</v>
      </c>
      <c r="D9" s="155">
        <v>8751180</v>
      </c>
      <c r="E9" s="160">
        <f>9806385+190000</f>
        <v>9996385</v>
      </c>
      <c r="F9" s="155">
        <v>0</v>
      </c>
      <c r="G9" s="155">
        <v>0</v>
      </c>
      <c r="H9" s="161">
        <v>45833961</v>
      </c>
      <c r="I9" s="157">
        <f>SUM(F9:H9)</f>
        <v>45833961</v>
      </c>
    </row>
    <row r="10" spans="1:12" ht="13.5" thickBot="1" x14ac:dyDescent="0.25">
      <c r="A10" s="140" t="s">
        <v>442</v>
      </c>
      <c r="B10" s="146">
        <f>7990000+10890040</f>
        <v>18880040</v>
      </c>
      <c r="C10" s="147">
        <v>10890040</v>
      </c>
      <c r="D10" s="146">
        <v>0</v>
      </c>
      <c r="E10" s="148">
        <v>6103047</v>
      </c>
      <c r="F10" s="146">
        <v>0</v>
      </c>
      <c r="G10" s="147">
        <v>0</v>
      </c>
      <c r="H10" s="149">
        <v>18880040</v>
      </c>
      <c r="I10" s="162">
        <f>SUM(F10:H10)</f>
        <v>18880040</v>
      </c>
    </row>
    <row r="11" spans="1:12" ht="26.25" thickBot="1" x14ac:dyDescent="0.25">
      <c r="A11" s="151" t="s">
        <v>443</v>
      </c>
      <c r="B11" s="152">
        <f t="shared" ref="B11:I11" si="1">SUM(B8:B10)</f>
        <v>89357748</v>
      </c>
      <c r="C11" s="152">
        <f t="shared" si="1"/>
        <v>45916595</v>
      </c>
      <c r="D11" s="152">
        <f t="shared" si="1"/>
        <v>12905375</v>
      </c>
      <c r="E11" s="152">
        <f t="shared" si="1"/>
        <v>17736772</v>
      </c>
      <c r="F11" s="152">
        <f t="shared" si="1"/>
        <v>0</v>
      </c>
      <c r="G11" s="152">
        <f t="shared" si="1"/>
        <v>0</v>
      </c>
      <c r="H11" s="152">
        <f t="shared" si="1"/>
        <v>89357748</v>
      </c>
      <c r="I11" s="152">
        <f t="shared" si="1"/>
        <v>89357748</v>
      </c>
    </row>
    <row r="12" spans="1:12" x14ac:dyDescent="0.2">
      <c r="A12" s="163" t="s">
        <v>444</v>
      </c>
      <c r="B12" s="146">
        <f>12065700+38350641+368637347+67401273</f>
        <v>486454961</v>
      </c>
      <c r="C12" s="146">
        <v>0</v>
      </c>
      <c r="D12" s="146">
        <v>0</v>
      </c>
      <c r="E12" s="164">
        <f>5779697+30949236+266117847+60290519</f>
        <v>363137299</v>
      </c>
      <c r="F12" s="146">
        <v>38350641</v>
      </c>
      <c r="G12" s="146">
        <v>368637347</v>
      </c>
      <c r="H12" s="149">
        <f>67401273+12065700</f>
        <v>79466973</v>
      </c>
      <c r="I12" s="162">
        <f>SUM(F12:H12)</f>
        <v>486454961</v>
      </c>
      <c r="J12" s="150"/>
      <c r="K12" s="150"/>
      <c r="L12" s="150"/>
    </row>
    <row r="13" spans="1:12" x14ac:dyDescent="0.2">
      <c r="A13" s="153" t="s">
        <v>445</v>
      </c>
      <c r="B13" s="155">
        <f>5547371+9538854+24404555</f>
        <v>39490780</v>
      </c>
      <c r="C13" s="155">
        <v>0</v>
      </c>
      <c r="D13" s="155">
        <v>0</v>
      </c>
      <c r="E13" s="156">
        <f>4825694+8424511+23860787+4388970</f>
        <v>41499962</v>
      </c>
      <c r="F13" s="155">
        <v>5547371</v>
      </c>
      <c r="G13" s="155">
        <v>9538854</v>
      </c>
      <c r="H13" s="161">
        <f>24404555</f>
        <v>24404555</v>
      </c>
      <c r="I13" s="157">
        <f>SUM(F13:H13)</f>
        <v>39490780</v>
      </c>
    </row>
    <row r="14" spans="1:12" x14ac:dyDescent="0.2">
      <c r="A14" s="140" t="s">
        <v>446</v>
      </c>
      <c r="B14" s="146">
        <f>442940+406047635+15935885+29563739+907500+4553765</f>
        <v>457451464</v>
      </c>
      <c r="C14" s="146">
        <v>907500</v>
      </c>
      <c r="D14" s="146">
        <v>0</v>
      </c>
      <c r="E14" s="146">
        <f>429616+316346484+12356462+23090732</f>
        <v>352223294</v>
      </c>
      <c r="F14" s="146">
        <v>406047635</v>
      </c>
      <c r="G14" s="146">
        <f>442940+15935885</f>
        <v>16378825</v>
      </c>
      <c r="H14" s="146">
        <f>29563739+907500+4553765</f>
        <v>35025004</v>
      </c>
      <c r="I14" s="162">
        <f>SUM(F14:H14)</f>
        <v>457451464</v>
      </c>
      <c r="L14" s="150"/>
    </row>
    <row r="15" spans="1:12" x14ac:dyDescent="0.2">
      <c r="A15" s="165" t="s">
        <v>447</v>
      </c>
      <c r="B15" s="146">
        <f>884400+29712547</f>
        <v>30596947</v>
      </c>
      <c r="C15" s="146">
        <v>0</v>
      </c>
      <c r="D15" s="146">
        <v>0</v>
      </c>
      <c r="E15" s="146">
        <v>30596947</v>
      </c>
      <c r="F15" s="146">
        <v>0</v>
      </c>
      <c r="G15" s="146">
        <v>0</v>
      </c>
      <c r="H15" s="146">
        <v>30596947</v>
      </c>
      <c r="I15" s="162">
        <f>SUM(F15:H15)</f>
        <v>30596947</v>
      </c>
    </row>
    <row r="16" spans="1:12" ht="13.5" thickBot="1" x14ac:dyDescent="0.25">
      <c r="A16" s="166" t="s">
        <v>448</v>
      </c>
      <c r="B16" s="146">
        <f>359646681+6943488+92947393+58500+1863619</f>
        <v>461459681</v>
      </c>
      <c r="C16" s="146">
        <v>0</v>
      </c>
      <c r="D16" s="146">
        <v>0</v>
      </c>
      <c r="E16" s="146">
        <f>459537562+1922119</f>
        <v>461459681</v>
      </c>
      <c r="F16" s="146">
        <f>359646681+58500</f>
        <v>359705181</v>
      </c>
      <c r="G16" s="146">
        <f>6943488</f>
        <v>6943488</v>
      </c>
      <c r="H16" s="149">
        <f>92947393+1863619</f>
        <v>94811012</v>
      </c>
      <c r="I16" s="162">
        <f>SUM(F16:H16)</f>
        <v>461459681</v>
      </c>
    </row>
    <row r="17" spans="1:11" ht="26.25" thickBot="1" x14ac:dyDescent="0.25">
      <c r="A17" s="151" t="s">
        <v>449</v>
      </c>
      <c r="B17" s="152">
        <f t="shared" ref="B17:I17" si="2">SUM(B12:B16)</f>
        <v>1475453833</v>
      </c>
      <c r="C17" s="152">
        <f t="shared" si="2"/>
        <v>907500</v>
      </c>
      <c r="D17" s="152">
        <f t="shared" si="2"/>
        <v>0</v>
      </c>
      <c r="E17" s="152">
        <f t="shared" si="2"/>
        <v>1248917183</v>
      </c>
      <c r="F17" s="152">
        <f t="shared" si="2"/>
        <v>809650828</v>
      </c>
      <c r="G17" s="152">
        <f t="shared" si="2"/>
        <v>401498514</v>
      </c>
      <c r="H17" s="152">
        <f t="shared" si="2"/>
        <v>264304491</v>
      </c>
      <c r="I17" s="152">
        <f t="shared" si="2"/>
        <v>1475453833</v>
      </c>
    </row>
    <row r="18" spans="1:11" ht="13.5" thickBot="1" x14ac:dyDescent="0.25">
      <c r="A18" s="163" t="s">
        <v>450</v>
      </c>
      <c r="B18" s="146">
        <f>822906+63850</f>
        <v>886756</v>
      </c>
      <c r="C18" s="146">
        <v>822906</v>
      </c>
      <c r="D18" s="146">
        <v>63850</v>
      </c>
      <c r="E18" s="146">
        <v>0</v>
      </c>
      <c r="F18" s="146">
        <v>0</v>
      </c>
      <c r="G18" s="146">
        <v>0</v>
      </c>
      <c r="H18" s="146">
        <v>886756</v>
      </c>
      <c r="I18" s="162">
        <f>SUM(F18:H18)</f>
        <v>886756</v>
      </c>
    </row>
    <row r="19" spans="1:11" x14ac:dyDescent="0.2">
      <c r="A19" s="163" t="s">
        <v>451</v>
      </c>
      <c r="B19" s="146">
        <f>72173939+957481</f>
        <v>73131420</v>
      </c>
      <c r="C19" s="146">
        <f>54714382+957481</f>
        <v>55671863</v>
      </c>
      <c r="D19" s="146">
        <v>0</v>
      </c>
      <c r="E19" s="146">
        <v>4122566</v>
      </c>
      <c r="F19" s="146">
        <v>0</v>
      </c>
      <c r="G19" s="146">
        <v>957481</v>
      </c>
      <c r="H19" s="146">
        <v>72173939</v>
      </c>
      <c r="I19" s="162">
        <f>SUM(F19:H19)</f>
        <v>73131420</v>
      </c>
    </row>
    <row r="20" spans="1:11" ht="25.5" x14ac:dyDescent="0.2">
      <c r="A20" s="140" t="s">
        <v>452</v>
      </c>
      <c r="B20" s="146">
        <f>249088395+7900</f>
        <v>249096295</v>
      </c>
      <c r="C20" s="146">
        <v>0</v>
      </c>
      <c r="D20" s="146">
        <v>0</v>
      </c>
      <c r="E20" s="146">
        <f>121488985+7900</f>
        <v>121496885</v>
      </c>
      <c r="F20" s="146">
        <v>0</v>
      </c>
      <c r="G20" s="146">
        <v>0</v>
      </c>
      <c r="H20" s="146">
        <f>249088395+7900</f>
        <v>249096295</v>
      </c>
      <c r="I20" s="162">
        <f>SUM(F20:H20)</f>
        <v>249096295</v>
      </c>
    </row>
    <row r="21" spans="1:11" ht="26.25" thickBot="1" x14ac:dyDescent="0.25">
      <c r="A21" s="166" t="s">
        <v>453</v>
      </c>
      <c r="B21" s="146">
        <v>11055075</v>
      </c>
      <c r="C21" s="146">
        <v>0</v>
      </c>
      <c r="D21" s="146">
        <v>0</v>
      </c>
      <c r="E21" s="146">
        <f>3094839+2075</f>
        <v>3096914</v>
      </c>
      <c r="F21" s="146">
        <v>0</v>
      </c>
      <c r="G21" s="146">
        <v>0</v>
      </c>
      <c r="H21" s="146">
        <v>11055075</v>
      </c>
      <c r="I21" s="162">
        <f>SUM(F21:H21)</f>
        <v>11055075</v>
      </c>
    </row>
    <row r="22" spans="1:11" ht="26.25" thickBot="1" x14ac:dyDescent="0.25">
      <c r="A22" s="151" t="s">
        <v>454</v>
      </c>
      <c r="B22" s="152">
        <f>SUM(B18:B21)</f>
        <v>334169546</v>
      </c>
      <c r="C22" s="152">
        <f t="shared" ref="C22:H22" si="3">SUM(C18:C21)</f>
        <v>56494769</v>
      </c>
      <c r="D22" s="152">
        <f t="shared" si="3"/>
        <v>63850</v>
      </c>
      <c r="E22" s="152">
        <f t="shared" si="3"/>
        <v>128716365</v>
      </c>
      <c r="F22" s="152">
        <f t="shared" si="3"/>
        <v>0</v>
      </c>
      <c r="G22" s="152">
        <f t="shared" si="3"/>
        <v>957481</v>
      </c>
      <c r="H22" s="152">
        <f t="shared" si="3"/>
        <v>333212065</v>
      </c>
      <c r="I22" s="152">
        <f>SUM(F22:H22)</f>
        <v>334169546</v>
      </c>
    </row>
    <row r="23" spans="1:11" ht="26.25" thickBot="1" x14ac:dyDescent="0.25">
      <c r="A23" s="151" t="s">
        <v>455</v>
      </c>
      <c r="B23" s="152">
        <f>SUM(B7+B11+B17+B22)</f>
        <v>1901729760</v>
      </c>
      <c r="C23" s="152">
        <f t="shared" ref="C23:I23" si="4">SUM(C7+C11+C17+C22)</f>
        <v>106001836</v>
      </c>
      <c r="D23" s="152">
        <f t="shared" si="4"/>
        <v>13013776</v>
      </c>
      <c r="E23" s="152">
        <f t="shared" si="4"/>
        <v>1395381085</v>
      </c>
      <c r="F23" s="152">
        <f t="shared" si="4"/>
        <v>809650828</v>
      </c>
      <c r="G23" s="152">
        <f t="shared" si="4"/>
        <v>402603985</v>
      </c>
      <c r="H23" s="152">
        <f t="shared" si="4"/>
        <v>689474947</v>
      </c>
      <c r="I23" s="152">
        <f t="shared" si="4"/>
        <v>1901729760</v>
      </c>
    </row>
    <row r="24" spans="1:11" x14ac:dyDescent="0.2">
      <c r="A24" s="167"/>
      <c r="B24" s="168"/>
      <c r="C24" s="168"/>
      <c r="D24" s="168"/>
      <c r="E24" s="168"/>
      <c r="F24" s="168"/>
      <c r="G24" s="168"/>
      <c r="H24" s="168"/>
      <c r="I24" s="168"/>
    </row>
    <row r="25" spans="1:11" ht="26.25" customHeight="1" thickBot="1" x14ac:dyDescent="0.3">
      <c r="A25" s="202" t="s">
        <v>456</v>
      </c>
      <c r="B25" s="203"/>
      <c r="C25" s="203"/>
      <c r="D25" s="203"/>
      <c r="E25" s="203"/>
      <c r="F25" s="203"/>
      <c r="G25" s="203"/>
      <c r="H25" s="203"/>
      <c r="I25" s="203"/>
    </row>
    <row r="26" spans="1:11" ht="67.5" x14ac:dyDescent="0.2">
      <c r="A26" s="136" t="s">
        <v>0</v>
      </c>
      <c r="B26" s="137" t="s">
        <v>429</v>
      </c>
      <c r="C26" s="137" t="s">
        <v>430</v>
      </c>
      <c r="D26" s="137" t="s">
        <v>431</v>
      </c>
      <c r="E26" s="137" t="s">
        <v>432</v>
      </c>
      <c r="F26" s="206" t="s">
        <v>433</v>
      </c>
      <c r="G26" s="207"/>
      <c r="H26" s="138" t="s">
        <v>434</v>
      </c>
      <c r="I26" s="139" t="s">
        <v>327</v>
      </c>
    </row>
    <row r="27" spans="1:11" ht="33.75" x14ac:dyDescent="0.2">
      <c r="A27" s="140"/>
      <c r="B27" s="141"/>
      <c r="C27" s="142"/>
      <c r="D27" s="142"/>
      <c r="E27" s="143"/>
      <c r="F27" s="144" t="s">
        <v>435</v>
      </c>
      <c r="G27" s="144" t="s">
        <v>436</v>
      </c>
      <c r="H27" s="144" t="s">
        <v>437</v>
      </c>
      <c r="I27" s="145"/>
    </row>
    <row r="28" spans="1:11" ht="26.25" thickBot="1" x14ac:dyDescent="0.25">
      <c r="A28" s="140" t="s">
        <v>438</v>
      </c>
      <c r="B28" s="146">
        <f>SUM(B6-B50-B72-B95-B117-B163-B139)</f>
        <v>2682972</v>
      </c>
      <c r="C28" s="147">
        <f t="shared" ref="C28:I28" si="5">SUM(C6-C50-C72-C95-C117-C163-C139)</f>
        <v>2682972</v>
      </c>
      <c r="D28" s="146">
        <f t="shared" si="5"/>
        <v>0</v>
      </c>
      <c r="E28" s="148">
        <f t="shared" si="5"/>
        <v>0</v>
      </c>
      <c r="F28" s="146">
        <f t="shared" si="5"/>
        <v>0</v>
      </c>
      <c r="G28" s="147">
        <f t="shared" si="5"/>
        <v>147990</v>
      </c>
      <c r="H28" s="149">
        <f t="shared" si="5"/>
        <v>2534982</v>
      </c>
      <c r="I28" s="149">
        <f t="shared" si="5"/>
        <v>2682972</v>
      </c>
    </row>
    <row r="29" spans="1:11" ht="13.5" thickBot="1" x14ac:dyDescent="0.25">
      <c r="A29" s="151" t="s">
        <v>439</v>
      </c>
      <c r="B29" s="152">
        <f t="shared" ref="B29:H29" si="6">SUM(B28)</f>
        <v>2682972</v>
      </c>
      <c r="C29" s="152">
        <f t="shared" si="6"/>
        <v>2682972</v>
      </c>
      <c r="D29" s="152">
        <f t="shared" si="6"/>
        <v>0</v>
      </c>
      <c r="E29" s="152">
        <f t="shared" si="6"/>
        <v>0</v>
      </c>
      <c r="F29" s="152">
        <f t="shared" si="6"/>
        <v>0</v>
      </c>
      <c r="G29" s="152">
        <f t="shared" si="6"/>
        <v>147990</v>
      </c>
      <c r="H29" s="152">
        <f t="shared" si="6"/>
        <v>2534982</v>
      </c>
      <c r="I29" s="152">
        <f t="shared" ref="I29:I45" si="7">SUM(F29:H29)</f>
        <v>2682972</v>
      </c>
    </row>
    <row r="30" spans="1:11" x14ac:dyDescent="0.2">
      <c r="A30" s="153" t="s">
        <v>440</v>
      </c>
      <c r="B30" s="154">
        <f t="shared" ref="B30:I32" si="8">SUM(B8-B52-B74-B97-B119-B165-B141)</f>
        <v>16971479</v>
      </c>
      <c r="C30" s="155">
        <f t="shared" si="8"/>
        <v>15088818</v>
      </c>
      <c r="D30" s="154">
        <f t="shared" si="8"/>
        <v>1493623</v>
      </c>
      <c r="E30" s="156">
        <f t="shared" si="8"/>
        <v>30823</v>
      </c>
      <c r="F30" s="154">
        <f t="shared" si="8"/>
        <v>0</v>
      </c>
      <c r="G30" s="155">
        <f t="shared" si="8"/>
        <v>0</v>
      </c>
      <c r="H30" s="157">
        <f t="shared" si="8"/>
        <v>16971479</v>
      </c>
      <c r="I30" s="157">
        <f t="shared" si="8"/>
        <v>16971479</v>
      </c>
      <c r="J30" s="150"/>
      <c r="K30" s="150"/>
    </row>
    <row r="31" spans="1:11" ht="25.5" x14ac:dyDescent="0.2">
      <c r="A31" s="159" t="s">
        <v>441</v>
      </c>
      <c r="B31" s="155">
        <f t="shared" si="8"/>
        <v>21951339</v>
      </c>
      <c r="C31" s="155">
        <f t="shared" si="8"/>
        <v>17319279</v>
      </c>
      <c r="D31" s="155">
        <f t="shared" si="8"/>
        <v>2456780</v>
      </c>
      <c r="E31" s="160">
        <f t="shared" si="8"/>
        <v>1092267</v>
      </c>
      <c r="F31" s="155">
        <f t="shared" si="8"/>
        <v>0</v>
      </c>
      <c r="G31" s="155">
        <f t="shared" si="8"/>
        <v>0</v>
      </c>
      <c r="H31" s="161">
        <f t="shared" si="8"/>
        <v>21951339</v>
      </c>
      <c r="I31" s="157">
        <f t="shared" si="8"/>
        <v>21951339</v>
      </c>
      <c r="J31" s="150"/>
      <c r="K31" s="150"/>
    </row>
    <row r="32" spans="1:11" ht="13.5" thickBot="1" x14ac:dyDescent="0.25">
      <c r="A32" s="140" t="s">
        <v>442</v>
      </c>
      <c r="B32" s="146">
        <f t="shared" si="8"/>
        <v>18880040</v>
      </c>
      <c r="C32" s="147">
        <f t="shared" si="8"/>
        <v>10890040</v>
      </c>
      <c r="D32" s="146">
        <f t="shared" si="8"/>
        <v>0</v>
      </c>
      <c r="E32" s="148">
        <f t="shared" si="8"/>
        <v>6103047</v>
      </c>
      <c r="F32" s="146">
        <f t="shared" si="8"/>
        <v>0</v>
      </c>
      <c r="G32" s="147">
        <f t="shared" si="8"/>
        <v>0</v>
      </c>
      <c r="H32" s="149">
        <f t="shared" si="8"/>
        <v>18880040</v>
      </c>
      <c r="I32" s="162">
        <f t="shared" si="8"/>
        <v>18880040</v>
      </c>
    </row>
    <row r="33" spans="1:12" ht="26.25" thickBot="1" x14ac:dyDescent="0.25">
      <c r="A33" s="151" t="s">
        <v>443</v>
      </c>
      <c r="B33" s="152">
        <f t="shared" ref="B33:H33" si="9">SUM(B30:B32)</f>
        <v>57802858</v>
      </c>
      <c r="C33" s="152">
        <f t="shared" si="9"/>
        <v>43298137</v>
      </c>
      <c r="D33" s="152">
        <f t="shared" si="9"/>
        <v>3950403</v>
      </c>
      <c r="E33" s="152">
        <f t="shared" si="9"/>
        <v>7226137</v>
      </c>
      <c r="F33" s="152">
        <f t="shared" si="9"/>
        <v>0</v>
      </c>
      <c r="G33" s="152">
        <f t="shared" si="9"/>
        <v>0</v>
      </c>
      <c r="H33" s="152">
        <f t="shared" si="9"/>
        <v>57802858</v>
      </c>
      <c r="I33" s="152">
        <f t="shared" si="7"/>
        <v>57802858</v>
      </c>
    </row>
    <row r="34" spans="1:12" x14ac:dyDescent="0.2">
      <c r="A34" s="163" t="s">
        <v>444</v>
      </c>
      <c r="B34" s="146">
        <f t="shared" ref="B34:I38" si="10">SUM(B12-B56-B78-B101-B123-B169-B145)</f>
        <v>486454961</v>
      </c>
      <c r="C34" s="146">
        <f t="shared" si="10"/>
        <v>0</v>
      </c>
      <c r="D34" s="146">
        <f t="shared" si="10"/>
        <v>0</v>
      </c>
      <c r="E34" s="164">
        <f t="shared" si="10"/>
        <v>363137299</v>
      </c>
      <c r="F34" s="146">
        <f t="shared" si="10"/>
        <v>38350641</v>
      </c>
      <c r="G34" s="146">
        <f t="shared" si="10"/>
        <v>368637347</v>
      </c>
      <c r="H34" s="149">
        <f t="shared" si="10"/>
        <v>79466973</v>
      </c>
      <c r="I34" s="162">
        <f t="shared" si="10"/>
        <v>486454961</v>
      </c>
      <c r="J34" s="150"/>
      <c r="K34" s="150"/>
      <c r="L34" s="150"/>
    </row>
    <row r="35" spans="1:12" x14ac:dyDescent="0.2">
      <c r="A35" s="153" t="s">
        <v>445</v>
      </c>
      <c r="B35" s="155">
        <f t="shared" si="10"/>
        <v>11756120</v>
      </c>
      <c r="C35" s="155">
        <f t="shared" si="10"/>
        <v>0</v>
      </c>
      <c r="D35" s="155">
        <f t="shared" si="10"/>
        <v>0</v>
      </c>
      <c r="E35" s="156">
        <f t="shared" si="10"/>
        <v>14538297</v>
      </c>
      <c r="F35" s="155">
        <f t="shared" si="10"/>
        <v>4393246</v>
      </c>
      <c r="G35" s="155">
        <f t="shared" si="10"/>
        <v>7362874</v>
      </c>
      <c r="H35" s="161">
        <f t="shared" si="10"/>
        <v>0</v>
      </c>
      <c r="I35" s="157">
        <f t="shared" si="10"/>
        <v>11756120</v>
      </c>
    </row>
    <row r="36" spans="1:12" x14ac:dyDescent="0.2">
      <c r="A36" s="140" t="s">
        <v>446</v>
      </c>
      <c r="B36" s="146">
        <f t="shared" si="10"/>
        <v>456226908</v>
      </c>
      <c r="C36" s="146">
        <f t="shared" si="10"/>
        <v>907500</v>
      </c>
      <c r="D36" s="146">
        <f t="shared" si="10"/>
        <v>0</v>
      </c>
      <c r="E36" s="146">
        <f t="shared" si="10"/>
        <v>351077247</v>
      </c>
      <c r="F36" s="146">
        <f t="shared" si="10"/>
        <v>406047635</v>
      </c>
      <c r="G36" s="146">
        <f t="shared" si="10"/>
        <v>16378825</v>
      </c>
      <c r="H36" s="146">
        <f t="shared" si="10"/>
        <v>33800448</v>
      </c>
      <c r="I36" s="162">
        <f t="shared" si="10"/>
        <v>456226908</v>
      </c>
    </row>
    <row r="37" spans="1:12" x14ac:dyDescent="0.2">
      <c r="A37" s="165" t="s">
        <v>447</v>
      </c>
      <c r="B37" s="146">
        <f t="shared" si="10"/>
        <v>30596947</v>
      </c>
      <c r="C37" s="146">
        <f t="shared" si="10"/>
        <v>0</v>
      </c>
      <c r="D37" s="146">
        <f t="shared" si="10"/>
        <v>0</v>
      </c>
      <c r="E37" s="146">
        <f t="shared" si="10"/>
        <v>30596947</v>
      </c>
      <c r="F37" s="146">
        <f t="shared" si="10"/>
        <v>0</v>
      </c>
      <c r="G37" s="146">
        <f t="shared" si="10"/>
        <v>0</v>
      </c>
      <c r="H37" s="146">
        <f t="shared" si="10"/>
        <v>30596947</v>
      </c>
      <c r="I37" s="162">
        <f t="shared" si="10"/>
        <v>30596947</v>
      </c>
    </row>
    <row r="38" spans="1:12" ht="13.5" thickBot="1" x14ac:dyDescent="0.25">
      <c r="A38" s="166" t="s">
        <v>448</v>
      </c>
      <c r="B38" s="146">
        <f t="shared" si="10"/>
        <v>461459681</v>
      </c>
      <c r="C38" s="146">
        <f t="shared" si="10"/>
        <v>0</v>
      </c>
      <c r="D38" s="146">
        <f t="shared" si="10"/>
        <v>0</v>
      </c>
      <c r="E38" s="146">
        <f t="shared" si="10"/>
        <v>461459681</v>
      </c>
      <c r="F38" s="146">
        <f t="shared" si="10"/>
        <v>359705181</v>
      </c>
      <c r="G38" s="146">
        <f t="shared" si="10"/>
        <v>6943488</v>
      </c>
      <c r="H38" s="149">
        <f t="shared" si="10"/>
        <v>94811012</v>
      </c>
      <c r="I38" s="162">
        <f t="shared" si="10"/>
        <v>461459681</v>
      </c>
    </row>
    <row r="39" spans="1:12" ht="26.25" thickBot="1" x14ac:dyDescent="0.25">
      <c r="A39" s="151" t="s">
        <v>449</v>
      </c>
      <c r="B39" s="152">
        <f t="shared" ref="B39:H39" si="11">SUM(B34:B38)</f>
        <v>1446494617</v>
      </c>
      <c r="C39" s="152">
        <f t="shared" si="11"/>
        <v>907500</v>
      </c>
      <c r="D39" s="152">
        <f t="shared" si="11"/>
        <v>0</v>
      </c>
      <c r="E39" s="152">
        <f t="shared" si="11"/>
        <v>1220809471</v>
      </c>
      <c r="F39" s="152">
        <f t="shared" si="11"/>
        <v>808496703</v>
      </c>
      <c r="G39" s="152">
        <f t="shared" si="11"/>
        <v>399322534</v>
      </c>
      <c r="H39" s="152">
        <f t="shared" si="11"/>
        <v>238675380</v>
      </c>
      <c r="I39" s="152">
        <f t="shared" si="7"/>
        <v>1446494617</v>
      </c>
    </row>
    <row r="40" spans="1:12" ht="13.5" thickBot="1" x14ac:dyDescent="0.25">
      <c r="A40" s="163" t="s">
        <v>450</v>
      </c>
      <c r="B40" s="146">
        <f t="shared" ref="B40:I43" si="12">SUM(B18-B62-B84-B107-B129-B175-B151)</f>
        <v>886756</v>
      </c>
      <c r="C40" s="146">
        <f t="shared" si="12"/>
        <v>822906</v>
      </c>
      <c r="D40" s="146">
        <f t="shared" si="12"/>
        <v>63850</v>
      </c>
      <c r="E40" s="146">
        <f t="shared" si="12"/>
        <v>0</v>
      </c>
      <c r="F40" s="146">
        <f t="shared" si="12"/>
        <v>0</v>
      </c>
      <c r="G40" s="146">
        <f t="shared" si="12"/>
        <v>0</v>
      </c>
      <c r="H40" s="146">
        <f t="shared" si="12"/>
        <v>886756</v>
      </c>
      <c r="I40" s="162">
        <f t="shared" si="12"/>
        <v>886756</v>
      </c>
    </row>
    <row r="41" spans="1:12" x14ac:dyDescent="0.2">
      <c r="A41" s="163" t="s">
        <v>451</v>
      </c>
      <c r="B41" s="146">
        <f t="shared" si="12"/>
        <v>73131420</v>
      </c>
      <c r="C41" s="146">
        <f t="shared" si="12"/>
        <v>55671863</v>
      </c>
      <c r="D41" s="146">
        <f t="shared" si="12"/>
        <v>0</v>
      </c>
      <c r="E41" s="146">
        <f t="shared" si="12"/>
        <v>4122566</v>
      </c>
      <c r="F41" s="146">
        <f t="shared" si="12"/>
        <v>0</v>
      </c>
      <c r="G41" s="146">
        <f t="shared" si="12"/>
        <v>957481</v>
      </c>
      <c r="H41" s="146">
        <f t="shared" si="12"/>
        <v>72173939</v>
      </c>
      <c r="I41" s="162">
        <f t="shared" si="12"/>
        <v>73131420</v>
      </c>
    </row>
    <row r="42" spans="1:12" ht="25.5" x14ac:dyDescent="0.2">
      <c r="A42" s="140" t="s">
        <v>452</v>
      </c>
      <c r="B42" s="146">
        <f t="shared" si="12"/>
        <v>249096295</v>
      </c>
      <c r="C42" s="146">
        <f t="shared" si="12"/>
        <v>0</v>
      </c>
      <c r="D42" s="146">
        <f t="shared" si="12"/>
        <v>0</v>
      </c>
      <c r="E42" s="146">
        <f t="shared" si="12"/>
        <v>121496885</v>
      </c>
      <c r="F42" s="146">
        <f t="shared" si="12"/>
        <v>0</v>
      </c>
      <c r="G42" s="146">
        <f t="shared" si="12"/>
        <v>0</v>
      </c>
      <c r="H42" s="146">
        <f t="shared" si="12"/>
        <v>249096295</v>
      </c>
      <c r="I42" s="162">
        <f t="shared" si="12"/>
        <v>249096295</v>
      </c>
    </row>
    <row r="43" spans="1:12" ht="26.25" thickBot="1" x14ac:dyDescent="0.25">
      <c r="A43" s="166" t="s">
        <v>453</v>
      </c>
      <c r="B43" s="146">
        <f t="shared" si="12"/>
        <v>11055075</v>
      </c>
      <c r="C43" s="146">
        <f t="shared" si="12"/>
        <v>0</v>
      </c>
      <c r="D43" s="146">
        <f t="shared" si="12"/>
        <v>0</v>
      </c>
      <c r="E43" s="146">
        <f t="shared" si="12"/>
        <v>3096914</v>
      </c>
      <c r="F43" s="146">
        <f t="shared" si="12"/>
        <v>0</v>
      </c>
      <c r="G43" s="146">
        <f t="shared" si="12"/>
        <v>0</v>
      </c>
      <c r="H43" s="146">
        <f t="shared" si="12"/>
        <v>11055075</v>
      </c>
      <c r="I43" s="162">
        <f t="shared" si="12"/>
        <v>11055075</v>
      </c>
    </row>
    <row r="44" spans="1:12" ht="26.25" thickBot="1" x14ac:dyDescent="0.25">
      <c r="A44" s="151" t="s">
        <v>454</v>
      </c>
      <c r="B44" s="152">
        <f t="shared" ref="B44:H44" si="13">SUM(B40:B43)</f>
        <v>334169546</v>
      </c>
      <c r="C44" s="152">
        <f t="shared" si="13"/>
        <v>56494769</v>
      </c>
      <c r="D44" s="152">
        <f>SUM(D40:D43)</f>
        <v>63850</v>
      </c>
      <c r="E44" s="152">
        <f t="shared" si="13"/>
        <v>128716365</v>
      </c>
      <c r="F44" s="152">
        <f t="shared" si="13"/>
        <v>0</v>
      </c>
      <c r="G44" s="152">
        <f t="shared" si="13"/>
        <v>957481</v>
      </c>
      <c r="H44" s="152">
        <f t="shared" si="13"/>
        <v>333212065</v>
      </c>
      <c r="I44" s="152">
        <f t="shared" si="7"/>
        <v>334169546</v>
      </c>
    </row>
    <row r="45" spans="1:12" ht="26.25" thickBot="1" x14ac:dyDescent="0.25">
      <c r="A45" s="151" t="s">
        <v>455</v>
      </c>
      <c r="B45" s="152">
        <f t="shared" ref="B45:H45" si="14">SUM(B44,B39,B33,B29)</f>
        <v>1841149993</v>
      </c>
      <c r="C45" s="152">
        <f t="shared" si="14"/>
        <v>103383378</v>
      </c>
      <c r="D45" s="152">
        <f>SUM(D44,D39,D33,D29)</f>
        <v>4014253</v>
      </c>
      <c r="E45" s="152">
        <f t="shared" si="14"/>
        <v>1356751973</v>
      </c>
      <c r="F45" s="152">
        <f t="shared" si="14"/>
        <v>808496703</v>
      </c>
      <c r="G45" s="152">
        <f t="shared" si="14"/>
        <v>400428005</v>
      </c>
      <c r="H45" s="152">
        <f t="shared" si="14"/>
        <v>632225285</v>
      </c>
      <c r="I45" s="152">
        <f t="shared" si="7"/>
        <v>1841149993</v>
      </c>
    </row>
    <row r="46" spans="1:12" x14ac:dyDescent="0.2">
      <c r="A46" s="167"/>
      <c r="B46" s="168"/>
      <c r="C46" s="168"/>
      <c r="D46" s="168"/>
      <c r="E46" s="168"/>
      <c r="F46" s="168"/>
      <c r="G46" s="168"/>
      <c r="H46" s="168"/>
      <c r="I46" s="168"/>
    </row>
    <row r="47" spans="1:12" ht="19.5" customHeight="1" thickBot="1" x14ac:dyDescent="0.3">
      <c r="A47" s="202" t="s">
        <v>457</v>
      </c>
      <c r="B47" s="203"/>
      <c r="C47" s="203"/>
      <c r="D47" s="203"/>
      <c r="E47" s="203"/>
      <c r="F47" s="203"/>
      <c r="G47" s="203"/>
      <c r="H47" s="203"/>
      <c r="I47" s="203"/>
    </row>
    <row r="48" spans="1:12" ht="67.5" x14ac:dyDescent="0.2">
      <c r="A48" s="136" t="s">
        <v>0</v>
      </c>
      <c r="B48" s="137" t="s">
        <v>429</v>
      </c>
      <c r="C48" s="137" t="s">
        <v>430</v>
      </c>
      <c r="D48" s="137" t="s">
        <v>431</v>
      </c>
      <c r="E48" s="137" t="s">
        <v>432</v>
      </c>
      <c r="F48" s="206" t="s">
        <v>458</v>
      </c>
      <c r="G48" s="207"/>
      <c r="H48" s="138" t="s">
        <v>459</v>
      </c>
      <c r="I48" s="139" t="s">
        <v>327</v>
      </c>
    </row>
    <row r="49" spans="1:9" ht="33.75" x14ac:dyDescent="0.2">
      <c r="A49" s="140"/>
      <c r="B49" s="141"/>
      <c r="C49" s="142"/>
      <c r="D49" s="142"/>
      <c r="E49" s="143"/>
      <c r="F49" s="144" t="s">
        <v>435</v>
      </c>
      <c r="G49" s="144" t="s">
        <v>436</v>
      </c>
      <c r="H49" s="144" t="s">
        <v>437</v>
      </c>
      <c r="I49" s="145"/>
    </row>
    <row r="50" spans="1:9" ht="26.25" thickBot="1" x14ac:dyDescent="0.25">
      <c r="A50" s="140" t="s">
        <v>438</v>
      </c>
      <c r="B50" s="146">
        <v>21110</v>
      </c>
      <c r="C50" s="147">
        <v>0</v>
      </c>
      <c r="D50" s="146">
        <v>0</v>
      </c>
      <c r="E50" s="148">
        <v>10765</v>
      </c>
      <c r="F50" s="146">
        <v>0</v>
      </c>
      <c r="G50" s="147">
        <v>0</v>
      </c>
      <c r="H50" s="149">
        <v>21110</v>
      </c>
      <c r="I50" s="149">
        <f t="shared" ref="I50:I67" si="15">SUM(F50:H50)</f>
        <v>21110</v>
      </c>
    </row>
    <row r="51" spans="1:9" ht="13.5" thickBot="1" x14ac:dyDescent="0.25">
      <c r="A51" s="151" t="s">
        <v>439</v>
      </c>
      <c r="B51" s="152">
        <f t="shared" ref="B51:H51" si="16">SUM(B50)</f>
        <v>21110</v>
      </c>
      <c r="C51" s="152">
        <f t="shared" si="16"/>
        <v>0</v>
      </c>
      <c r="D51" s="152">
        <f t="shared" si="16"/>
        <v>0</v>
      </c>
      <c r="E51" s="152">
        <f t="shared" si="16"/>
        <v>10765</v>
      </c>
      <c r="F51" s="152">
        <f t="shared" si="16"/>
        <v>0</v>
      </c>
      <c r="G51" s="152">
        <f t="shared" si="16"/>
        <v>0</v>
      </c>
      <c r="H51" s="152">
        <f t="shared" si="16"/>
        <v>21110</v>
      </c>
      <c r="I51" s="152">
        <f t="shared" si="15"/>
        <v>21110</v>
      </c>
    </row>
    <row r="52" spans="1:9" x14ac:dyDescent="0.2">
      <c r="A52" s="153" t="s">
        <v>440</v>
      </c>
      <c r="B52" s="154">
        <f>644316+116118+29908</f>
        <v>790342</v>
      </c>
      <c r="C52" s="155">
        <v>644316</v>
      </c>
      <c r="D52" s="154">
        <v>29908</v>
      </c>
      <c r="E52" s="156">
        <v>49201</v>
      </c>
      <c r="F52" s="154">
        <v>0</v>
      </c>
      <c r="G52" s="155">
        <v>0</v>
      </c>
      <c r="H52" s="157">
        <f>116118+29908+644316</f>
        <v>790342</v>
      </c>
      <c r="I52" s="157">
        <f t="shared" si="15"/>
        <v>790342</v>
      </c>
    </row>
    <row r="53" spans="1:9" ht="25.5" x14ac:dyDescent="0.2">
      <c r="A53" s="159" t="s">
        <v>441</v>
      </c>
      <c r="B53" s="155">
        <f>661720+225461+531992</f>
        <v>1419173</v>
      </c>
      <c r="C53" s="155">
        <v>531992</v>
      </c>
      <c r="D53" s="155">
        <v>225461</v>
      </c>
      <c r="E53" s="160">
        <v>135506</v>
      </c>
      <c r="F53" s="155">
        <v>0</v>
      </c>
      <c r="G53" s="155">
        <v>0</v>
      </c>
      <c r="H53" s="161">
        <f>531992+661720+225461</f>
        <v>1419173</v>
      </c>
      <c r="I53" s="157">
        <f t="shared" si="15"/>
        <v>1419173</v>
      </c>
    </row>
    <row r="54" spans="1:9" ht="13.5" thickBot="1" x14ac:dyDescent="0.25">
      <c r="A54" s="140" t="s">
        <v>442</v>
      </c>
      <c r="B54" s="146">
        <v>0</v>
      </c>
      <c r="C54" s="147">
        <v>0</v>
      </c>
      <c r="D54" s="146">
        <v>0</v>
      </c>
      <c r="E54" s="148">
        <v>0</v>
      </c>
      <c r="F54" s="146">
        <v>0</v>
      </c>
      <c r="G54" s="147">
        <v>0</v>
      </c>
      <c r="H54" s="149"/>
      <c r="I54" s="162">
        <f t="shared" si="15"/>
        <v>0</v>
      </c>
    </row>
    <row r="55" spans="1:9" ht="26.25" thickBot="1" x14ac:dyDescent="0.25">
      <c r="A55" s="151" t="s">
        <v>443</v>
      </c>
      <c r="B55" s="152">
        <f t="shared" ref="B55:H55" si="17">SUM(B52:B54)</f>
        <v>2209515</v>
      </c>
      <c r="C55" s="152">
        <f t="shared" si="17"/>
        <v>1176308</v>
      </c>
      <c r="D55" s="152">
        <f t="shared" si="17"/>
        <v>255369</v>
      </c>
      <c r="E55" s="152">
        <f t="shared" si="17"/>
        <v>184707</v>
      </c>
      <c r="F55" s="152">
        <f t="shared" si="17"/>
        <v>0</v>
      </c>
      <c r="G55" s="152">
        <f t="shared" si="17"/>
        <v>0</v>
      </c>
      <c r="H55" s="152">
        <f t="shared" si="17"/>
        <v>2209515</v>
      </c>
      <c r="I55" s="152">
        <f t="shared" si="15"/>
        <v>2209515</v>
      </c>
    </row>
    <row r="56" spans="1:9" x14ac:dyDescent="0.2">
      <c r="A56" s="163" t="s">
        <v>444</v>
      </c>
      <c r="B56" s="146">
        <v>0</v>
      </c>
      <c r="C56" s="146">
        <v>0</v>
      </c>
      <c r="D56" s="146">
        <v>0</v>
      </c>
      <c r="E56" s="164">
        <v>0</v>
      </c>
      <c r="F56" s="146">
        <v>0</v>
      </c>
      <c r="G56" s="146">
        <v>0</v>
      </c>
      <c r="H56" s="149">
        <v>0</v>
      </c>
      <c r="I56" s="162">
        <f t="shared" si="15"/>
        <v>0</v>
      </c>
    </row>
    <row r="57" spans="1:9" x14ac:dyDescent="0.2">
      <c r="A57" s="153" t="s">
        <v>445</v>
      </c>
      <c r="B57" s="155">
        <v>0</v>
      </c>
      <c r="C57" s="155">
        <v>0</v>
      </c>
      <c r="D57" s="155">
        <v>0</v>
      </c>
      <c r="E57" s="156">
        <v>0</v>
      </c>
      <c r="F57" s="155">
        <v>0</v>
      </c>
      <c r="G57" s="155">
        <v>0</v>
      </c>
      <c r="H57" s="161">
        <v>0</v>
      </c>
      <c r="I57" s="157">
        <f t="shared" si="15"/>
        <v>0</v>
      </c>
    </row>
    <row r="58" spans="1:9" x14ac:dyDescent="0.2">
      <c r="A58" s="140" t="s">
        <v>446</v>
      </c>
      <c r="B58" s="146">
        <v>0</v>
      </c>
      <c r="C58" s="146">
        <v>0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162">
        <f t="shared" si="15"/>
        <v>0</v>
      </c>
    </row>
    <row r="59" spans="1:9" x14ac:dyDescent="0.2">
      <c r="A59" s="165" t="s">
        <v>447</v>
      </c>
      <c r="B59" s="146">
        <v>0</v>
      </c>
      <c r="C59" s="146">
        <v>0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162">
        <f t="shared" si="15"/>
        <v>0</v>
      </c>
    </row>
    <row r="60" spans="1:9" ht="13.5" thickBot="1" x14ac:dyDescent="0.25">
      <c r="A60" s="166" t="s">
        <v>448</v>
      </c>
      <c r="B60" s="146">
        <v>0</v>
      </c>
      <c r="C60" s="146">
        <v>0</v>
      </c>
      <c r="D60" s="146">
        <v>0</v>
      </c>
      <c r="E60" s="146">
        <v>0</v>
      </c>
      <c r="F60" s="146">
        <v>0</v>
      </c>
      <c r="G60" s="146">
        <v>0</v>
      </c>
      <c r="H60" s="149">
        <v>0</v>
      </c>
      <c r="I60" s="162">
        <f t="shared" si="15"/>
        <v>0</v>
      </c>
    </row>
    <row r="61" spans="1:9" ht="26.25" thickBot="1" x14ac:dyDescent="0.25">
      <c r="A61" s="151" t="s">
        <v>449</v>
      </c>
      <c r="B61" s="152">
        <f t="shared" ref="B61:H61" si="18">SUM(B56:B60)</f>
        <v>0</v>
      </c>
      <c r="C61" s="152">
        <f t="shared" si="18"/>
        <v>0</v>
      </c>
      <c r="D61" s="152">
        <f t="shared" si="18"/>
        <v>0</v>
      </c>
      <c r="E61" s="152">
        <f t="shared" si="18"/>
        <v>0</v>
      </c>
      <c r="F61" s="152">
        <f t="shared" si="18"/>
        <v>0</v>
      </c>
      <c r="G61" s="152">
        <f t="shared" si="18"/>
        <v>0</v>
      </c>
      <c r="H61" s="152">
        <f t="shared" si="18"/>
        <v>0</v>
      </c>
      <c r="I61" s="152">
        <f t="shared" si="15"/>
        <v>0</v>
      </c>
    </row>
    <row r="62" spans="1:9" ht="13.5" thickBot="1" x14ac:dyDescent="0.25">
      <c r="A62" s="163" t="s">
        <v>450</v>
      </c>
      <c r="B62" s="146">
        <v>0</v>
      </c>
      <c r="C62" s="146">
        <v>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162">
        <f t="shared" si="15"/>
        <v>0</v>
      </c>
    </row>
    <row r="63" spans="1:9" x14ac:dyDescent="0.2">
      <c r="A63" s="163" t="s">
        <v>451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162">
        <f t="shared" si="15"/>
        <v>0</v>
      </c>
    </row>
    <row r="64" spans="1:9" ht="25.5" x14ac:dyDescent="0.2">
      <c r="A64" s="140" t="s">
        <v>452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146">
        <v>0</v>
      </c>
      <c r="H64" s="146">
        <v>0</v>
      </c>
      <c r="I64" s="162">
        <f t="shared" si="15"/>
        <v>0</v>
      </c>
    </row>
    <row r="65" spans="1:9" ht="26.25" thickBot="1" x14ac:dyDescent="0.25">
      <c r="A65" s="166" t="s">
        <v>453</v>
      </c>
      <c r="B65" s="146">
        <v>0</v>
      </c>
      <c r="C65" s="146">
        <v>0</v>
      </c>
      <c r="D65" s="146">
        <v>0</v>
      </c>
      <c r="E65" s="146">
        <v>0</v>
      </c>
      <c r="F65" s="146">
        <v>0</v>
      </c>
      <c r="G65" s="146">
        <v>0</v>
      </c>
      <c r="H65" s="146">
        <v>0</v>
      </c>
      <c r="I65" s="162">
        <f t="shared" si="15"/>
        <v>0</v>
      </c>
    </row>
    <row r="66" spans="1:9" ht="26.25" thickBot="1" x14ac:dyDescent="0.25">
      <c r="A66" s="151" t="s">
        <v>454</v>
      </c>
      <c r="B66" s="152">
        <f t="shared" ref="B66:H66" si="19">SUM(B63:B65)</f>
        <v>0</v>
      </c>
      <c r="C66" s="152">
        <f t="shared" si="19"/>
        <v>0</v>
      </c>
      <c r="D66" s="152">
        <f>SUM(D63:D65)</f>
        <v>0</v>
      </c>
      <c r="E66" s="152">
        <f t="shared" si="19"/>
        <v>0</v>
      </c>
      <c r="F66" s="152">
        <f t="shared" si="19"/>
        <v>0</v>
      </c>
      <c r="G66" s="152">
        <f t="shared" si="19"/>
        <v>0</v>
      </c>
      <c r="H66" s="152">
        <f t="shared" si="19"/>
        <v>0</v>
      </c>
      <c r="I66" s="152">
        <f t="shared" si="15"/>
        <v>0</v>
      </c>
    </row>
    <row r="67" spans="1:9" ht="26.25" thickBot="1" x14ac:dyDescent="0.25">
      <c r="A67" s="151" t="s">
        <v>455</v>
      </c>
      <c r="B67" s="152">
        <f t="shared" ref="B67:H67" si="20">SUM(B66,B61,B55,B51)</f>
        <v>2230625</v>
      </c>
      <c r="C67" s="152">
        <f t="shared" si="20"/>
        <v>1176308</v>
      </c>
      <c r="D67" s="152">
        <f>SUM(D66,D61,D55,D51)</f>
        <v>255369</v>
      </c>
      <c r="E67" s="152">
        <f t="shared" si="20"/>
        <v>195472</v>
      </c>
      <c r="F67" s="152">
        <f t="shared" si="20"/>
        <v>0</v>
      </c>
      <c r="G67" s="152">
        <f t="shared" si="20"/>
        <v>0</v>
      </c>
      <c r="H67" s="152">
        <f t="shared" si="20"/>
        <v>2230625</v>
      </c>
      <c r="I67" s="152">
        <f t="shared" si="15"/>
        <v>2230625</v>
      </c>
    </row>
    <row r="69" spans="1:9" ht="31.5" hidden="1" customHeight="1" thickBot="1" x14ac:dyDescent="0.3">
      <c r="A69" s="202" t="s">
        <v>460</v>
      </c>
      <c r="B69" s="203"/>
      <c r="C69" s="203"/>
      <c r="D69" s="203"/>
      <c r="E69" s="203"/>
      <c r="F69" s="203"/>
      <c r="G69" s="203"/>
      <c r="H69" s="203"/>
      <c r="I69" s="203"/>
    </row>
    <row r="70" spans="1:9" ht="67.5" hidden="1" x14ac:dyDescent="0.2">
      <c r="A70" s="136" t="s">
        <v>0</v>
      </c>
      <c r="B70" s="137" t="s">
        <v>429</v>
      </c>
      <c r="C70" s="137" t="s">
        <v>430</v>
      </c>
      <c r="D70" s="137" t="s">
        <v>431</v>
      </c>
      <c r="E70" s="137" t="s">
        <v>432</v>
      </c>
      <c r="F70" s="206" t="s">
        <v>433</v>
      </c>
      <c r="G70" s="207"/>
      <c r="H70" s="138" t="s">
        <v>434</v>
      </c>
      <c r="I70" s="139" t="s">
        <v>327</v>
      </c>
    </row>
    <row r="71" spans="1:9" ht="33.75" hidden="1" x14ac:dyDescent="0.2">
      <c r="A71" s="140"/>
      <c r="B71" s="141"/>
      <c r="C71" s="142"/>
      <c r="D71" s="142"/>
      <c r="E71" s="143"/>
      <c r="F71" s="144" t="s">
        <v>435</v>
      </c>
      <c r="G71" s="144" t="s">
        <v>436</v>
      </c>
      <c r="H71" s="144" t="s">
        <v>437</v>
      </c>
      <c r="I71" s="145"/>
    </row>
    <row r="72" spans="1:9" ht="26.25" hidden="1" thickBot="1" x14ac:dyDescent="0.25">
      <c r="A72" s="140" t="s">
        <v>438</v>
      </c>
      <c r="B72" s="146">
        <v>44551</v>
      </c>
      <c r="C72" s="147"/>
      <c r="D72" s="146">
        <v>44551</v>
      </c>
      <c r="E72" s="148">
        <v>0</v>
      </c>
      <c r="F72" s="146">
        <v>0</v>
      </c>
      <c r="G72" s="147">
        <v>0</v>
      </c>
      <c r="H72" s="149">
        <v>44551</v>
      </c>
      <c r="I72" s="149">
        <f t="shared" ref="I72:I89" si="21">SUM(F72:H72)</f>
        <v>44551</v>
      </c>
    </row>
    <row r="73" spans="1:9" ht="13.5" hidden="1" thickBot="1" x14ac:dyDescent="0.25">
      <c r="A73" s="151" t="s">
        <v>439</v>
      </c>
      <c r="B73" s="152">
        <f t="shared" ref="B73:H73" si="22">SUM(B72)</f>
        <v>44551</v>
      </c>
      <c r="C73" s="152">
        <f t="shared" si="22"/>
        <v>0</v>
      </c>
      <c r="D73" s="152">
        <f>SUM(D72)</f>
        <v>44551</v>
      </c>
      <c r="E73" s="152">
        <f t="shared" si="22"/>
        <v>0</v>
      </c>
      <c r="F73" s="152">
        <f t="shared" si="22"/>
        <v>0</v>
      </c>
      <c r="G73" s="152">
        <f t="shared" si="22"/>
        <v>0</v>
      </c>
      <c r="H73" s="152">
        <f t="shared" si="22"/>
        <v>44551</v>
      </c>
      <c r="I73" s="152">
        <f t="shared" si="21"/>
        <v>44551</v>
      </c>
    </row>
    <row r="74" spans="1:9" hidden="1" x14ac:dyDescent="0.2">
      <c r="A74" s="153" t="s">
        <v>440</v>
      </c>
      <c r="B74" s="154">
        <f>664000+74372</f>
        <v>738372</v>
      </c>
      <c r="C74" s="155">
        <v>664000</v>
      </c>
      <c r="D74" s="154">
        <v>74372</v>
      </c>
      <c r="E74" s="156">
        <v>0</v>
      </c>
      <c r="F74" s="154">
        <v>0</v>
      </c>
      <c r="G74" s="155">
        <v>0</v>
      </c>
      <c r="H74" s="157">
        <v>738372</v>
      </c>
      <c r="I74" s="157">
        <f t="shared" si="21"/>
        <v>738372</v>
      </c>
    </row>
    <row r="75" spans="1:9" ht="25.5" hidden="1" x14ac:dyDescent="0.2">
      <c r="A75" s="159" t="s">
        <v>441</v>
      </c>
      <c r="B75" s="155">
        <f>1619456+1958680</f>
        <v>3578136</v>
      </c>
      <c r="C75" s="155">
        <v>0</v>
      </c>
      <c r="D75" s="155">
        <v>1619456</v>
      </c>
      <c r="E75" s="160">
        <v>730055</v>
      </c>
      <c r="F75" s="155">
        <v>0</v>
      </c>
      <c r="G75" s="155">
        <v>0</v>
      </c>
      <c r="H75" s="161">
        <f>1958680+1619456</f>
        <v>3578136</v>
      </c>
      <c r="I75" s="157">
        <f t="shared" si="21"/>
        <v>3578136</v>
      </c>
    </row>
    <row r="76" spans="1:9" ht="13.5" hidden="1" thickBot="1" x14ac:dyDescent="0.25">
      <c r="A76" s="140" t="s">
        <v>442</v>
      </c>
      <c r="B76" s="146">
        <v>0</v>
      </c>
      <c r="C76" s="147">
        <v>0</v>
      </c>
      <c r="D76" s="146">
        <v>0</v>
      </c>
      <c r="E76" s="148">
        <v>0</v>
      </c>
      <c r="F76" s="146">
        <v>0</v>
      </c>
      <c r="G76" s="147">
        <v>0</v>
      </c>
      <c r="H76" s="149"/>
      <c r="I76" s="162">
        <f t="shared" si="21"/>
        <v>0</v>
      </c>
    </row>
    <row r="77" spans="1:9" ht="26.25" hidden="1" thickBot="1" x14ac:dyDescent="0.25">
      <c r="A77" s="151" t="s">
        <v>443</v>
      </c>
      <c r="B77" s="152">
        <f t="shared" ref="B77:H77" si="23">SUM(B74:B76)</f>
        <v>4316508</v>
      </c>
      <c r="C77" s="152">
        <f t="shared" si="23"/>
        <v>664000</v>
      </c>
      <c r="D77" s="152">
        <f>SUM(D74:D76)</f>
        <v>1693828</v>
      </c>
      <c r="E77" s="152">
        <f t="shared" si="23"/>
        <v>730055</v>
      </c>
      <c r="F77" s="152">
        <f t="shared" si="23"/>
        <v>0</v>
      </c>
      <c r="G77" s="152">
        <f t="shared" si="23"/>
        <v>0</v>
      </c>
      <c r="H77" s="152">
        <f t="shared" si="23"/>
        <v>4316508</v>
      </c>
      <c r="I77" s="152">
        <f t="shared" si="21"/>
        <v>4316508</v>
      </c>
    </row>
    <row r="78" spans="1:9" hidden="1" x14ac:dyDescent="0.2">
      <c r="A78" s="163" t="s">
        <v>444</v>
      </c>
      <c r="B78" s="146">
        <v>0</v>
      </c>
      <c r="C78" s="146">
        <v>0</v>
      </c>
      <c r="D78" s="146">
        <v>0</v>
      </c>
      <c r="E78" s="164">
        <v>0</v>
      </c>
      <c r="F78" s="146">
        <v>0</v>
      </c>
      <c r="G78" s="146">
        <v>0</v>
      </c>
      <c r="H78" s="149">
        <v>0</v>
      </c>
      <c r="I78" s="162">
        <f t="shared" si="21"/>
        <v>0</v>
      </c>
    </row>
    <row r="79" spans="1:9" hidden="1" x14ac:dyDescent="0.2">
      <c r="A79" s="153" t="s">
        <v>445</v>
      </c>
      <c r="B79" s="155">
        <v>0</v>
      </c>
      <c r="C79" s="155">
        <v>0</v>
      </c>
      <c r="D79" s="155">
        <v>0</v>
      </c>
      <c r="E79" s="156">
        <v>0</v>
      </c>
      <c r="F79" s="155">
        <v>0</v>
      </c>
      <c r="G79" s="155">
        <v>0</v>
      </c>
      <c r="H79" s="161">
        <v>0</v>
      </c>
      <c r="I79" s="157">
        <f t="shared" si="21"/>
        <v>0</v>
      </c>
    </row>
    <row r="80" spans="1:9" hidden="1" x14ac:dyDescent="0.2">
      <c r="A80" s="140" t="s">
        <v>446</v>
      </c>
      <c r="B80" s="146">
        <v>0</v>
      </c>
      <c r="C80" s="146">
        <v>0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162">
        <f t="shared" si="21"/>
        <v>0</v>
      </c>
    </row>
    <row r="81" spans="1:9" hidden="1" x14ac:dyDescent="0.2">
      <c r="A81" s="165" t="s">
        <v>447</v>
      </c>
      <c r="B81" s="146">
        <v>0</v>
      </c>
      <c r="C81" s="146">
        <v>0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162">
        <f t="shared" si="21"/>
        <v>0</v>
      </c>
    </row>
    <row r="82" spans="1:9" ht="13.5" hidden="1" thickBot="1" x14ac:dyDescent="0.25">
      <c r="A82" s="166" t="s">
        <v>448</v>
      </c>
      <c r="B82" s="146">
        <v>0</v>
      </c>
      <c r="C82" s="146">
        <v>0</v>
      </c>
      <c r="D82" s="146">
        <v>0</v>
      </c>
      <c r="E82" s="146">
        <v>0</v>
      </c>
      <c r="F82" s="146">
        <v>0</v>
      </c>
      <c r="G82" s="146">
        <v>0</v>
      </c>
      <c r="H82" s="149">
        <v>0</v>
      </c>
      <c r="I82" s="162">
        <f t="shared" si="21"/>
        <v>0</v>
      </c>
    </row>
    <row r="83" spans="1:9" ht="26.25" hidden="1" thickBot="1" x14ac:dyDescent="0.25">
      <c r="A83" s="151" t="s">
        <v>449</v>
      </c>
      <c r="B83" s="152">
        <f t="shared" ref="B83:H83" si="24">SUM(B78:B82)</f>
        <v>0</v>
      </c>
      <c r="C83" s="152">
        <f t="shared" si="24"/>
        <v>0</v>
      </c>
      <c r="D83" s="152">
        <f>SUM(D78:D82)</f>
        <v>0</v>
      </c>
      <c r="E83" s="152">
        <f t="shared" si="24"/>
        <v>0</v>
      </c>
      <c r="F83" s="152">
        <f t="shared" si="24"/>
        <v>0</v>
      </c>
      <c r="G83" s="152">
        <f t="shared" si="24"/>
        <v>0</v>
      </c>
      <c r="H83" s="152">
        <f t="shared" si="24"/>
        <v>0</v>
      </c>
      <c r="I83" s="152">
        <f t="shared" si="21"/>
        <v>0</v>
      </c>
    </row>
    <row r="84" spans="1:9" ht="13.5" hidden="1" thickBot="1" x14ac:dyDescent="0.25">
      <c r="A84" s="163" t="s">
        <v>450</v>
      </c>
      <c r="B84" s="146">
        <v>0</v>
      </c>
      <c r="C84" s="146">
        <v>0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162"/>
    </row>
    <row r="85" spans="1:9" hidden="1" x14ac:dyDescent="0.2">
      <c r="A85" s="163" t="s">
        <v>451</v>
      </c>
      <c r="B85" s="146">
        <v>0</v>
      </c>
      <c r="C85" s="146">
        <v>0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162">
        <f t="shared" si="21"/>
        <v>0</v>
      </c>
    </row>
    <row r="86" spans="1:9" ht="25.5" hidden="1" x14ac:dyDescent="0.2">
      <c r="A86" s="140" t="s">
        <v>452</v>
      </c>
      <c r="B86" s="146">
        <v>0</v>
      </c>
      <c r="C86" s="146">
        <v>0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162">
        <f t="shared" si="21"/>
        <v>0</v>
      </c>
    </row>
    <row r="87" spans="1:9" ht="26.25" hidden="1" thickBot="1" x14ac:dyDescent="0.25">
      <c r="A87" s="166" t="s">
        <v>453</v>
      </c>
      <c r="B87" s="146">
        <v>0</v>
      </c>
      <c r="C87" s="146">
        <v>0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162">
        <f t="shared" si="21"/>
        <v>0</v>
      </c>
    </row>
    <row r="88" spans="1:9" ht="26.25" hidden="1" thickBot="1" x14ac:dyDescent="0.25">
      <c r="A88" s="151" t="s">
        <v>454</v>
      </c>
      <c r="B88" s="152">
        <f t="shared" ref="B88:H88" si="25">SUM(B85:B87)</f>
        <v>0</v>
      </c>
      <c r="C88" s="152">
        <f t="shared" si="25"/>
        <v>0</v>
      </c>
      <c r="D88" s="152">
        <f>SUM(D85:D87)</f>
        <v>0</v>
      </c>
      <c r="E88" s="152">
        <f t="shared" si="25"/>
        <v>0</v>
      </c>
      <c r="F88" s="152">
        <f t="shared" si="25"/>
        <v>0</v>
      </c>
      <c r="G88" s="152">
        <f t="shared" si="25"/>
        <v>0</v>
      </c>
      <c r="H88" s="152">
        <f t="shared" si="25"/>
        <v>0</v>
      </c>
      <c r="I88" s="152">
        <f t="shared" si="21"/>
        <v>0</v>
      </c>
    </row>
    <row r="89" spans="1:9" ht="26.25" hidden="1" thickBot="1" x14ac:dyDescent="0.25">
      <c r="A89" s="151" t="s">
        <v>455</v>
      </c>
      <c r="B89" s="152">
        <f t="shared" ref="B89:H89" si="26">SUM(B88,B83,B77,B73)</f>
        <v>4361059</v>
      </c>
      <c r="C89" s="152">
        <f t="shared" si="26"/>
        <v>664000</v>
      </c>
      <c r="D89" s="152">
        <f>SUM(D88,D83,D77,D73)</f>
        <v>1738379</v>
      </c>
      <c r="E89" s="152">
        <f t="shared" si="26"/>
        <v>730055</v>
      </c>
      <c r="F89" s="152">
        <f t="shared" si="26"/>
        <v>0</v>
      </c>
      <c r="G89" s="152">
        <f t="shared" si="26"/>
        <v>0</v>
      </c>
      <c r="H89" s="152">
        <f t="shared" si="26"/>
        <v>4361059</v>
      </c>
      <c r="I89" s="152">
        <f t="shared" si="21"/>
        <v>4361059</v>
      </c>
    </row>
    <row r="90" spans="1:9" hidden="1" x14ac:dyDescent="0.2"/>
    <row r="91" spans="1:9" hidden="1" x14ac:dyDescent="0.2"/>
    <row r="92" spans="1:9" ht="14.25" hidden="1" thickBot="1" x14ac:dyDescent="0.3">
      <c r="A92" s="202" t="s">
        <v>461</v>
      </c>
      <c r="B92" s="203"/>
      <c r="C92" s="203"/>
      <c r="D92" s="203"/>
      <c r="E92" s="203"/>
      <c r="F92" s="203"/>
      <c r="G92" s="203"/>
      <c r="H92" s="203"/>
      <c r="I92" s="203"/>
    </row>
    <row r="93" spans="1:9" ht="67.5" hidden="1" x14ac:dyDescent="0.2">
      <c r="A93" s="136" t="s">
        <v>0</v>
      </c>
      <c r="B93" s="137" t="s">
        <v>429</v>
      </c>
      <c r="C93" s="137" t="s">
        <v>430</v>
      </c>
      <c r="D93" s="137" t="s">
        <v>431</v>
      </c>
      <c r="E93" s="137" t="s">
        <v>432</v>
      </c>
      <c r="F93" s="206" t="s">
        <v>433</v>
      </c>
      <c r="G93" s="207"/>
      <c r="H93" s="138" t="s">
        <v>434</v>
      </c>
      <c r="I93" s="139" t="s">
        <v>327</v>
      </c>
    </row>
    <row r="94" spans="1:9" ht="33.75" hidden="1" x14ac:dyDescent="0.2">
      <c r="A94" s="140"/>
      <c r="B94" s="141"/>
      <c r="C94" s="142"/>
      <c r="D94" s="142"/>
      <c r="E94" s="143"/>
      <c r="F94" s="144" t="s">
        <v>435</v>
      </c>
      <c r="G94" s="144" t="s">
        <v>436</v>
      </c>
      <c r="H94" s="144" t="s">
        <v>437</v>
      </c>
      <c r="I94" s="145"/>
    </row>
    <row r="95" spans="1:9" ht="26.25" hidden="1" thickBot="1" x14ac:dyDescent="0.25">
      <c r="A95" s="140" t="s">
        <v>438</v>
      </c>
      <c r="B95" s="146">
        <v>0</v>
      </c>
      <c r="C95" s="147">
        <v>0</v>
      </c>
      <c r="D95" s="146">
        <v>0</v>
      </c>
      <c r="E95" s="148">
        <v>0</v>
      </c>
      <c r="F95" s="146">
        <v>0</v>
      </c>
      <c r="G95" s="147">
        <v>0</v>
      </c>
      <c r="H95" s="149">
        <v>0</v>
      </c>
      <c r="I95" s="149">
        <f t="shared" ref="I95:I106" si="27">SUM(F95:H95)</f>
        <v>0</v>
      </c>
    </row>
    <row r="96" spans="1:9" ht="13.5" hidden="1" thickBot="1" x14ac:dyDescent="0.25">
      <c r="A96" s="151" t="s">
        <v>439</v>
      </c>
      <c r="B96" s="152">
        <f t="shared" ref="B96:H96" si="28">SUM(B95)</f>
        <v>0</v>
      </c>
      <c r="C96" s="152">
        <f t="shared" si="28"/>
        <v>0</v>
      </c>
      <c r="D96" s="152">
        <f t="shared" si="28"/>
        <v>0</v>
      </c>
      <c r="E96" s="152">
        <f t="shared" si="28"/>
        <v>0</v>
      </c>
      <c r="F96" s="152">
        <f t="shared" si="28"/>
        <v>0</v>
      </c>
      <c r="G96" s="152">
        <f t="shared" si="28"/>
        <v>0</v>
      </c>
      <c r="H96" s="152">
        <f t="shared" si="28"/>
        <v>0</v>
      </c>
      <c r="I96" s="152">
        <f t="shared" si="27"/>
        <v>0</v>
      </c>
    </row>
    <row r="97" spans="1:9" hidden="1" x14ac:dyDescent="0.2">
      <c r="A97" s="153" t="s">
        <v>440</v>
      </c>
      <c r="B97" s="154">
        <v>778150</v>
      </c>
      <c r="C97" s="155">
        <v>778150</v>
      </c>
      <c r="D97" s="154">
        <v>0</v>
      </c>
      <c r="E97" s="156">
        <v>0</v>
      </c>
      <c r="F97" s="154">
        <v>0</v>
      </c>
      <c r="G97" s="155">
        <v>0</v>
      </c>
      <c r="H97" s="157">
        <v>778150</v>
      </c>
      <c r="I97" s="157">
        <f t="shared" si="27"/>
        <v>778150</v>
      </c>
    </row>
    <row r="98" spans="1:9" ht="25.5" hidden="1" x14ac:dyDescent="0.2">
      <c r="A98" s="159" t="s">
        <v>441</v>
      </c>
      <c r="B98" s="155">
        <f>12059741</f>
        <v>12059741</v>
      </c>
      <c r="C98" s="155">
        <v>0</v>
      </c>
      <c r="D98" s="155">
        <v>0</v>
      </c>
      <c r="E98" s="160">
        <v>6210105</v>
      </c>
      <c r="F98" s="155">
        <v>0</v>
      </c>
      <c r="G98" s="155">
        <v>0</v>
      </c>
      <c r="H98" s="161">
        <v>12059741</v>
      </c>
      <c r="I98" s="157">
        <f t="shared" si="27"/>
        <v>12059741</v>
      </c>
    </row>
    <row r="99" spans="1:9" ht="13.5" hidden="1" thickBot="1" x14ac:dyDescent="0.25">
      <c r="A99" s="140" t="s">
        <v>442</v>
      </c>
      <c r="B99" s="146">
        <v>0</v>
      </c>
      <c r="C99" s="147">
        <v>0</v>
      </c>
      <c r="D99" s="146">
        <v>0</v>
      </c>
      <c r="E99" s="148">
        <v>0</v>
      </c>
      <c r="F99" s="146">
        <v>0</v>
      </c>
      <c r="G99" s="147">
        <v>0</v>
      </c>
      <c r="H99" s="149">
        <v>0</v>
      </c>
      <c r="I99" s="162">
        <f t="shared" si="27"/>
        <v>0</v>
      </c>
    </row>
    <row r="100" spans="1:9" ht="26.25" hidden="1" thickBot="1" x14ac:dyDescent="0.25">
      <c r="A100" s="151" t="s">
        <v>443</v>
      </c>
      <c r="B100" s="152">
        <f t="shared" ref="B100:H100" si="29">SUM(B97:B99)</f>
        <v>12837891</v>
      </c>
      <c r="C100" s="152">
        <f t="shared" si="29"/>
        <v>778150</v>
      </c>
      <c r="D100" s="152">
        <f t="shared" si="29"/>
        <v>0</v>
      </c>
      <c r="E100" s="152">
        <f t="shared" si="29"/>
        <v>6210105</v>
      </c>
      <c r="F100" s="152">
        <f t="shared" si="29"/>
        <v>0</v>
      </c>
      <c r="G100" s="152">
        <f t="shared" si="29"/>
        <v>0</v>
      </c>
      <c r="H100" s="152">
        <f t="shared" si="29"/>
        <v>12837891</v>
      </c>
      <c r="I100" s="152">
        <f t="shared" si="27"/>
        <v>12837891</v>
      </c>
    </row>
    <row r="101" spans="1:9" hidden="1" x14ac:dyDescent="0.2">
      <c r="A101" s="163" t="s">
        <v>444</v>
      </c>
      <c r="B101" s="146">
        <v>0</v>
      </c>
      <c r="C101" s="146">
        <v>0</v>
      </c>
      <c r="D101" s="146">
        <v>0</v>
      </c>
      <c r="E101" s="164">
        <v>0</v>
      </c>
      <c r="F101" s="146">
        <v>0</v>
      </c>
      <c r="G101" s="146">
        <v>0</v>
      </c>
      <c r="H101" s="149">
        <v>0</v>
      </c>
      <c r="I101" s="162">
        <f t="shared" si="27"/>
        <v>0</v>
      </c>
    </row>
    <row r="102" spans="1:9" hidden="1" x14ac:dyDescent="0.2">
      <c r="A102" s="153" t="s">
        <v>445</v>
      </c>
      <c r="B102" s="155">
        <v>3330105</v>
      </c>
      <c r="C102" s="155">
        <v>0</v>
      </c>
      <c r="D102" s="155">
        <v>0</v>
      </c>
      <c r="E102" s="156">
        <v>3100878</v>
      </c>
      <c r="F102" s="155">
        <v>1154125</v>
      </c>
      <c r="G102" s="155">
        <v>2175980</v>
      </c>
      <c r="H102" s="161">
        <v>0</v>
      </c>
      <c r="I102" s="157">
        <f t="shared" si="27"/>
        <v>3330105</v>
      </c>
    </row>
    <row r="103" spans="1:9" hidden="1" x14ac:dyDescent="0.2">
      <c r="A103" s="140" t="s">
        <v>446</v>
      </c>
      <c r="B103" s="146">
        <v>1224556</v>
      </c>
      <c r="C103" s="146">
        <v>0</v>
      </c>
      <c r="D103" s="146">
        <v>0</v>
      </c>
      <c r="E103" s="146">
        <v>1146047</v>
      </c>
      <c r="F103" s="146">
        <v>0</v>
      </c>
      <c r="G103" s="146">
        <v>0</v>
      </c>
      <c r="H103" s="146">
        <v>1224556</v>
      </c>
      <c r="I103" s="162">
        <f t="shared" si="27"/>
        <v>1224556</v>
      </c>
    </row>
    <row r="104" spans="1:9" hidden="1" x14ac:dyDescent="0.2">
      <c r="A104" s="165" t="s">
        <v>447</v>
      </c>
      <c r="B104" s="146">
        <v>0</v>
      </c>
      <c r="C104" s="146">
        <v>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162">
        <f t="shared" si="27"/>
        <v>0</v>
      </c>
    </row>
    <row r="105" spans="1:9" ht="13.5" hidden="1" thickBot="1" x14ac:dyDescent="0.25">
      <c r="A105" s="166" t="s">
        <v>448</v>
      </c>
      <c r="B105" s="146">
        <v>0</v>
      </c>
      <c r="C105" s="146">
        <v>0</v>
      </c>
      <c r="D105" s="146">
        <v>0</v>
      </c>
      <c r="E105" s="146">
        <v>0</v>
      </c>
      <c r="F105" s="146">
        <v>0</v>
      </c>
      <c r="G105" s="146">
        <v>0</v>
      </c>
      <c r="H105" s="149">
        <v>0</v>
      </c>
      <c r="I105" s="162">
        <f t="shared" si="27"/>
        <v>0</v>
      </c>
    </row>
    <row r="106" spans="1:9" ht="26.25" hidden="1" thickBot="1" x14ac:dyDescent="0.25">
      <c r="A106" s="151" t="s">
        <v>449</v>
      </c>
      <c r="B106" s="152">
        <f t="shared" ref="B106:H106" si="30">SUM(B101:B105)</f>
        <v>4554661</v>
      </c>
      <c r="C106" s="152">
        <f t="shared" si="30"/>
        <v>0</v>
      </c>
      <c r="D106" s="152">
        <f t="shared" si="30"/>
        <v>0</v>
      </c>
      <c r="E106" s="152">
        <f t="shared" si="30"/>
        <v>4246925</v>
      </c>
      <c r="F106" s="152">
        <f t="shared" si="30"/>
        <v>1154125</v>
      </c>
      <c r="G106" s="152">
        <f t="shared" si="30"/>
        <v>2175980</v>
      </c>
      <c r="H106" s="152">
        <f t="shared" si="30"/>
        <v>1224556</v>
      </c>
      <c r="I106" s="152">
        <f t="shared" si="27"/>
        <v>4554661</v>
      </c>
    </row>
    <row r="107" spans="1:9" ht="13.5" hidden="1" thickBot="1" x14ac:dyDescent="0.25">
      <c r="A107" s="163" t="s">
        <v>450</v>
      </c>
      <c r="B107" s="146">
        <v>0</v>
      </c>
      <c r="C107" s="146">
        <v>0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162"/>
    </row>
    <row r="108" spans="1:9" hidden="1" x14ac:dyDescent="0.2">
      <c r="A108" s="163" t="s">
        <v>451</v>
      </c>
      <c r="B108" s="146">
        <v>0</v>
      </c>
      <c r="C108" s="146">
        <v>0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162">
        <f>SUM(F108:H108)</f>
        <v>0</v>
      </c>
    </row>
    <row r="109" spans="1:9" ht="25.5" hidden="1" x14ac:dyDescent="0.2">
      <c r="A109" s="140" t="s">
        <v>452</v>
      </c>
      <c r="B109" s="146">
        <v>0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162">
        <f>SUM(F109:H109)</f>
        <v>0</v>
      </c>
    </row>
    <row r="110" spans="1:9" ht="26.25" hidden="1" thickBot="1" x14ac:dyDescent="0.25">
      <c r="A110" s="166" t="s">
        <v>453</v>
      </c>
      <c r="B110" s="146">
        <v>0</v>
      </c>
      <c r="C110" s="146">
        <v>0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162">
        <f>SUM(F110:H110)</f>
        <v>0</v>
      </c>
    </row>
    <row r="111" spans="1:9" ht="26.25" hidden="1" thickBot="1" x14ac:dyDescent="0.25">
      <c r="A111" s="151" t="s">
        <v>454</v>
      </c>
      <c r="B111" s="152">
        <f t="shared" ref="B111:H111" si="31">SUM(B108:B110)</f>
        <v>0</v>
      </c>
      <c r="C111" s="152">
        <f t="shared" si="31"/>
        <v>0</v>
      </c>
      <c r="D111" s="152">
        <f t="shared" si="31"/>
        <v>0</v>
      </c>
      <c r="E111" s="152">
        <f t="shared" si="31"/>
        <v>0</v>
      </c>
      <c r="F111" s="152">
        <f t="shared" si="31"/>
        <v>0</v>
      </c>
      <c r="G111" s="152">
        <f t="shared" si="31"/>
        <v>0</v>
      </c>
      <c r="H111" s="152">
        <f t="shared" si="31"/>
        <v>0</v>
      </c>
      <c r="I111" s="152">
        <f>SUM(F111:H111)</f>
        <v>0</v>
      </c>
    </row>
    <row r="112" spans="1:9" ht="26.25" hidden="1" thickBot="1" x14ac:dyDescent="0.25">
      <c r="A112" s="151" t="s">
        <v>455</v>
      </c>
      <c r="B112" s="152">
        <f t="shared" ref="B112:H112" si="32">SUM(B111,B106,B100,B96)</f>
        <v>17392552</v>
      </c>
      <c r="C112" s="152">
        <f t="shared" si="32"/>
        <v>778150</v>
      </c>
      <c r="D112" s="152">
        <f t="shared" si="32"/>
        <v>0</v>
      </c>
      <c r="E112" s="152">
        <f t="shared" si="32"/>
        <v>10457030</v>
      </c>
      <c r="F112" s="152">
        <f t="shared" si="32"/>
        <v>1154125</v>
      </c>
      <c r="G112" s="152">
        <f t="shared" si="32"/>
        <v>2175980</v>
      </c>
      <c r="H112" s="152">
        <f t="shared" si="32"/>
        <v>14062447</v>
      </c>
      <c r="I112" s="152">
        <f>SUM(F112:H112)</f>
        <v>17392552</v>
      </c>
    </row>
    <row r="113" spans="1:9" hidden="1" x14ac:dyDescent="0.2"/>
    <row r="114" spans="1:9" ht="30.75" hidden="1" customHeight="1" thickBot="1" x14ac:dyDescent="0.3">
      <c r="A114" s="202" t="s">
        <v>462</v>
      </c>
      <c r="B114" s="203"/>
      <c r="C114" s="203"/>
      <c r="D114" s="203"/>
      <c r="E114" s="203"/>
      <c r="F114" s="203"/>
      <c r="G114" s="203"/>
      <c r="H114" s="203"/>
      <c r="I114" s="203"/>
    </row>
    <row r="115" spans="1:9" ht="67.5" hidden="1" x14ac:dyDescent="0.2">
      <c r="A115" s="136" t="s">
        <v>0</v>
      </c>
      <c r="B115" s="137" t="s">
        <v>429</v>
      </c>
      <c r="C115" s="137" t="s">
        <v>430</v>
      </c>
      <c r="D115" s="137" t="s">
        <v>431</v>
      </c>
      <c r="E115" s="137" t="s">
        <v>432</v>
      </c>
      <c r="F115" s="206" t="s">
        <v>433</v>
      </c>
      <c r="G115" s="207"/>
      <c r="H115" s="138" t="s">
        <v>434</v>
      </c>
      <c r="I115" s="139" t="s">
        <v>327</v>
      </c>
    </row>
    <row r="116" spans="1:9" ht="33.75" hidden="1" x14ac:dyDescent="0.2">
      <c r="A116" s="140"/>
      <c r="B116" s="141"/>
      <c r="C116" s="142"/>
      <c r="D116" s="142"/>
      <c r="E116" s="143"/>
      <c r="F116" s="144" t="s">
        <v>435</v>
      </c>
      <c r="G116" s="144" t="s">
        <v>436</v>
      </c>
      <c r="H116" s="144" t="s">
        <v>437</v>
      </c>
      <c r="I116" s="145"/>
    </row>
    <row r="117" spans="1:9" ht="26.25" hidden="1" thickBot="1" x14ac:dyDescent="0.25">
      <c r="A117" s="140" t="s">
        <v>438</v>
      </c>
      <c r="B117" s="146">
        <v>0</v>
      </c>
      <c r="C117" s="147">
        <v>0</v>
      </c>
      <c r="D117" s="146">
        <v>0</v>
      </c>
      <c r="E117" s="148">
        <v>0</v>
      </c>
      <c r="F117" s="146">
        <v>0</v>
      </c>
      <c r="G117" s="147">
        <v>0</v>
      </c>
      <c r="H117" s="149">
        <v>0</v>
      </c>
      <c r="I117" s="149">
        <f t="shared" ref="I117:I134" si="33">SUM(F117:H117)</f>
        <v>0</v>
      </c>
    </row>
    <row r="118" spans="1:9" ht="13.5" hidden="1" thickBot="1" x14ac:dyDescent="0.25">
      <c r="A118" s="151" t="s">
        <v>439</v>
      </c>
      <c r="B118" s="152">
        <f t="shared" ref="B118:H118" si="34">SUM(B117)</f>
        <v>0</v>
      </c>
      <c r="C118" s="152">
        <f t="shared" si="34"/>
        <v>0</v>
      </c>
      <c r="D118" s="152">
        <f>SUM(D117)</f>
        <v>0</v>
      </c>
      <c r="E118" s="152">
        <f t="shared" si="34"/>
        <v>0</v>
      </c>
      <c r="F118" s="152">
        <f t="shared" si="34"/>
        <v>0</v>
      </c>
      <c r="G118" s="152">
        <f t="shared" si="34"/>
        <v>0</v>
      </c>
      <c r="H118" s="152">
        <f t="shared" si="34"/>
        <v>0</v>
      </c>
      <c r="I118" s="152">
        <f t="shared" si="33"/>
        <v>0</v>
      </c>
    </row>
    <row r="119" spans="1:9" hidden="1" x14ac:dyDescent="0.2">
      <c r="A119" s="153" t="s">
        <v>440</v>
      </c>
      <c r="B119" s="154">
        <v>37441</v>
      </c>
      <c r="C119" s="155"/>
      <c r="D119" s="154">
        <v>37441</v>
      </c>
      <c r="E119" s="156">
        <v>0</v>
      </c>
      <c r="F119" s="154">
        <v>0</v>
      </c>
      <c r="G119" s="155">
        <v>0</v>
      </c>
      <c r="H119" s="157">
        <v>37441</v>
      </c>
      <c r="I119" s="157">
        <f t="shared" si="33"/>
        <v>37441</v>
      </c>
    </row>
    <row r="120" spans="1:9" ht="25.5" hidden="1" x14ac:dyDescent="0.2">
      <c r="A120" s="159" t="s">
        <v>441</v>
      </c>
      <c r="B120" s="155">
        <f>1294869+217706</f>
        <v>1512575</v>
      </c>
      <c r="C120" s="155">
        <v>0</v>
      </c>
      <c r="D120" s="155">
        <v>217706</v>
      </c>
      <c r="E120" s="160">
        <v>881486</v>
      </c>
      <c r="F120" s="155">
        <v>0</v>
      </c>
      <c r="G120" s="155">
        <v>0</v>
      </c>
      <c r="H120" s="161">
        <f>1294869+217706</f>
        <v>1512575</v>
      </c>
      <c r="I120" s="157">
        <f t="shared" si="33"/>
        <v>1512575</v>
      </c>
    </row>
    <row r="121" spans="1:9" ht="13.5" hidden="1" thickBot="1" x14ac:dyDescent="0.25">
      <c r="A121" s="140" t="s">
        <v>442</v>
      </c>
      <c r="B121" s="146"/>
      <c r="C121" s="147"/>
      <c r="D121" s="146"/>
      <c r="E121" s="148"/>
      <c r="F121" s="146"/>
      <c r="G121" s="147"/>
      <c r="H121" s="149"/>
      <c r="I121" s="162">
        <f t="shared" si="33"/>
        <v>0</v>
      </c>
    </row>
    <row r="122" spans="1:9" ht="26.25" hidden="1" thickBot="1" x14ac:dyDescent="0.25">
      <c r="A122" s="151" t="s">
        <v>443</v>
      </c>
      <c r="B122" s="152">
        <f t="shared" ref="B122:H122" si="35">SUM(B119:B121)</f>
        <v>1550016</v>
      </c>
      <c r="C122" s="152">
        <f t="shared" si="35"/>
        <v>0</v>
      </c>
      <c r="D122" s="152">
        <f>SUM(D119:D121)</f>
        <v>255147</v>
      </c>
      <c r="E122" s="152">
        <f t="shared" si="35"/>
        <v>881486</v>
      </c>
      <c r="F122" s="152">
        <f t="shared" si="35"/>
        <v>0</v>
      </c>
      <c r="G122" s="152">
        <f t="shared" si="35"/>
        <v>0</v>
      </c>
      <c r="H122" s="152">
        <f t="shared" si="35"/>
        <v>1550016</v>
      </c>
      <c r="I122" s="152">
        <f t="shared" si="33"/>
        <v>1550016</v>
      </c>
    </row>
    <row r="123" spans="1:9" hidden="1" x14ac:dyDescent="0.2">
      <c r="A123" s="163" t="s">
        <v>444</v>
      </c>
      <c r="B123" s="146"/>
      <c r="C123" s="146"/>
      <c r="D123" s="146"/>
      <c r="E123" s="164"/>
      <c r="F123" s="146"/>
      <c r="G123" s="146"/>
      <c r="H123" s="149"/>
      <c r="I123" s="162">
        <f t="shared" si="33"/>
        <v>0</v>
      </c>
    </row>
    <row r="124" spans="1:9" hidden="1" x14ac:dyDescent="0.2">
      <c r="A124" s="153" t="s">
        <v>445</v>
      </c>
      <c r="B124" s="155">
        <v>4324519</v>
      </c>
      <c r="C124" s="155">
        <v>0</v>
      </c>
      <c r="D124" s="155">
        <v>0</v>
      </c>
      <c r="E124" s="156">
        <v>4135975</v>
      </c>
      <c r="F124" s="155"/>
      <c r="G124" s="155"/>
      <c r="H124" s="161">
        <v>4324519</v>
      </c>
      <c r="I124" s="157">
        <f t="shared" si="33"/>
        <v>4324519</v>
      </c>
    </row>
    <row r="125" spans="1:9" hidden="1" x14ac:dyDescent="0.2">
      <c r="A125" s="140" t="s">
        <v>446</v>
      </c>
      <c r="B125" s="146"/>
      <c r="C125" s="146"/>
      <c r="D125" s="146"/>
      <c r="E125" s="146"/>
      <c r="F125" s="146"/>
      <c r="G125" s="146"/>
      <c r="H125" s="146"/>
      <c r="I125" s="162">
        <f t="shared" si="33"/>
        <v>0</v>
      </c>
    </row>
    <row r="126" spans="1:9" hidden="1" x14ac:dyDescent="0.2">
      <c r="A126" s="165" t="s">
        <v>447</v>
      </c>
      <c r="B126" s="146"/>
      <c r="C126" s="146"/>
      <c r="D126" s="146"/>
      <c r="E126" s="146"/>
      <c r="F126" s="146"/>
      <c r="G126" s="146"/>
      <c r="H126" s="146"/>
      <c r="I126" s="162">
        <f t="shared" si="33"/>
        <v>0</v>
      </c>
    </row>
    <row r="127" spans="1:9" ht="13.5" hidden="1" thickBot="1" x14ac:dyDescent="0.25">
      <c r="A127" s="166" t="s">
        <v>448</v>
      </c>
      <c r="B127" s="146"/>
      <c r="C127" s="146"/>
      <c r="D127" s="146"/>
      <c r="E127" s="146"/>
      <c r="F127" s="146"/>
      <c r="G127" s="146"/>
      <c r="H127" s="149"/>
      <c r="I127" s="162">
        <f t="shared" si="33"/>
        <v>0</v>
      </c>
    </row>
    <row r="128" spans="1:9" ht="26.25" hidden="1" thickBot="1" x14ac:dyDescent="0.25">
      <c r="A128" s="151" t="s">
        <v>449</v>
      </c>
      <c r="B128" s="152">
        <f t="shared" ref="B128:H128" si="36">SUM(B124:B127)</f>
        <v>4324519</v>
      </c>
      <c r="C128" s="152">
        <f t="shared" si="36"/>
        <v>0</v>
      </c>
      <c r="D128" s="152">
        <f t="shared" si="36"/>
        <v>0</v>
      </c>
      <c r="E128" s="152">
        <f t="shared" si="36"/>
        <v>4135975</v>
      </c>
      <c r="F128" s="152">
        <f t="shared" si="36"/>
        <v>0</v>
      </c>
      <c r="G128" s="152">
        <f t="shared" si="36"/>
        <v>0</v>
      </c>
      <c r="H128" s="152">
        <f t="shared" si="36"/>
        <v>4324519</v>
      </c>
      <c r="I128" s="152">
        <f t="shared" si="33"/>
        <v>4324519</v>
      </c>
    </row>
    <row r="129" spans="1:9" ht="13.5" hidden="1" thickBot="1" x14ac:dyDescent="0.25">
      <c r="A129" s="163" t="s">
        <v>450</v>
      </c>
      <c r="B129" s="146">
        <v>0</v>
      </c>
      <c r="C129" s="146">
        <v>0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162"/>
    </row>
    <row r="130" spans="1:9" hidden="1" x14ac:dyDescent="0.2">
      <c r="A130" s="163" t="s">
        <v>451</v>
      </c>
      <c r="B130" s="146">
        <v>0</v>
      </c>
      <c r="C130" s="146">
        <v>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162">
        <f t="shared" si="33"/>
        <v>0</v>
      </c>
    </row>
    <row r="131" spans="1:9" ht="25.5" hidden="1" x14ac:dyDescent="0.2">
      <c r="A131" s="140" t="s">
        <v>452</v>
      </c>
      <c r="B131" s="146">
        <v>0</v>
      </c>
      <c r="C131" s="146">
        <v>0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162">
        <f t="shared" si="33"/>
        <v>0</v>
      </c>
    </row>
    <row r="132" spans="1:9" ht="26.25" hidden="1" thickBot="1" x14ac:dyDescent="0.25">
      <c r="A132" s="166" t="s">
        <v>453</v>
      </c>
      <c r="B132" s="146">
        <v>0</v>
      </c>
      <c r="C132" s="146">
        <v>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162">
        <f t="shared" si="33"/>
        <v>0</v>
      </c>
    </row>
    <row r="133" spans="1:9" ht="26.25" hidden="1" thickBot="1" x14ac:dyDescent="0.25">
      <c r="A133" s="151" t="s">
        <v>454</v>
      </c>
      <c r="B133" s="152">
        <f t="shared" ref="B133:H133" si="37">SUM(B130:B132)</f>
        <v>0</v>
      </c>
      <c r="C133" s="152">
        <f t="shared" si="37"/>
        <v>0</v>
      </c>
      <c r="D133" s="152">
        <f>SUM(D130:D132)</f>
        <v>0</v>
      </c>
      <c r="E133" s="152">
        <f t="shared" si="37"/>
        <v>0</v>
      </c>
      <c r="F133" s="152">
        <f t="shared" si="37"/>
        <v>0</v>
      </c>
      <c r="G133" s="152">
        <f t="shared" si="37"/>
        <v>0</v>
      </c>
      <c r="H133" s="152">
        <f t="shared" si="37"/>
        <v>0</v>
      </c>
      <c r="I133" s="152">
        <f t="shared" si="33"/>
        <v>0</v>
      </c>
    </row>
    <row r="134" spans="1:9" ht="26.25" hidden="1" thickBot="1" x14ac:dyDescent="0.25">
      <c r="A134" s="151" t="s">
        <v>455</v>
      </c>
      <c r="B134" s="152">
        <f t="shared" ref="B134:H134" si="38">SUM(B133,B128,B122,B118)</f>
        <v>5874535</v>
      </c>
      <c r="C134" s="152">
        <f t="shared" si="38"/>
        <v>0</v>
      </c>
      <c r="D134" s="152">
        <f>SUM(D133,D128,D122,D118)</f>
        <v>255147</v>
      </c>
      <c r="E134" s="152">
        <f t="shared" si="38"/>
        <v>5017461</v>
      </c>
      <c r="F134" s="152">
        <f t="shared" si="38"/>
        <v>0</v>
      </c>
      <c r="G134" s="152">
        <f t="shared" si="38"/>
        <v>0</v>
      </c>
      <c r="H134" s="152">
        <f t="shared" si="38"/>
        <v>5874535</v>
      </c>
      <c r="I134" s="152">
        <f t="shared" si="33"/>
        <v>5874535</v>
      </c>
    </row>
    <row r="136" spans="1:9" ht="14.25" thickBot="1" x14ac:dyDescent="0.3">
      <c r="A136" s="202" t="s">
        <v>463</v>
      </c>
      <c r="B136" s="203"/>
      <c r="C136" s="203"/>
      <c r="D136" s="203"/>
      <c r="E136" s="203"/>
      <c r="F136" s="203"/>
      <c r="G136" s="203"/>
      <c r="H136" s="203"/>
      <c r="I136" s="203"/>
    </row>
    <row r="137" spans="1:9" ht="67.5" x14ac:dyDescent="0.2">
      <c r="A137" s="136" t="s">
        <v>0</v>
      </c>
      <c r="B137" s="137" t="s">
        <v>429</v>
      </c>
      <c r="C137" s="137" t="s">
        <v>430</v>
      </c>
      <c r="D137" s="137" t="s">
        <v>431</v>
      </c>
      <c r="E137" s="137" t="s">
        <v>432</v>
      </c>
      <c r="F137" s="206" t="s">
        <v>433</v>
      </c>
      <c r="G137" s="207"/>
      <c r="H137" s="138" t="s">
        <v>434</v>
      </c>
      <c r="I137" s="139" t="s">
        <v>327</v>
      </c>
    </row>
    <row r="138" spans="1:9" ht="33.75" x14ac:dyDescent="0.2">
      <c r="A138" s="140"/>
      <c r="B138" s="141"/>
      <c r="C138" s="142"/>
      <c r="D138" s="142"/>
      <c r="E138" s="143"/>
      <c r="F138" s="144" t="s">
        <v>435</v>
      </c>
      <c r="G138" s="144" t="s">
        <v>436</v>
      </c>
      <c r="H138" s="144" t="s">
        <v>437</v>
      </c>
      <c r="I138" s="145"/>
    </row>
    <row r="139" spans="1:9" ht="26.25" thickBot="1" x14ac:dyDescent="0.25">
      <c r="A139" s="140" t="s">
        <v>438</v>
      </c>
      <c r="B139" s="146">
        <v>0</v>
      </c>
      <c r="C139" s="147">
        <v>0</v>
      </c>
      <c r="D139" s="146">
        <v>0</v>
      </c>
      <c r="E139" s="148">
        <v>0</v>
      </c>
      <c r="F139" s="146">
        <v>0</v>
      </c>
      <c r="G139" s="147">
        <v>0</v>
      </c>
      <c r="H139" s="149">
        <v>0</v>
      </c>
      <c r="I139" s="149">
        <f t="shared" ref="I139:I150" si="39">SUM(F139:H139)</f>
        <v>0</v>
      </c>
    </row>
    <row r="140" spans="1:9" ht="13.5" thickBot="1" x14ac:dyDescent="0.25">
      <c r="A140" s="151" t="s">
        <v>439</v>
      </c>
      <c r="B140" s="152">
        <f t="shared" ref="B140:C140" si="40">SUM(B139)</f>
        <v>0</v>
      </c>
      <c r="C140" s="152">
        <f t="shared" si="40"/>
        <v>0</v>
      </c>
      <c r="D140" s="152">
        <f>SUM(D139)</f>
        <v>0</v>
      </c>
      <c r="E140" s="152">
        <f t="shared" ref="E140:H140" si="41">SUM(E139)</f>
        <v>0</v>
      </c>
      <c r="F140" s="152">
        <f t="shared" si="41"/>
        <v>0</v>
      </c>
      <c r="G140" s="152">
        <f t="shared" si="41"/>
        <v>0</v>
      </c>
      <c r="H140" s="152">
        <f t="shared" si="41"/>
        <v>0</v>
      </c>
      <c r="I140" s="152">
        <f t="shared" si="39"/>
        <v>0</v>
      </c>
    </row>
    <row r="141" spans="1:9" x14ac:dyDescent="0.2">
      <c r="A141" s="153" t="s">
        <v>440</v>
      </c>
      <c r="B141" s="154">
        <v>12677</v>
      </c>
      <c r="C141" s="155">
        <v>0</v>
      </c>
      <c r="D141" s="154">
        <v>12677</v>
      </c>
      <c r="E141" s="156">
        <v>0</v>
      </c>
      <c r="F141" s="154"/>
      <c r="G141" s="155"/>
      <c r="H141" s="157">
        <v>12677</v>
      </c>
      <c r="I141" s="157">
        <f t="shared" si="39"/>
        <v>12677</v>
      </c>
    </row>
    <row r="142" spans="1:9" ht="25.5" x14ac:dyDescent="0.2">
      <c r="A142" s="159" t="s">
        <v>441</v>
      </c>
      <c r="B142" s="155"/>
      <c r="C142" s="155">
        <v>0</v>
      </c>
      <c r="D142" s="155"/>
      <c r="E142" s="160">
        <v>0</v>
      </c>
      <c r="F142" s="155"/>
      <c r="G142" s="155"/>
      <c r="H142" s="161">
        <v>0</v>
      </c>
      <c r="I142" s="157">
        <f t="shared" si="39"/>
        <v>0</v>
      </c>
    </row>
    <row r="143" spans="1:9" ht="13.5" thickBot="1" x14ac:dyDescent="0.25">
      <c r="A143" s="140" t="s">
        <v>442</v>
      </c>
      <c r="B143" s="146"/>
      <c r="C143" s="147"/>
      <c r="D143" s="146"/>
      <c r="E143" s="148"/>
      <c r="F143" s="146"/>
      <c r="G143" s="147"/>
      <c r="H143" s="149"/>
      <c r="I143" s="162">
        <f t="shared" si="39"/>
        <v>0</v>
      </c>
    </row>
    <row r="144" spans="1:9" ht="26.25" thickBot="1" x14ac:dyDescent="0.25">
      <c r="A144" s="151" t="s">
        <v>443</v>
      </c>
      <c r="B144" s="152">
        <f t="shared" ref="B144:C144" si="42">SUM(B141:B143)</f>
        <v>12677</v>
      </c>
      <c r="C144" s="152">
        <f t="shared" si="42"/>
        <v>0</v>
      </c>
      <c r="D144" s="152">
        <f>SUM(D141:D143)</f>
        <v>12677</v>
      </c>
      <c r="E144" s="152">
        <f t="shared" ref="E144:H144" si="43">SUM(E141:E143)</f>
        <v>0</v>
      </c>
      <c r="F144" s="152">
        <f t="shared" si="43"/>
        <v>0</v>
      </c>
      <c r="G144" s="152">
        <f t="shared" si="43"/>
        <v>0</v>
      </c>
      <c r="H144" s="152">
        <f t="shared" si="43"/>
        <v>12677</v>
      </c>
      <c r="I144" s="152">
        <f t="shared" si="39"/>
        <v>12677</v>
      </c>
    </row>
    <row r="145" spans="1:9" x14ac:dyDescent="0.2">
      <c r="A145" s="163" t="s">
        <v>444</v>
      </c>
      <c r="B145" s="146"/>
      <c r="C145" s="146"/>
      <c r="D145" s="146"/>
      <c r="E145" s="164"/>
      <c r="F145" s="146"/>
      <c r="G145" s="146"/>
      <c r="H145" s="149"/>
      <c r="I145" s="162">
        <f t="shared" si="39"/>
        <v>0</v>
      </c>
    </row>
    <row r="146" spans="1:9" x14ac:dyDescent="0.2">
      <c r="A146" s="153" t="s">
        <v>445</v>
      </c>
      <c r="B146" s="155"/>
      <c r="C146" s="155"/>
      <c r="D146" s="155"/>
      <c r="E146" s="156"/>
      <c r="F146" s="155"/>
      <c r="G146" s="155"/>
      <c r="H146" s="161"/>
      <c r="I146" s="157">
        <f t="shared" si="39"/>
        <v>0</v>
      </c>
    </row>
    <row r="147" spans="1:9" x14ac:dyDescent="0.2">
      <c r="A147" s="140" t="s">
        <v>446</v>
      </c>
      <c r="B147" s="146"/>
      <c r="C147" s="146"/>
      <c r="D147" s="146"/>
      <c r="E147" s="146"/>
      <c r="F147" s="146"/>
      <c r="G147" s="146"/>
      <c r="H147" s="146"/>
      <c r="I147" s="162">
        <f t="shared" si="39"/>
        <v>0</v>
      </c>
    </row>
    <row r="148" spans="1:9" x14ac:dyDescent="0.2">
      <c r="A148" s="165" t="s">
        <v>447</v>
      </c>
      <c r="B148" s="146"/>
      <c r="C148" s="146"/>
      <c r="D148" s="146"/>
      <c r="E148" s="146"/>
      <c r="F148" s="146"/>
      <c r="G148" s="146"/>
      <c r="H148" s="146"/>
      <c r="I148" s="162">
        <f t="shared" si="39"/>
        <v>0</v>
      </c>
    </row>
    <row r="149" spans="1:9" ht="13.5" thickBot="1" x14ac:dyDescent="0.25">
      <c r="A149" s="166" t="s">
        <v>448</v>
      </c>
      <c r="B149" s="146"/>
      <c r="C149" s="146"/>
      <c r="D149" s="146"/>
      <c r="E149" s="146"/>
      <c r="F149" s="146"/>
      <c r="G149" s="146"/>
      <c r="H149" s="149"/>
      <c r="I149" s="162">
        <f t="shared" si="39"/>
        <v>0</v>
      </c>
    </row>
    <row r="150" spans="1:9" ht="26.25" thickBot="1" x14ac:dyDescent="0.25">
      <c r="A150" s="151" t="s">
        <v>449</v>
      </c>
      <c r="B150" s="152">
        <f t="shared" ref="B150:C150" si="44">SUM(B145:B149)</f>
        <v>0</v>
      </c>
      <c r="C150" s="152">
        <f t="shared" si="44"/>
        <v>0</v>
      </c>
      <c r="D150" s="152">
        <f>SUM(D145:D149)</f>
        <v>0</v>
      </c>
      <c r="E150" s="152">
        <f t="shared" ref="E150:H150" si="45">SUM(E145:E149)</f>
        <v>0</v>
      </c>
      <c r="F150" s="152">
        <f t="shared" si="45"/>
        <v>0</v>
      </c>
      <c r="G150" s="152">
        <f t="shared" si="45"/>
        <v>0</v>
      </c>
      <c r="H150" s="152">
        <f t="shared" si="45"/>
        <v>0</v>
      </c>
      <c r="I150" s="152">
        <f t="shared" si="39"/>
        <v>0</v>
      </c>
    </row>
    <row r="151" spans="1:9" ht="13.5" thickBot="1" x14ac:dyDescent="0.25">
      <c r="A151" s="163" t="s">
        <v>450</v>
      </c>
      <c r="B151" s="146">
        <v>0</v>
      </c>
      <c r="C151" s="146">
        <v>0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162"/>
    </row>
    <row r="152" spans="1:9" x14ac:dyDescent="0.2">
      <c r="A152" s="163" t="s">
        <v>451</v>
      </c>
      <c r="B152" s="146">
        <v>0</v>
      </c>
      <c r="C152" s="146">
        <v>0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162">
        <f>SUM(F152:H152)</f>
        <v>0</v>
      </c>
    </row>
    <row r="153" spans="1:9" ht="25.5" x14ac:dyDescent="0.2">
      <c r="A153" s="140" t="s">
        <v>452</v>
      </c>
      <c r="B153" s="146">
        <v>0</v>
      </c>
      <c r="C153" s="146">
        <v>0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162">
        <f>SUM(F153:H153)</f>
        <v>0</v>
      </c>
    </row>
    <row r="154" spans="1:9" ht="26.25" thickBot="1" x14ac:dyDescent="0.25">
      <c r="A154" s="166" t="s">
        <v>453</v>
      </c>
      <c r="B154" s="146">
        <v>0</v>
      </c>
      <c r="C154" s="146">
        <v>0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162">
        <f>SUM(F154:H154)</f>
        <v>0</v>
      </c>
    </row>
    <row r="155" spans="1:9" ht="26.25" thickBot="1" x14ac:dyDescent="0.25">
      <c r="A155" s="151" t="s">
        <v>454</v>
      </c>
      <c r="B155" s="152">
        <f t="shared" ref="B155:C155" si="46">SUM(B152:B154)</f>
        <v>0</v>
      </c>
      <c r="C155" s="152">
        <f t="shared" si="46"/>
        <v>0</v>
      </c>
      <c r="D155" s="152">
        <f>SUM(D152:D154)</f>
        <v>0</v>
      </c>
      <c r="E155" s="152">
        <f t="shared" ref="E155:H155" si="47">SUM(E152:E154)</f>
        <v>0</v>
      </c>
      <c r="F155" s="152">
        <f t="shared" si="47"/>
        <v>0</v>
      </c>
      <c r="G155" s="152">
        <f t="shared" si="47"/>
        <v>0</v>
      </c>
      <c r="H155" s="152">
        <f t="shared" si="47"/>
        <v>0</v>
      </c>
      <c r="I155" s="152">
        <f>SUM(F155:H155)</f>
        <v>0</v>
      </c>
    </row>
    <row r="156" spans="1:9" ht="26.25" thickBot="1" x14ac:dyDescent="0.25">
      <c r="A156" s="151" t="s">
        <v>455</v>
      </c>
      <c r="B156" s="152">
        <f t="shared" ref="B156:C156" si="48">SUM(B155,B150,B144,B140)</f>
        <v>12677</v>
      </c>
      <c r="C156" s="152">
        <f t="shared" si="48"/>
        <v>0</v>
      </c>
      <c r="D156" s="152">
        <f>SUM(D155,D150,D144,D140)</f>
        <v>12677</v>
      </c>
      <c r="E156" s="152">
        <f t="shared" ref="E156:H156" si="49">SUM(E155,E150,E144,E140)</f>
        <v>0</v>
      </c>
      <c r="F156" s="152">
        <f t="shared" si="49"/>
        <v>0</v>
      </c>
      <c r="G156" s="152">
        <f t="shared" si="49"/>
        <v>0</v>
      </c>
      <c r="H156" s="152">
        <f t="shared" si="49"/>
        <v>12677</v>
      </c>
      <c r="I156" s="152">
        <f>SUM(F156:H156)</f>
        <v>12677</v>
      </c>
    </row>
    <row r="159" spans="1:9" hidden="1" x14ac:dyDescent="0.2"/>
    <row r="160" spans="1:9" ht="14.25" hidden="1" thickBot="1" x14ac:dyDescent="0.3">
      <c r="A160" s="202" t="s">
        <v>464</v>
      </c>
      <c r="B160" s="203"/>
      <c r="C160" s="203"/>
      <c r="D160" s="203"/>
      <c r="E160" s="203"/>
      <c r="F160" s="203"/>
      <c r="G160" s="203"/>
      <c r="H160" s="203"/>
      <c r="I160" s="203"/>
    </row>
    <row r="161" spans="1:9" ht="67.5" hidden="1" x14ac:dyDescent="0.2">
      <c r="A161" s="136" t="s">
        <v>0</v>
      </c>
      <c r="B161" s="137" t="s">
        <v>429</v>
      </c>
      <c r="C161" s="137" t="s">
        <v>430</v>
      </c>
      <c r="D161" s="137" t="s">
        <v>431</v>
      </c>
      <c r="E161" s="137" t="s">
        <v>432</v>
      </c>
      <c r="F161" s="206" t="s">
        <v>433</v>
      </c>
      <c r="G161" s="207"/>
      <c r="H161" s="138" t="s">
        <v>434</v>
      </c>
      <c r="I161" s="139" t="s">
        <v>327</v>
      </c>
    </row>
    <row r="162" spans="1:9" ht="33.75" hidden="1" x14ac:dyDescent="0.2">
      <c r="A162" s="140"/>
      <c r="B162" s="141"/>
      <c r="C162" s="142"/>
      <c r="D162" s="142"/>
      <c r="E162" s="143"/>
      <c r="F162" s="144" t="s">
        <v>435</v>
      </c>
      <c r="G162" s="144" t="s">
        <v>436</v>
      </c>
      <c r="H162" s="144" t="s">
        <v>437</v>
      </c>
      <c r="I162" s="145"/>
    </row>
    <row r="163" spans="1:9" ht="26.25" hidden="1" thickBot="1" x14ac:dyDescent="0.25">
      <c r="A163" s="140" t="s">
        <v>438</v>
      </c>
      <c r="B163" s="146">
        <v>0</v>
      </c>
      <c r="C163" s="147">
        <v>0</v>
      </c>
      <c r="D163" s="146">
        <v>0</v>
      </c>
      <c r="E163" s="148">
        <v>0</v>
      </c>
      <c r="F163" s="146">
        <v>0</v>
      </c>
      <c r="G163" s="147">
        <v>0</v>
      </c>
      <c r="H163" s="149">
        <v>0</v>
      </c>
      <c r="I163" s="149">
        <f t="shared" ref="I163:I174" si="50">SUM(F163:H163)</f>
        <v>0</v>
      </c>
    </row>
    <row r="164" spans="1:9" ht="13.5" hidden="1" thickBot="1" x14ac:dyDescent="0.25">
      <c r="A164" s="151" t="s">
        <v>439</v>
      </c>
      <c r="B164" s="152">
        <f t="shared" ref="B164:H164" si="51">SUM(B163)</f>
        <v>0</v>
      </c>
      <c r="C164" s="152">
        <f t="shared" si="51"/>
        <v>0</v>
      </c>
      <c r="D164" s="152">
        <f>SUM(D163)</f>
        <v>0</v>
      </c>
      <c r="E164" s="152">
        <f t="shared" si="51"/>
        <v>0</v>
      </c>
      <c r="F164" s="152">
        <f t="shared" si="51"/>
        <v>0</v>
      </c>
      <c r="G164" s="152">
        <f t="shared" si="51"/>
        <v>0</v>
      </c>
      <c r="H164" s="152">
        <f t="shared" si="51"/>
        <v>0</v>
      </c>
      <c r="I164" s="152">
        <f t="shared" si="50"/>
        <v>0</v>
      </c>
    </row>
    <row r="165" spans="1:9" hidden="1" x14ac:dyDescent="0.2">
      <c r="A165" s="153" t="s">
        <v>440</v>
      </c>
      <c r="B165" s="154">
        <f>2809112+2506174</f>
        <v>5315286</v>
      </c>
      <c r="C165" s="155">
        <v>0</v>
      </c>
      <c r="D165" s="154">
        <v>2506174</v>
      </c>
      <c r="E165" s="156">
        <v>1557316</v>
      </c>
      <c r="F165" s="154"/>
      <c r="G165" s="155"/>
      <c r="H165" s="157">
        <f>2809112+2506174</f>
        <v>5315286</v>
      </c>
      <c r="I165" s="157">
        <f t="shared" si="50"/>
        <v>5315286</v>
      </c>
    </row>
    <row r="166" spans="1:9" ht="25.5" hidden="1" x14ac:dyDescent="0.2">
      <c r="A166" s="159" t="s">
        <v>441</v>
      </c>
      <c r="B166" s="155">
        <f>1081220+4231777</f>
        <v>5312997</v>
      </c>
      <c r="C166" s="155">
        <v>0</v>
      </c>
      <c r="D166" s="155">
        <v>4231777</v>
      </c>
      <c r="E166" s="160">
        <v>946966</v>
      </c>
      <c r="F166" s="155"/>
      <c r="G166" s="155"/>
      <c r="H166" s="161">
        <f>1081220+4231777</f>
        <v>5312997</v>
      </c>
      <c r="I166" s="157">
        <f t="shared" si="50"/>
        <v>5312997</v>
      </c>
    </row>
    <row r="167" spans="1:9" ht="13.5" hidden="1" thickBot="1" x14ac:dyDescent="0.25">
      <c r="A167" s="140" t="s">
        <v>442</v>
      </c>
      <c r="B167" s="146"/>
      <c r="C167" s="147"/>
      <c r="D167" s="146"/>
      <c r="E167" s="148"/>
      <c r="F167" s="146"/>
      <c r="G167" s="147"/>
      <c r="H167" s="149"/>
      <c r="I167" s="162">
        <f t="shared" si="50"/>
        <v>0</v>
      </c>
    </row>
    <row r="168" spans="1:9" ht="26.25" hidden="1" thickBot="1" x14ac:dyDescent="0.25">
      <c r="A168" s="151" t="s">
        <v>443</v>
      </c>
      <c r="B168" s="152">
        <f t="shared" ref="B168:H168" si="52">SUM(B165:B167)</f>
        <v>10628283</v>
      </c>
      <c r="C168" s="152">
        <f t="shared" si="52"/>
        <v>0</v>
      </c>
      <c r="D168" s="152">
        <f>SUM(D165:D167)</f>
        <v>6737951</v>
      </c>
      <c r="E168" s="152">
        <f t="shared" si="52"/>
        <v>2504282</v>
      </c>
      <c r="F168" s="152">
        <f t="shared" si="52"/>
        <v>0</v>
      </c>
      <c r="G168" s="152">
        <f t="shared" si="52"/>
        <v>0</v>
      </c>
      <c r="H168" s="152">
        <f t="shared" si="52"/>
        <v>10628283</v>
      </c>
      <c r="I168" s="152">
        <f t="shared" si="50"/>
        <v>10628283</v>
      </c>
    </row>
    <row r="169" spans="1:9" hidden="1" x14ac:dyDescent="0.2">
      <c r="A169" s="163" t="s">
        <v>444</v>
      </c>
      <c r="B169" s="146"/>
      <c r="C169" s="146"/>
      <c r="D169" s="146"/>
      <c r="E169" s="164"/>
      <c r="F169" s="146"/>
      <c r="G169" s="146"/>
      <c r="H169" s="149"/>
      <c r="I169" s="162">
        <f t="shared" si="50"/>
        <v>0</v>
      </c>
    </row>
    <row r="170" spans="1:9" hidden="1" x14ac:dyDescent="0.2">
      <c r="A170" s="153" t="s">
        <v>445</v>
      </c>
      <c r="B170" s="155">
        <v>20080036</v>
      </c>
      <c r="C170" s="155">
        <v>0</v>
      </c>
      <c r="D170" s="155">
        <v>0</v>
      </c>
      <c r="E170" s="156">
        <v>19724812</v>
      </c>
      <c r="F170" s="155"/>
      <c r="G170" s="155"/>
      <c r="H170" s="161">
        <v>20080036</v>
      </c>
      <c r="I170" s="157">
        <f t="shared" si="50"/>
        <v>20080036</v>
      </c>
    </row>
    <row r="171" spans="1:9" hidden="1" x14ac:dyDescent="0.2">
      <c r="A171" s="140" t="s">
        <v>446</v>
      </c>
      <c r="B171" s="146"/>
      <c r="C171" s="146"/>
      <c r="D171" s="146"/>
      <c r="E171" s="146"/>
      <c r="F171" s="146"/>
      <c r="G171" s="146"/>
      <c r="H171" s="146"/>
      <c r="I171" s="162">
        <f t="shared" si="50"/>
        <v>0</v>
      </c>
    </row>
    <row r="172" spans="1:9" hidden="1" x14ac:dyDescent="0.2">
      <c r="A172" s="165" t="s">
        <v>447</v>
      </c>
      <c r="B172" s="146"/>
      <c r="C172" s="146"/>
      <c r="D172" s="146"/>
      <c r="E172" s="146"/>
      <c r="F172" s="146"/>
      <c r="G172" s="146"/>
      <c r="H172" s="146"/>
      <c r="I172" s="162">
        <f t="shared" si="50"/>
        <v>0</v>
      </c>
    </row>
    <row r="173" spans="1:9" ht="13.5" hidden="1" thickBot="1" x14ac:dyDescent="0.25">
      <c r="A173" s="166" t="s">
        <v>448</v>
      </c>
      <c r="B173" s="146"/>
      <c r="C173" s="146"/>
      <c r="D173" s="146"/>
      <c r="E173" s="146"/>
      <c r="F173" s="146"/>
      <c r="G173" s="146"/>
      <c r="H173" s="149"/>
      <c r="I173" s="162">
        <f t="shared" si="50"/>
        <v>0</v>
      </c>
    </row>
    <row r="174" spans="1:9" ht="26.25" hidden="1" thickBot="1" x14ac:dyDescent="0.25">
      <c r="A174" s="151" t="s">
        <v>449</v>
      </c>
      <c r="B174" s="152">
        <f t="shared" ref="B174:H174" si="53">SUM(B169:B173)</f>
        <v>20080036</v>
      </c>
      <c r="C174" s="152">
        <f t="shared" si="53"/>
        <v>0</v>
      </c>
      <c r="D174" s="152">
        <f>SUM(D169:D173)</f>
        <v>0</v>
      </c>
      <c r="E174" s="152">
        <f t="shared" si="53"/>
        <v>19724812</v>
      </c>
      <c r="F174" s="152">
        <f t="shared" si="53"/>
        <v>0</v>
      </c>
      <c r="G174" s="152">
        <f t="shared" si="53"/>
        <v>0</v>
      </c>
      <c r="H174" s="152">
        <f t="shared" si="53"/>
        <v>20080036</v>
      </c>
      <c r="I174" s="152">
        <f t="shared" si="50"/>
        <v>20080036</v>
      </c>
    </row>
    <row r="175" spans="1:9" ht="13.5" hidden="1" thickBot="1" x14ac:dyDescent="0.25">
      <c r="A175" s="163" t="s">
        <v>450</v>
      </c>
      <c r="B175" s="146">
        <v>0</v>
      </c>
      <c r="C175" s="146">
        <v>0</v>
      </c>
      <c r="D175" s="146">
        <v>0</v>
      </c>
      <c r="E175" s="146">
        <v>0</v>
      </c>
      <c r="F175" s="146">
        <v>0</v>
      </c>
      <c r="G175" s="146">
        <v>0</v>
      </c>
      <c r="H175" s="146">
        <v>0</v>
      </c>
      <c r="I175" s="162"/>
    </row>
    <row r="176" spans="1:9" hidden="1" x14ac:dyDescent="0.2">
      <c r="A176" s="163" t="s">
        <v>451</v>
      </c>
      <c r="B176" s="146">
        <v>0</v>
      </c>
      <c r="C176" s="146">
        <v>0</v>
      </c>
      <c r="D176" s="146">
        <v>0</v>
      </c>
      <c r="E176" s="146">
        <v>0</v>
      </c>
      <c r="F176" s="146">
        <v>0</v>
      </c>
      <c r="G176" s="146">
        <v>0</v>
      </c>
      <c r="H176" s="146">
        <v>0</v>
      </c>
      <c r="I176" s="162">
        <f>SUM(F176:H176)</f>
        <v>0</v>
      </c>
    </row>
    <row r="177" spans="1:9" ht="25.5" hidden="1" x14ac:dyDescent="0.2">
      <c r="A177" s="140" t="s">
        <v>452</v>
      </c>
      <c r="B177" s="146">
        <v>0</v>
      </c>
      <c r="C177" s="146">
        <v>0</v>
      </c>
      <c r="D177" s="146">
        <v>0</v>
      </c>
      <c r="E177" s="146">
        <v>0</v>
      </c>
      <c r="F177" s="146">
        <v>0</v>
      </c>
      <c r="G177" s="146">
        <v>0</v>
      </c>
      <c r="H177" s="146">
        <v>0</v>
      </c>
      <c r="I177" s="162">
        <f>SUM(F177:H177)</f>
        <v>0</v>
      </c>
    </row>
    <row r="178" spans="1:9" ht="26.25" hidden="1" thickBot="1" x14ac:dyDescent="0.25">
      <c r="A178" s="166" t="s">
        <v>453</v>
      </c>
      <c r="B178" s="146">
        <v>0</v>
      </c>
      <c r="C178" s="146">
        <v>0</v>
      </c>
      <c r="D178" s="146">
        <v>0</v>
      </c>
      <c r="E178" s="146">
        <v>0</v>
      </c>
      <c r="F178" s="146">
        <v>0</v>
      </c>
      <c r="G178" s="146">
        <v>0</v>
      </c>
      <c r="H178" s="146">
        <v>0</v>
      </c>
      <c r="I178" s="162">
        <f>SUM(F178:H178)</f>
        <v>0</v>
      </c>
    </row>
    <row r="179" spans="1:9" ht="26.25" hidden="1" thickBot="1" x14ac:dyDescent="0.25">
      <c r="A179" s="151" t="s">
        <v>454</v>
      </c>
      <c r="B179" s="152">
        <f t="shared" ref="B179:H179" si="54">SUM(B176:B178)</f>
        <v>0</v>
      </c>
      <c r="C179" s="152">
        <f t="shared" si="54"/>
        <v>0</v>
      </c>
      <c r="D179" s="152">
        <f>SUM(D176:D178)</f>
        <v>0</v>
      </c>
      <c r="E179" s="152">
        <f t="shared" si="54"/>
        <v>0</v>
      </c>
      <c r="F179" s="152">
        <f t="shared" si="54"/>
        <v>0</v>
      </c>
      <c r="G179" s="152">
        <f t="shared" si="54"/>
        <v>0</v>
      </c>
      <c r="H179" s="152">
        <f t="shared" si="54"/>
        <v>0</v>
      </c>
      <c r="I179" s="152">
        <f>SUM(F179:H179)</f>
        <v>0</v>
      </c>
    </row>
    <row r="180" spans="1:9" ht="26.25" hidden="1" thickBot="1" x14ac:dyDescent="0.25">
      <c r="A180" s="151" t="s">
        <v>455</v>
      </c>
      <c r="B180" s="152">
        <f t="shared" ref="B180:H180" si="55">SUM(B179,B174,B168,B164)</f>
        <v>30708319</v>
      </c>
      <c r="C180" s="152">
        <f t="shared" si="55"/>
        <v>0</v>
      </c>
      <c r="D180" s="152">
        <f>SUM(D179,D174,D168,D164)</f>
        <v>6737951</v>
      </c>
      <c r="E180" s="152">
        <f t="shared" si="55"/>
        <v>22229094</v>
      </c>
      <c r="F180" s="152">
        <f t="shared" si="55"/>
        <v>0</v>
      </c>
      <c r="G180" s="152">
        <f t="shared" si="55"/>
        <v>0</v>
      </c>
      <c r="H180" s="152">
        <f t="shared" si="55"/>
        <v>30708319</v>
      </c>
      <c r="I180" s="152">
        <f>SUM(F180:H180)</f>
        <v>30708319</v>
      </c>
    </row>
  </sheetData>
  <mergeCells count="17">
    <mergeCell ref="F115:G115"/>
    <mergeCell ref="A136:I136"/>
    <mergeCell ref="F137:G137"/>
    <mergeCell ref="A160:I160"/>
    <mergeCell ref="F161:G161"/>
    <mergeCell ref="A114:I114"/>
    <mergeCell ref="A1:I2"/>
    <mergeCell ref="A3:I3"/>
    <mergeCell ref="F4:G4"/>
    <mergeCell ref="A25:I25"/>
    <mergeCell ref="F26:G26"/>
    <mergeCell ref="A47:I47"/>
    <mergeCell ref="F48:G48"/>
    <mergeCell ref="A69:I69"/>
    <mergeCell ref="F70:G70"/>
    <mergeCell ref="A92:I92"/>
    <mergeCell ref="F93:G93"/>
  </mergeCells>
  <pageMargins left="0.75" right="0.75" top="1" bottom="1" header="0.5" footer="0.5"/>
  <pageSetup paperSize="9" scale="95" orientation="landscape" r:id="rId1"/>
  <headerFooter alignWithMargins="0"/>
  <rowBreaks count="2" manualBreakCount="2">
    <brk id="23" max="16383" man="1"/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2.75" x14ac:dyDescent="0.2"/>
  <cols>
    <col min="1" max="1" width="18.7109375" style="30" customWidth="1"/>
    <col min="2" max="7" width="17.5703125" style="30" customWidth="1"/>
    <col min="8" max="8" width="14.28515625" style="30" customWidth="1"/>
    <col min="9" max="10" width="15.140625" style="30" customWidth="1"/>
    <col min="11" max="256" width="9.140625" style="30"/>
    <col min="257" max="257" width="18.7109375" style="30" customWidth="1"/>
    <col min="258" max="263" width="17.5703125" style="30" customWidth="1"/>
    <col min="264" max="264" width="14.28515625" style="30" customWidth="1"/>
    <col min="265" max="266" width="15.140625" style="30" customWidth="1"/>
    <col min="267" max="512" width="9.140625" style="30"/>
    <col min="513" max="513" width="18.7109375" style="30" customWidth="1"/>
    <col min="514" max="519" width="17.5703125" style="30" customWidth="1"/>
    <col min="520" max="520" width="14.28515625" style="30" customWidth="1"/>
    <col min="521" max="522" width="15.140625" style="30" customWidth="1"/>
    <col min="523" max="768" width="9.140625" style="30"/>
    <col min="769" max="769" width="18.7109375" style="30" customWidth="1"/>
    <col min="770" max="775" width="17.5703125" style="30" customWidth="1"/>
    <col min="776" max="776" width="14.28515625" style="30" customWidth="1"/>
    <col min="777" max="778" width="15.140625" style="30" customWidth="1"/>
    <col min="779" max="1024" width="9.140625" style="30"/>
    <col min="1025" max="1025" width="18.7109375" style="30" customWidth="1"/>
    <col min="1026" max="1031" width="17.5703125" style="30" customWidth="1"/>
    <col min="1032" max="1032" width="14.28515625" style="30" customWidth="1"/>
    <col min="1033" max="1034" width="15.140625" style="30" customWidth="1"/>
    <col min="1035" max="1280" width="9.140625" style="30"/>
    <col min="1281" max="1281" width="18.7109375" style="30" customWidth="1"/>
    <col min="1282" max="1287" width="17.5703125" style="30" customWidth="1"/>
    <col min="1288" max="1288" width="14.28515625" style="30" customWidth="1"/>
    <col min="1289" max="1290" width="15.140625" style="30" customWidth="1"/>
    <col min="1291" max="1536" width="9.140625" style="30"/>
    <col min="1537" max="1537" width="18.7109375" style="30" customWidth="1"/>
    <col min="1538" max="1543" width="17.5703125" style="30" customWidth="1"/>
    <col min="1544" max="1544" width="14.28515625" style="30" customWidth="1"/>
    <col min="1545" max="1546" width="15.140625" style="30" customWidth="1"/>
    <col min="1547" max="1792" width="9.140625" style="30"/>
    <col min="1793" max="1793" width="18.7109375" style="30" customWidth="1"/>
    <col min="1794" max="1799" width="17.5703125" style="30" customWidth="1"/>
    <col min="1800" max="1800" width="14.28515625" style="30" customWidth="1"/>
    <col min="1801" max="1802" width="15.140625" style="30" customWidth="1"/>
    <col min="1803" max="2048" width="9.140625" style="30"/>
    <col min="2049" max="2049" width="18.7109375" style="30" customWidth="1"/>
    <col min="2050" max="2055" width="17.5703125" style="30" customWidth="1"/>
    <col min="2056" max="2056" width="14.28515625" style="30" customWidth="1"/>
    <col min="2057" max="2058" width="15.140625" style="30" customWidth="1"/>
    <col min="2059" max="2304" width="9.140625" style="30"/>
    <col min="2305" max="2305" width="18.7109375" style="30" customWidth="1"/>
    <col min="2306" max="2311" width="17.5703125" style="30" customWidth="1"/>
    <col min="2312" max="2312" width="14.28515625" style="30" customWidth="1"/>
    <col min="2313" max="2314" width="15.140625" style="30" customWidth="1"/>
    <col min="2315" max="2560" width="9.140625" style="30"/>
    <col min="2561" max="2561" width="18.7109375" style="30" customWidth="1"/>
    <col min="2562" max="2567" width="17.5703125" style="30" customWidth="1"/>
    <col min="2568" max="2568" width="14.28515625" style="30" customWidth="1"/>
    <col min="2569" max="2570" width="15.140625" style="30" customWidth="1"/>
    <col min="2571" max="2816" width="9.140625" style="30"/>
    <col min="2817" max="2817" width="18.7109375" style="30" customWidth="1"/>
    <col min="2818" max="2823" width="17.5703125" style="30" customWidth="1"/>
    <col min="2824" max="2824" width="14.28515625" style="30" customWidth="1"/>
    <col min="2825" max="2826" width="15.140625" style="30" customWidth="1"/>
    <col min="2827" max="3072" width="9.140625" style="30"/>
    <col min="3073" max="3073" width="18.7109375" style="30" customWidth="1"/>
    <col min="3074" max="3079" width="17.5703125" style="30" customWidth="1"/>
    <col min="3080" max="3080" width="14.28515625" style="30" customWidth="1"/>
    <col min="3081" max="3082" width="15.140625" style="30" customWidth="1"/>
    <col min="3083" max="3328" width="9.140625" style="30"/>
    <col min="3329" max="3329" width="18.7109375" style="30" customWidth="1"/>
    <col min="3330" max="3335" width="17.5703125" style="30" customWidth="1"/>
    <col min="3336" max="3336" width="14.28515625" style="30" customWidth="1"/>
    <col min="3337" max="3338" width="15.140625" style="30" customWidth="1"/>
    <col min="3339" max="3584" width="9.140625" style="30"/>
    <col min="3585" max="3585" width="18.7109375" style="30" customWidth="1"/>
    <col min="3586" max="3591" width="17.5703125" style="30" customWidth="1"/>
    <col min="3592" max="3592" width="14.28515625" style="30" customWidth="1"/>
    <col min="3593" max="3594" width="15.140625" style="30" customWidth="1"/>
    <col min="3595" max="3840" width="9.140625" style="30"/>
    <col min="3841" max="3841" width="18.7109375" style="30" customWidth="1"/>
    <col min="3842" max="3847" width="17.5703125" style="30" customWidth="1"/>
    <col min="3848" max="3848" width="14.28515625" style="30" customWidth="1"/>
    <col min="3849" max="3850" width="15.140625" style="30" customWidth="1"/>
    <col min="3851" max="4096" width="9.140625" style="30"/>
    <col min="4097" max="4097" width="18.7109375" style="30" customWidth="1"/>
    <col min="4098" max="4103" width="17.5703125" style="30" customWidth="1"/>
    <col min="4104" max="4104" width="14.28515625" style="30" customWidth="1"/>
    <col min="4105" max="4106" width="15.140625" style="30" customWidth="1"/>
    <col min="4107" max="4352" width="9.140625" style="30"/>
    <col min="4353" max="4353" width="18.7109375" style="30" customWidth="1"/>
    <col min="4354" max="4359" width="17.5703125" style="30" customWidth="1"/>
    <col min="4360" max="4360" width="14.28515625" style="30" customWidth="1"/>
    <col min="4361" max="4362" width="15.140625" style="30" customWidth="1"/>
    <col min="4363" max="4608" width="9.140625" style="30"/>
    <col min="4609" max="4609" width="18.7109375" style="30" customWidth="1"/>
    <col min="4610" max="4615" width="17.5703125" style="30" customWidth="1"/>
    <col min="4616" max="4616" width="14.28515625" style="30" customWidth="1"/>
    <col min="4617" max="4618" width="15.140625" style="30" customWidth="1"/>
    <col min="4619" max="4864" width="9.140625" style="30"/>
    <col min="4865" max="4865" width="18.7109375" style="30" customWidth="1"/>
    <col min="4866" max="4871" width="17.5703125" style="30" customWidth="1"/>
    <col min="4872" max="4872" width="14.28515625" style="30" customWidth="1"/>
    <col min="4873" max="4874" width="15.140625" style="30" customWidth="1"/>
    <col min="4875" max="5120" width="9.140625" style="30"/>
    <col min="5121" max="5121" width="18.7109375" style="30" customWidth="1"/>
    <col min="5122" max="5127" width="17.5703125" style="30" customWidth="1"/>
    <col min="5128" max="5128" width="14.28515625" style="30" customWidth="1"/>
    <col min="5129" max="5130" width="15.140625" style="30" customWidth="1"/>
    <col min="5131" max="5376" width="9.140625" style="30"/>
    <col min="5377" max="5377" width="18.7109375" style="30" customWidth="1"/>
    <col min="5378" max="5383" width="17.5703125" style="30" customWidth="1"/>
    <col min="5384" max="5384" width="14.28515625" style="30" customWidth="1"/>
    <col min="5385" max="5386" width="15.140625" style="30" customWidth="1"/>
    <col min="5387" max="5632" width="9.140625" style="30"/>
    <col min="5633" max="5633" width="18.7109375" style="30" customWidth="1"/>
    <col min="5634" max="5639" width="17.5703125" style="30" customWidth="1"/>
    <col min="5640" max="5640" width="14.28515625" style="30" customWidth="1"/>
    <col min="5641" max="5642" width="15.140625" style="30" customWidth="1"/>
    <col min="5643" max="5888" width="9.140625" style="30"/>
    <col min="5889" max="5889" width="18.7109375" style="30" customWidth="1"/>
    <col min="5890" max="5895" width="17.5703125" style="30" customWidth="1"/>
    <col min="5896" max="5896" width="14.28515625" style="30" customWidth="1"/>
    <col min="5897" max="5898" width="15.140625" style="30" customWidth="1"/>
    <col min="5899" max="6144" width="9.140625" style="30"/>
    <col min="6145" max="6145" width="18.7109375" style="30" customWidth="1"/>
    <col min="6146" max="6151" width="17.5703125" style="30" customWidth="1"/>
    <col min="6152" max="6152" width="14.28515625" style="30" customWidth="1"/>
    <col min="6153" max="6154" width="15.140625" style="30" customWidth="1"/>
    <col min="6155" max="6400" width="9.140625" style="30"/>
    <col min="6401" max="6401" width="18.7109375" style="30" customWidth="1"/>
    <col min="6402" max="6407" width="17.5703125" style="30" customWidth="1"/>
    <col min="6408" max="6408" width="14.28515625" style="30" customWidth="1"/>
    <col min="6409" max="6410" width="15.140625" style="30" customWidth="1"/>
    <col min="6411" max="6656" width="9.140625" style="30"/>
    <col min="6657" max="6657" width="18.7109375" style="30" customWidth="1"/>
    <col min="6658" max="6663" width="17.5703125" style="30" customWidth="1"/>
    <col min="6664" max="6664" width="14.28515625" style="30" customWidth="1"/>
    <col min="6665" max="6666" width="15.140625" style="30" customWidth="1"/>
    <col min="6667" max="6912" width="9.140625" style="30"/>
    <col min="6913" max="6913" width="18.7109375" style="30" customWidth="1"/>
    <col min="6914" max="6919" width="17.5703125" style="30" customWidth="1"/>
    <col min="6920" max="6920" width="14.28515625" style="30" customWidth="1"/>
    <col min="6921" max="6922" width="15.140625" style="30" customWidth="1"/>
    <col min="6923" max="7168" width="9.140625" style="30"/>
    <col min="7169" max="7169" width="18.7109375" style="30" customWidth="1"/>
    <col min="7170" max="7175" width="17.5703125" style="30" customWidth="1"/>
    <col min="7176" max="7176" width="14.28515625" style="30" customWidth="1"/>
    <col min="7177" max="7178" width="15.140625" style="30" customWidth="1"/>
    <col min="7179" max="7424" width="9.140625" style="30"/>
    <col min="7425" max="7425" width="18.7109375" style="30" customWidth="1"/>
    <col min="7426" max="7431" width="17.5703125" style="30" customWidth="1"/>
    <col min="7432" max="7432" width="14.28515625" style="30" customWidth="1"/>
    <col min="7433" max="7434" width="15.140625" style="30" customWidth="1"/>
    <col min="7435" max="7680" width="9.140625" style="30"/>
    <col min="7681" max="7681" width="18.7109375" style="30" customWidth="1"/>
    <col min="7682" max="7687" width="17.5703125" style="30" customWidth="1"/>
    <col min="7688" max="7688" width="14.28515625" style="30" customWidth="1"/>
    <col min="7689" max="7690" width="15.140625" style="30" customWidth="1"/>
    <col min="7691" max="7936" width="9.140625" style="30"/>
    <col min="7937" max="7937" width="18.7109375" style="30" customWidth="1"/>
    <col min="7938" max="7943" width="17.5703125" style="30" customWidth="1"/>
    <col min="7944" max="7944" width="14.28515625" style="30" customWidth="1"/>
    <col min="7945" max="7946" width="15.140625" style="30" customWidth="1"/>
    <col min="7947" max="8192" width="9.140625" style="30"/>
    <col min="8193" max="8193" width="18.7109375" style="30" customWidth="1"/>
    <col min="8194" max="8199" width="17.5703125" style="30" customWidth="1"/>
    <col min="8200" max="8200" width="14.28515625" style="30" customWidth="1"/>
    <col min="8201" max="8202" width="15.140625" style="30" customWidth="1"/>
    <col min="8203" max="8448" width="9.140625" style="30"/>
    <col min="8449" max="8449" width="18.7109375" style="30" customWidth="1"/>
    <col min="8450" max="8455" width="17.5703125" style="30" customWidth="1"/>
    <col min="8456" max="8456" width="14.28515625" style="30" customWidth="1"/>
    <col min="8457" max="8458" width="15.140625" style="30" customWidth="1"/>
    <col min="8459" max="8704" width="9.140625" style="30"/>
    <col min="8705" max="8705" width="18.7109375" style="30" customWidth="1"/>
    <col min="8706" max="8711" width="17.5703125" style="30" customWidth="1"/>
    <col min="8712" max="8712" width="14.28515625" style="30" customWidth="1"/>
    <col min="8713" max="8714" width="15.140625" style="30" customWidth="1"/>
    <col min="8715" max="8960" width="9.140625" style="30"/>
    <col min="8961" max="8961" width="18.7109375" style="30" customWidth="1"/>
    <col min="8962" max="8967" width="17.5703125" style="30" customWidth="1"/>
    <col min="8968" max="8968" width="14.28515625" style="30" customWidth="1"/>
    <col min="8969" max="8970" width="15.140625" style="30" customWidth="1"/>
    <col min="8971" max="9216" width="9.140625" style="30"/>
    <col min="9217" max="9217" width="18.7109375" style="30" customWidth="1"/>
    <col min="9218" max="9223" width="17.5703125" style="30" customWidth="1"/>
    <col min="9224" max="9224" width="14.28515625" style="30" customWidth="1"/>
    <col min="9225" max="9226" width="15.140625" style="30" customWidth="1"/>
    <col min="9227" max="9472" width="9.140625" style="30"/>
    <col min="9473" max="9473" width="18.7109375" style="30" customWidth="1"/>
    <col min="9474" max="9479" width="17.5703125" style="30" customWidth="1"/>
    <col min="9480" max="9480" width="14.28515625" style="30" customWidth="1"/>
    <col min="9481" max="9482" width="15.140625" style="30" customWidth="1"/>
    <col min="9483" max="9728" width="9.140625" style="30"/>
    <col min="9729" max="9729" width="18.7109375" style="30" customWidth="1"/>
    <col min="9730" max="9735" width="17.5703125" style="30" customWidth="1"/>
    <col min="9736" max="9736" width="14.28515625" style="30" customWidth="1"/>
    <col min="9737" max="9738" width="15.140625" style="30" customWidth="1"/>
    <col min="9739" max="9984" width="9.140625" style="30"/>
    <col min="9985" max="9985" width="18.7109375" style="30" customWidth="1"/>
    <col min="9986" max="9991" width="17.5703125" style="30" customWidth="1"/>
    <col min="9992" max="9992" width="14.28515625" style="30" customWidth="1"/>
    <col min="9993" max="9994" width="15.140625" style="30" customWidth="1"/>
    <col min="9995" max="10240" width="9.140625" style="30"/>
    <col min="10241" max="10241" width="18.7109375" style="30" customWidth="1"/>
    <col min="10242" max="10247" width="17.5703125" style="30" customWidth="1"/>
    <col min="10248" max="10248" width="14.28515625" style="30" customWidth="1"/>
    <col min="10249" max="10250" width="15.140625" style="30" customWidth="1"/>
    <col min="10251" max="10496" width="9.140625" style="30"/>
    <col min="10497" max="10497" width="18.7109375" style="30" customWidth="1"/>
    <col min="10498" max="10503" width="17.5703125" style="30" customWidth="1"/>
    <col min="10504" max="10504" width="14.28515625" style="30" customWidth="1"/>
    <col min="10505" max="10506" width="15.140625" style="30" customWidth="1"/>
    <col min="10507" max="10752" width="9.140625" style="30"/>
    <col min="10753" max="10753" width="18.7109375" style="30" customWidth="1"/>
    <col min="10754" max="10759" width="17.5703125" style="30" customWidth="1"/>
    <col min="10760" max="10760" width="14.28515625" style="30" customWidth="1"/>
    <col min="10761" max="10762" width="15.140625" style="30" customWidth="1"/>
    <col min="10763" max="11008" width="9.140625" style="30"/>
    <col min="11009" max="11009" width="18.7109375" style="30" customWidth="1"/>
    <col min="11010" max="11015" width="17.5703125" style="30" customWidth="1"/>
    <col min="11016" max="11016" width="14.28515625" style="30" customWidth="1"/>
    <col min="11017" max="11018" width="15.140625" style="30" customWidth="1"/>
    <col min="11019" max="11264" width="9.140625" style="30"/>
    <col min="11265" max="11265" width="18.7109375" style="30" customWidth="1"/>
    <col min="11266" max="11271" width="17.5703125" style="30" customWidth="1"/>
    <col min="11272" max="11272" width="14.28515625" style="30" customWidth="1"/>
    <col min="11273" max="11274" width="15.140625" style="30" customWidth="1"/>
    <col min="11275" max="11520" width="9.140625" style="30"/>
    <col min="11521" max="11521" width="18.7109375" style="30" customWidth="1"/>
    <col min="11522" max="11527" width="17.5703125" style="30" customWidth="1"/>
    <col min="11528" max="11528" width="14.28515625" style="30" customWidth="1"/>
    <col min="11529" max="11530" width="15.140625" style="30" customWidth="1"/>
    <col min="11531" max="11776" width="9.140625" style="30"/>
    <col min="11777" max="11777" width="18.7109375" style="30" customWidth="1"/>
    <col min="11778" max="11783" width="17.5703125" style="30" customWidth="1"/>
    <col min="11784" max="11784" width="14.28515625" style="30" customWidth="1"/>
    <col min="11785" max="11786" width="15.140625" style="30" customWidth="1"/>
    <col min="11787" max="12032" width="9.140625" style="30"/>
    <col min="12033" max="12033" width="18.7109375" style="30" customWidth="1"/>
    <col min="12034" max="12039" width="17.5703125" style="30" customWidth="1"/>
    <col min="12040" max="12040" width="14.28515625" style="30" customWidth="1"/>
    <col min="12041" max="12042" width="15.140625" style="30" customWidth="1"/>
    <col min="12043" max="12288" width="9.140625" style="30"/>
    <col min="12289" max="12289" width="18.7109375" style="30" customWidth="1"/>
    <col min="12290" max="12295" width="17.5703125" style="30" customWidth="1"/>
    <col min="12296" max="12296" width="14.28515625" style="30" customWidth="1"/>
    <col min="12297" max="12298" width="15.140625" style="30" customWidth="1"/>
    <col min="12299" max="12544" width="9.140625" style="30"/>
    <col min="12545" max="12545" width="18.7109375" style="30" customWidth="1"/>
    <col min="12546" max="12551" width="17.5703125" style="30" customWidth="1"/>
    <col min="12552" max="12552" width="14.28515625" style="30" customWidth="1"/>
    <col min="12553" max="12554" width="15.140625" style="30" customWidth="1"/>
    <col min="12555" max="12800" width="9.140625" style="30"/>
    <col min="12801" max="12801" width="18.7109375" style="30" customWidth="1"/>
    <col min="12802" max="12807" width="17.5703125" style="30" customWidth="1"/>
    <col min="12808" max="12808" width="14.28515625" style="30" customWidth="1"/>
    <col min="12809" max="12810" width="15.140625" style="30" customWidth="1"/>
    <col min="12811" max="13056" width="9.140625" style="30"/>
    <col min="13057" max="13057" width="18.7109375" style="30" customWidth="1"/>
    <col min="13058" max="13063" width="17.5703125" style="30" customWidth="1"/>
    <col min="13064" max="13064" width="14.28515625" style="30" customWidth="1"/>
    <col min="13065" max="13066" width="15.140625" style="30" customWidth="1"/>
    <col min="13067" max="13312" width="9.140625" style="30"/>
    <col min="13313" max="13313" width="18.7109375" style="30" customWidth="1"/>
    <col min="13314" max="13319" width="17.5703125" style="30" customWidth="1"/>
    <col min="13320" max="13320" width="14.28515625" style="30" customWidth="1"/>
    <col min="13321" max="13322" width="15.140625" style="30" customWidth="1"/>
    <col min="13323" max="13568" width="9.140625" style="30"/>
    <col min="13569" max="13569" width="18.7109375" style="30" customWidth="1"/>
    <col min="13570" max="13575" width="17.5703125" style="30" customWidth="1"/>
    <col min="13576" max="13576" width="14.28515625" style="30" customWidth="1"/>
    <col min="13577" max="13578" width="15.140625" style="30" customWidth="1"/>
    <col min="13579" max="13824" width="9.140625" style="30"/>
    <col min="13825" max="13825" width="18.7109375" style="30" customWidth="1"/>
    <col min="13826" max="13831" width="17.5703125" style="30" customWidth="1"/>
    <col min="13832" max="13832" width="14.28515625" style="30" customWidth="1"/>
    <col min="13833" max="13834" width="15.140625" style="30" customWidth="1"/>
    <col min="13835" max="14080" width="9.140625" style="30"/>
    <col min="14081" max="14081" width="18.7109375" style="30" customWidth="1"/>
    <col min="14082" max="14087" width="17.5703125" style="30" customWidth="1"/>
    <col min="14088" max="14088" width="14.28515625" style="30" customWidth="1"/>
    <col min="14089" max="14090" width="15.140625" style="30" customWidth="1"/>
    <col min="14091" max="14336" width="9.140625" style="30"/>
    <col min="14337" max="14337" width="18.7109375" style="30" customWidth="1"/>
    <col min="14338" max="14343" width="17.5703125" style="30" customWidth="1"/>
    <col min="14344" max="14344" width="14.28515625" style="30" customWidth="1"/>
    <col min="14345" max="14346" width="15.140625" style="30" customWidth="1"/>
    <col min="14347" max="14592" width="9.140625" style="30"/>
    <col min="14593" max="14593" width="18.7109375" style="30" customWidth="1"/>
    <col min="14594" max="14599" width="17.5703125" style="30" customWidth="1"/>
    <col min="14600" max="14600" width="14.28515625" style="30" customWidth="1"/>
    <col min="14601" max="14602" width="15.140625" style="30" customWidth="1"/>
    <col min="14603" max="14848" width="9.140625" style="30"/>
    <col min="14849" max="14849" width="18.7109375" style="30" customWidth="1"/>
    <col min="14850" max="14855" width="17.5703125" style="30" customWidth="1"/>
    <col min="14856" max="14856" width="14.28515625" style="30" customWidth="1"/>
    <col min="14857" max="14858" width="15.140625" style="30" customWidth="1"/>
    <col min="14859" max="15104" width="9.140625" style="30"/>
    <col min="15105" max="15105" width="18.7109375" style="30" customWidth="1"/>
    <col min="15106" max="15111" width="17.5703125" style="30" customWidth="1"/>
    <col min="15112" max="15112" width="14.28515625" style="30" customWidth="1"/>
    <col min="15113" max="15114" width="15.140625" style="30" customWidth="1"/>
    <col min="15115" max="15360" width="9.140625" style="30"/>
    <col min="15361" max="15361" width="18.7109375" style="30" customWidth="1"/>
    <col min="15362" max="15367" width="17.5703125" style="30" customWidth="1"/>
    <col min="15368" max="15368" width="14.28515625" style="30" customWidth="1"/>
    <col min="15369" max="15370" width="15.140625" style="30" customWidth="1"/>
    <col min="15371" max="15616" width="9.140625" style="30"/>
    <col min="15617" max="15617" width="18.7109375" style="30" customWidth="1"/>
    <col min="15618" max="15623" width="17.5703125" style="30" customWidth="1"/>
    <col min="15624" max="15624" width="14.28515625" style="30" customWidth="1"/>
    <col min="15625" max="15626" width="15.140625" style="30" customWidth="1"/>
    <col min="15627" max="15872" width="9.140625" style="30"/>
    <col min="15873" max="15873" width="18.7109375" style="30" customWidth="1"/>
    <col min="15874" max="15879" width="17.5703125" style="30" customWidth="1"/>
    <col min="15880" max="15880" width="14.28515625" style="30" customWidth="1"/>
    <col min="15881" max="15882" width="15.140625" style="30" customWidth="1"/>
    <col min="15883" max="16128" width="9.140625" style="30"/>
    <col min="16129" max="16129" width="18.7109375" style="30" customWidth="1"/>
    <col min="16130" max="16135" width="17.5703125" style="30" customWidth="1"/>
    <col min="16136" max="16136" width="14.28515625" style="30" customWidth="1"/>
    <col min="16137" max="16138" width="15.140625" style="30" customWidth="1"/>
    <col min="16139" max="16384" width="9.140625" style="30"/>
  </cols>
  <sheetData>
    <row r="1" spans="1:10" x14ac:dyDescent="0.2">
      <c r="A1" s="30" t="s">
        <v>483</v>
      </c>
    </row>
    <row r="3" spans="1:10" ht="39.75" customHeight="1" x14ac:dyDescent="0.2">
      <c r="A3" s="32"/>
      <c r="B3" s="208" t="s">
        <v>465</v>
      </c>
      <c r="C3" s="209"/>
      <c r="D3" s="210"/>
      <c r="E3" s="208" t="s">
        <v>466</v>
      </c>
      <c r="F3" s="209"/>
      <c r="G3" s="210"/>
      <c r="H3" s="208" t="s">
        <v>467</v>
      </c>
      <c r="I3" s="209"/>
      <c r="J3" s="210"/>
    </row>
    <row r="4" spans="1:10" ht="15.75" x14ac:dyDescent="0.25">
      <c r="A4" s="32"/>
      <c r="B4" s="172">
        <v>42004</v>
      </c>
      <c r="C4" s="172">
        <v>42369</v>
      </c>
      <c r="D4" s="172">
        <v>42735</v>
      </c>
      <c r="E4" s="172">
        <v>42004</v>
      </c>
      <c r="F4" s="172">
        <v>42369</v>
      </c>
      <c r="G4" s="172">
        <v>42735</v>
      </c>
      <c r="H4" s="172">
        <v>42004</v>
      </c>
      <c r="I4" s="172">
        <v>42369</v>
      </c>
      <c r="J4" s="172">
        <v>42735</v>
      </c>
    </row>
    <row r="5" spans="1:10" ht="18" x14ac:dyDescent="0.25">
      <c r="A5" s="173" t="s">
        <v>468</v>
      </c>
      <c r="B5" s="174"/>
      <c r="C5" s="174"/>
      <c r="D5" s="174"/>
      <c r="E5" s="174"/>
      <c r="F5" s="174"/>
      <c r="G5" s="174"/>
      <c r="H5" s="175"/>
      <c r="I5" s="175"/>
      <c r="J5" s="174"/>
    </row>
    <row r="6" spans="1:10" x14ac:dyDescent="0.2">
      <c r="A6" s="32" t="s">
        <v>469</v>
      </c>
      <c r="B6" s="143">
        <f>SUM(E6+H6)</f>
        <v>13469250</v>
      </c>
      <c r="C6" s="143">
        <f>SUM(F6+I6)</f>
        <v>13469250</v>
      </c>
      <c r="D6" s="143">
        <f>SUM(G6+J6)</f>
        <v>2704082</v>
      </c>
      <c r="E6" s="143">
        <v>13448140</v>
      </c>
      <c r="F6" s="143">
        <v>13448140</v>
      </c>
      <c r="G6" s="143">
        <v>2682972</v>
      </c>
      <c r="H6" s="143">
        <v>21110</v>
      </c>
      <c r="I6" s="143">
        <v>21110</v>
      </c>
      <c r="J6" s="143">
        <v>21110</v>
      </c>
    </row>
    <row r="7" spans="1:10" x14ac:dyDescent="0.2">
      <c r="A7" s="116" t="s">
        <v>470</v>
      </c>
      <c r="B7" s="143">
        <f t="shared" ref="B7:D34" si="0">SUM(E7+H7)</f>
        <v>13278320</v>
      </c>
      <c r="C7" s="143">
        <f t="shared" si="0"/>
        <v>13348260</v>
      </c>
      <c r="D7" s="143">
        <f t="shared" si="0"/>
        <v>2682972</v>
      </c>
      <c r="E7" s="143">
        <v>13278320</v>
      </c>
      <c r="F7" s="143">
        <v>13348260</v>
      </c>
      <c r="G7" s="143">
        <v>2682972</v>
      </c>
      <c r="H7" s="143">
        <v>0</v>
      </c>
      <c r="I7" s="143">
        <v>0</v>
      </c>
      <c r="J7" s="143">
        <v>0</v>
      </c>
    </row>
    <row r="8" spans="1:10" x14ac:dyDescent="0.2">
      <c r="A8" s="116" t="s">
        <v>471</v>
      </c>
      <c r="B8" s="143">
        <f t="shared" si="0"/>
        <v>44551</v>
      </c>
      <c r="C8" s="143">
        <f t="shared" si="0"/>
        <v>0</v>
      </c>
      <c r="D8" s="143">
        <f t="shared" si="0"/>
        <v>0</v>
      </c>
      <c r="E8" s="143">
        <v>44551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</row>
    <row r="9" spans="1:10" x14ac:dyDescent="0.2">
      <c r="A9" s="32" t="s">
        <v>472</v>
      </c>
      <c r="B9" s="143">
        <f t="shared" si="0"/>
        <v>12825951</v>
      </c>
      <c r="C9" s="143">
        <f t="shared" si="0"/>
        <v>13428108</v>
      </c>
      <c r="D9" s="143">
        <f t="shared" si="0"/>
        <v>2693317</v>
      </c>
      <c r="E9" s="143">
        <f>SUM(E6-E10)</f>
        <v>12822361</v>
      </c>
      <c r="F9" s="143">
        <f>SUM(F6-F10)</f>
        <v>13421141</v>
      </c>
      <c r="G9" s="143">
        <v>2682972</v>
      </c>
      <c r="H9" s="143">
        <f>SUM(H6-H10)</f>
        <v>3590</v>
      </c>
      <c r="I9" s="143">
        <f>SUM(I6-I10)</f>
        <v>6967</v>
      </c>
      <c r="J9" s="143">
        <v>10345</v>
      </c>
    </row>
    <row r="10" spans="1:10" x14ac:dyDescent="0.2">
      <c r="A10" s="32" t="s">
        <v>473</v>
      </c>
      <c r="B10" s="143">
        <f t="shared" si="0"/>
        <v>643299</v>
      </c>
      <c r="C10" s="143">
        <f t="shared" si="0"/>
        <v>41142</v>
      </c>
      <c r="D10" s="143">
        <f t="shared" si="0"/>
        <v>10765</v>
      </c>
      <c r="E10" s="143">
        <v>625779</v>
      </c>
      <c r="F10" s="143">
        <v>26999</v>
      </c>
      <c r="G10" s="143">
        <f>SUM(G6-G9)</f>
        <v>0</v>
      </c>
      <c r="H10" s="143">
        <v>17520</v>
      </c>
      <c r="I10" s="143">
        <v>14143</v>
      </c>
      <c r="J10" s="143">
        <f>SUM(J6-J9)</f>
        <v>10765</v>
      </c>
    </row>
    <row r="11" spans="1:10" ht="18" x14ac:dyDescent="0.25">
      <c r="A11" s="173" t="s">
        <v>474</v>
      </c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 x14ac:dyDescent="0.2">
      <c r="A12" s="32" t="s">
        <v>469</v>
      </c>
      <c r="B12" s="143">
        <f t="shared" si="0"/>
        <v>1354126841</v>
      </c>
      <c r="C12" s="143">
        <f t="shared" si="0"/>
        <v>1621057538</v>
      </c>
      <c r="D12" s="143">
        <f t="shared" si="0"/>
        <v>1706645987</v>
      </c>
      <c r="E12" s="143">
        <f>1097271626+245800140+11055075</f>
        <v>1354126841</v>
      </c>
      <c r="F12" s="143">
        <f>1360906168+249096295+11055075</f>
        <v>1621057538</v>
      </c>
      <c r="G12" s="143">
        <v>1706645987</v>
      </c>
      <c r="H12" s="143">
        <v>0</v>
      </c>
      <c r="I12" s="143">
        <v>0</v>
      </c>
      <c r="J12" s="143">
        <v>0</v>
      </c>
    </row>
    <row r="13" spans="1:10" x14ac:dyDescent="0.2">
      <c r="A13" s="116" t="s">
        <v>470</v>
      </c>
      <c r="B13" s="143">
        <f t="shared" si="0"/>
        <v>907500</v>
      </c>
      <c r="C13" s="143">
        <f t="shared" si="0"/>
        <v>907500</v>
      </c>
      <c r="D13" s="143">
        <f t="shared" si="0"/>
        <v>907500</v>
      </c>
      <c r="E13" s="143">
        <v>907500</v>
      </c>
      <c r="F13" s="143">
        <v>907500</v>
      </c>
      <c r="G13" s="143">
        <v>907500</v>
      </c>
      <c r="H13" s="143">
        <v>0</v>
      </c>
      <c r="I13" s="143">
        <v>0</v>
      </c>
      <c r="J13" s="143">
        <v>0</v>
      </c>
    </row>
    <row r="14" spans="1:10" x14ac:dyDescent="0.2">
      <c r="A14" s="116" t="s">
        <v>471</v>
      </c>
      <c r="B14" s="143">
        <f t="shared" si="0"/>
        <v>0</v>
      </c>
      <c r="C14" s="143">
        <f t="shared" si="0"/>
        <v>0</v>
      </c>
      <c r="D14" s="143">
        <f t="shared" si="0"/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</row>
    <row r="15" spans="1:10" x14ac:dyDescent="0.2">
      <c r="A15" s="32" t="s">
        <v>472</v>
      </c>
      <c r="B15" s="143">
        <f t="shared" si="0"/>
        <v>264233730</v>
      </c>
      <c r="C15" s="143">
        <f t="shared" si="0"/>
        <v>331632492</v>
      </c>
      <c r="D15" s="143">
        <f t="shared" si="0"/>
        <v>362150217</v>
      </c>
      <c r="E15" s="143">
        <f>SUM(E12-E16)</f>
        <v>264233730</v>
      </c>
      <c r="F15" s="143">
        <f>SUM(F12-F16)</f>
        <v>331632492</v>
      </c>
      <c r="G15" s="143">
        <v>362150217</v>
      </c>
      <c r="H15" s="143">
        <f>SUM(H12-H16)</f>
        <v>0</v>
      </c>
      <c r="I15" s="143">
        <f>SUM(I12-I16)</f>
        <v>0</v>
      </c>
      <c r="J15" s="143">
        <v>0</v>
      </c>
    </row>
    <row r="16" spans="1:10" x14ac:dyDescent="0.2">
      <c r="A16" s="32" t="s">
        <v>473</v>
      </c>
      <c r="B16" s="143">
        <f t="shared" si="0"/>
        <v>1089893111</v>
      </c>
      <c r="C16" s="143">
        <f t="shared" si="0"/>
        <v>1289425046</v>
      </c>
      <c r="D16" s="143">
        <f t="shared" si="0"/>
        <v>1345403270</v>
      </c>
      <c r="E16" s="143">
        <f>953003237+133129780+3760094</f>
        <v>1089893111</v>
      </c>
      <c r="F16" s="143">
        <f>1157027003+3428504+128969539</f>
        <v>1289425046</v>
      </c>
      <c r="G16" s="143">
        <f>SUM(G12+G13-G15)</f>
        <v>1345403270</v>
      </c>
      <c r="H16" s="143">
        <v>0</v>
      </c>
      <c r="I16" s="143">
        <v>0</v>
      </c>
      <c r="J16" s="143">
        <f>SUM(J12-J15)</f>
        <v>0</v>
      </c>
    </row>
    <row r="17" spans="1:10" ht="18" x14ac:dyDescent="0.25">
      <c r="A17" s="173" t="s">
        <v>475</v>
      </c>
      <c r="B17" s="143"/>
      <c r="C17" s="143"/>
      <c r="D17" s="143">
        <f t="shared" si="0"/>
        <v>0</v>
      </c>
      <c r="E17" s="143"/>
      <c r="F17" s="143"/>
      <c r="G17" s="143"/>
      <c r="H17" s="143"/>
      <c r="I17" s="143"/>
      <c r="J17" s="143"/>
    </row>
    <row r="18" spans="1:10" x14ac:dyDescent="0.2">
      <c r="A18" s="32" t="s">
        <v>469</v>
      </c>
      <c r="B18" s="143">
        <f t="shared" si="0"/>
        <v>44536941</v>
      </c>
      <c r="C18" s="143">
        <f t="shared" si="0"/>
        <v>44111902</v>
      </c>
      <c r="D18" s="143">
        <f t="shared" si="0"/>
        <v>17761821</v>
      </c>
      <c r="E18" s="143">
        <v>43818262</v>
      </c>
      <c r="F18" s="143">
        <v>43385591</v>
      </c>
      <c r="G18" s="143">
        <f>389038+15088818+1493623</f>
        <v>16971479</v>
      </c>
      <c r="H18" s="143">
        <v>718679</v>
      </c>
      <c r="I18" s="143">
        <v>726311</v>
      </c>
      <c r="J18" s="143">
        <v>790342</v>
      </c>
    </row>
    <row r="19" spans="1:10" x14ac:dyDescent="0.2">
      <c r="A19" s="116" t="s">
        <v>470</v>
      </c>
      <c r="B19" s="143">
        <f t="shared" si="0"/>
        <v>40703796</v>
      </c>
      <c r="C19" s="143">
        <f t="shared" si="0"/>
        <v>41203107</v>
      </c>
      <c r="D19" s="143">
        <f t="shared" si="0"/>
        <v>15733134</v>
      </c>
      <c r="E19" s="143">
        <v>40703796</v>
      </c>
      <c r="F19" s="143">
        <v>40655397</v>
      </c>
      <c r="G19" s="143">
        <v>15088818</v>
      </c>
      <c r="H19" s="143">
        <v>0</v>
      </c>
      <c r="I19" s="143">
        <v>547710</v>
      </c>
      <c r="J19" s="143">
        <v>644316</v>
      </c>
    </row>
    <row r="20" spans="1:10" x14ac:dyDescent="0.2">
      <c r="A20" s="116" t="s">
        <v>471</v>
      </c>
      <c r="B20" s="143">
        <f t="shared" si="0"/>
        <v>1468693</v>
      </c>
      <c r="C20" s="143">
        <f t="shared" si="0"/>
        <v>1495421</v>
      </c>
      <c r="D20" s="143">
        <f t="shared" si="0"/>
        <v>1523531</v>
      </c>
      <c r="E20" s="143">
        <v>1468693</v>
      </c>
      <c r="F20" s="143">
        <v>1465513</v>
      </c>
      <c r="G20" s="143">
        <v>1493623</v>
      </c>
      <c r="H20" s="143">
        <v>0</v>
      </c>
      <c r="I20" s="143">
        <v>29908</v>
      </c>
      <c r="J20" s="143">
        <v>29908</v>
      </c>
    </row>
    <row r="21" spans="1:10" x14ac:dyDescent="0.2">
      <c r="A21" s="32" t="s">
        <v>472</v>
      </c>
      <c r="B21" s="143">
        <f t="shared" si="0"/>
        <v>43744811</v>
      </c>
      <c r="C21" s="143">
        <f t="shared" si="0"/>
        <v>43806721</v>
      </c>
      <c r="D21" s="143">
        <f t="shared" si="0"/>
        <v>17681797</v>
      </c>
      <c r="E21" s="143">
        <f>SUM(E18-E22)</f>
        <v>43298529</v>
      </c>
      <c r="F21" s="143">
        <f>SUM(F18-F22)</f>
        <v>43127946</v>
      </c>
      <c r="G21" s="143">
        <v>16940656</v>
      </c>
      <c r="H21" s="143">
        <f>SUM(H18-H22)</f>
        <v>446282</v>
      </c>
      <c r="I21" s="143">
        <f>SUM(I18-I22)</f>
        <v>678775</v>
      </c>
      <c r="J21" s="143">
        <v>741141</v>
      </c>
    </row>
    <row r="22" spans="1:10" x14ac:dyDescent="0.2">
      <c r="A22" s="32" t="s">
        <v>473</v>
      </c>
      <c r="B22" s="143">
        <f t="shared" si="0"/>
        <v>792130</v>
      </c>
      <c r="C22" s="143">
        <f t="shared" si="0"/>
        <v>305181</v>
      </c>
      <c r="D22" s="143">
        <f t="shared" si="0"/>
        <v>80024</v>
      </c>
      <c r="E22" s="143">
        <v>519733</v>
      </c>
      <c r="F22" s="143">
        <v>257645</v>
      </c>
      <c r="G22" s="143">
        <f>SUM(G18-G21)</f>
        <v>30823</v>
      </c>
      <c r="H22" s="143">
        <v>272397</v>
      </c>
      <c r="I22" s="143">
        <v>47536</v>
      </c>
      <c r="J22" s="143">
        <f>SUM(J18-J21)</f>
        <v>49201</v>
      </c>
    </row>
    <row r="23" spans="1:10" ht="18" x14ac:dyDescent="0.25">
      <c r="A23" s="173" t="s">
        <v>476</v>
      </c>
      <c r="B23" s="143"/>
      <c r="C23" s="143"/>
      <c r="D23" s="143">
        <f t="shared" si="0"/>
        <v>0</v>
      </c>
      <c r="E23" s="143"/>
      <c r="F23" s="143"/>
      <c r="G23" s="143"/>
      <c r="H23" s="143"/>
      <c r="I23" s="143"/>
      <c r="J23" s="143"/>
    </row>
    <row r="24" spans="1:10" x14ac:dyDescent="0.2">
      <c r="A24" s="32" t="s">
        <v>469</v>
      </c>
      <c r="B24" s="143">
        <f t="shared" si="0"/>
        <v>94637020</v>
      </c>
      <c r="C24" s="143">
        <f t="shared" si="0"/>
        <v>96235556</v>
      </c>
      <c r="D24" s="143">
        <f t="shared" si="0"/>
        <v>97388688</v>
      </c>
      <c r="E24" s="176">
        <f>22892096+886756+69592456</f>
        <v>93371308</v>
      </c>
      <c r="F24" s="143">
        <f>23524869+886756+70489518</f>
        <v>94901143</v>
      </c>
      <c r="G24" s="143">
        <f>1985280+190000+17319279+2456780+17459557+63850+56494769</f>
        <v>95969515</v>
      </c>
      <c r="H24" s="143">
        <v>1265712</v>
      </c>
      <c r="I24" s="143">
        <v>1334413</v>
      </c>
      <c r="J24" s="143">
        <v>1419173</v>
      </c>
    </row>
    <row r="25" spans="1:10" x14ac:dyDescent="0.2">
      <c r="A25" s="116" t="s">
        <v>470</v>
      </c>
      <c r="B25" s="143">
        <f t="shared" si="0"/>
        <v>61792605</v>
      </c>
      <c r="C25" s="143">
        <f t="shared" si="0"/>
        <v>77854296</v>
      </c>
      <c r="D25" s="143">
        <f t="shared" si="0"/>
        <v>74346040</v>
      </c>
      <c r="E25" s="143">
        <f>9368126+822906+51118077</f>
        <v>61309109</v>
      </c>
      <c r="F25" s="143">
        <f>16300200+822906+60247694</f>
        <v>77370800</v>
      </c>
      <c r="G25" s="176">
        <f>17319279+56494769</f>
        <v>73814048</v>
      </c>
      <c r="H25" s="143">
        <v>483496</v>
      </c>
      <c r="I25" s="143">
        <v>483496</v>
      </c>
      <c r="J25" s="143">
        <v>531992</v>
      </c>
    </row>
    <row r="26" spans="1:10" x14ac:dyDescent="0.2">
      <c r="A26" s="116" t="s">
        <v>471</v>
      </c>
      <c r="B26" s="143">
        <f t="shared" si="0"/>
        <v>1278760</v>
      </c>
      <c r="C26" s="143">
        <f t="shared" si="0"/>
        <v>1689034</v>
      </c>
      <c r="D26" s="143">
        <f t="shared" si="0"/>
        <v>2746091</v>
      </c>
      <c r="E26" s="143">
        <f>1142910+63850</f>
        <v>1206760</v>
      </c>
      <c r="F26" s="143">
        <v>1548333</v>
      </c>
      <c r="G26" s="143">
        <f>2456780+63850</f>
        <v>2520630</v>
      </c>
      <c r="H26" s="143">
        <v>72000</v>
      </c>
      <c r="I26" s="143">
        <v>140701</v>
      </c>
      <c r="J26" s="143">
        <v>225461</v>
      </c>
    </row>
    <row r="27" spans="1:10" x14ac:dyDescent="0.2">
      <c r="A27" s="32" t="s">
        <v>472</v>
      </c>
      <c r="B27" s="143">
        <f t="shared" si="0"/>
        <v>86568793</v>
      </c>
      <c r="C27" s="143">
        <f t="shared" si="0"/>
        <v>90740413</v>
      </c>
      <c r="D27" s="143">
        <f t="shared" si="0"/>
        <v>92038349</v>
      </c>
      <c r="E27" s="143">
        <f>SUM(E24-E28)</f>
        <v>85639359</v>
      </c>
      <c r="F27" s="143">
        <f>SUM(F24-F28)</f>
        <v>89639296</v>
      </c>
      <c r="G27" s="143">
        <f>20859072+69895610</f>
        <v>90754682</v>
      </c>
      <c r="H27" s="143">
        <f>SUM(H24-H28)</f>
        <v>929434</v>
      </c>
      <c r="I27" s="143">
        <f>SUM(I24-I28)</f>
        <v>1101117</v>
      </c>
      <c r="J27" s="143">
        <v>1283667</v>
      </c>
    </row>
    <row r="28" spans="1:10" x14ac:dyDescent="0.2">
      <c r="A28" s="32" t="s">
        <v>473</v>
      </c>
      <c r="B28" s="143">
        <f t="shared" si="0"/>
        <v>8068227</v>
      </c>
      <c r="C28" s="143">
        <f t="shared" si="0"/>
        <v>5495143</v>
      </c>
      <c r="D28" s="143">
        <f t="shared" si="0"/>
        <v>5350339</v>
      </c>
      <c r="E28" s="143">
        <f>2578853+5153096</f>
        <v>7731949</v>
      </c>
      <c r="F28" s="143">
        <f>1370607+3891240</f>
        <v>5261847</v>
      </c>
      <c r="G28" s="143">
        <f>SUM(G24-G27)</f>
        <v>5214833</v>
      </c>
      <c r="H28" s="143">
        <v>336278</v>
      </c>
      <c r="I28" s="143">
        <v>233296</v>
      </c>
      <c r="J28" s="143">
        <f>SUM(J24-J27)</f>
        <v>135506</v>
      </c>
    </row>
    <row r="29" spans="1:10" ht="18" x14ac:dyDescent="0.25">
      <c r="A29" s="173" t="s">
        <v>442</v>
      </c>
      <c r="B29" s="143"/>
      <c r="C29" s="143"/>
      <c r="D29" s="143">
        <f t="shared" si="0"/>
        <v>0</v>
      </c>
      <c r="E29" s="143"/>
      <c r="F29" s="143"/>
      <c r="G29" s="143"/>
      <c r="H29" s="32"/>
      <c r="I29" s="32"/>
      <c r="J29" s="143"/>
    </row>
    <row r="30" spans="1:10" x14ac:dyDescent="0.2">
      <c r="A30" s="32" t="s">
        <v>469</v>
      </c>
      <c r="B30" s="143">
        <f t="shared" si="0"/>
        <v>10890040</v>
      </c>
      <c r="C30" s="143">
        <f t="shared" si="0"/>
        <v>18880040</v>
      </c>
      <c r="D30" s="143">
        <f t="shared" si="0"/>
        <v>18880040</v>
      </c>
      <c r="E30" s="143">
        <v>10890040</v>
      </c>
      <c r="F30" s="143">
        <v>18880040</v>
      </c>
      <c r="G30" s="143">
        <f>7990000+10890040</f>
        <v>18880040</v>
      </c>
      <c r="H30" s="32">
        <v>0</v>
      </c>
      <c r="I30" s="32">
        <v>0</v>
      </c>
      <c r="J30" s="143">
        <v>0</v>
      </c>
    </row>
    <row r="31" spans="1:10" x14ac:dyDescent="0.2">
      <c r="A31" s="116" t="s">
        <v>470</v>
      </c>
      <c r="B31" s="143">
        <f t="shared" si="0"/>
        <v>10890040</v>
      </c>
      <c r="C31" s="143">
        <f t="shared" si="0"/>
        <v>10890040</v>
      </c>
      <c r="D31" s="143">
        <f t="shared" si="0"/>
        <v>10890040</v>
      </c>
      <c r="E31" s="143">
        <v>10890040</v>
      </c>
      <c r="F31" s="143">
        <v>10890040</v>
      </c>
      <c r="G31" s="143">
        <v>10890040</v>
      </c>
      <c r="H31" s="32">
        <v>0</v>
      </c>
      <c r="I31" s="32">
        <v>0</v>
      </c>
      <c r="J31" s="143">
        <v>0</v>
      </c>
    </row>
    <row r="32" spans="1:10" x14ac:dyDescent="0.2">
      <c r="A32" s="116" t="s">
        <v>471</v>
      </c>
      <c r="B32" s="143">
        <f t="shared" si="0"/>
        <v>0</v>
      </c>
      <c r="C32" s="143">
        <f t="shared" si="0"/>
        <v>0</v>
      </c>
      <c r="D32" s="143">
        <f t="shared" si="0"/>
        <v>0</v>
      </c>
      <c r="E32" s="143">
        <v>0</v>
      </c>
      <c r="F32" s="143">
        <v>0</v>
      </c>
      <c r="G32" s="143">
        <v>0</v>
      </c>
      <c r="H32" s="32">
        <v>0</v>
      </c>
      <c r="I32" s="32">
        <v>0</v>
      </c>
      <c r="J32" s="143">
        <v>0</v>
      </c>
    </row>
    <row r="33" spans="1:10" x14ac:dyDescent="0.2">
      <c r="A33" s="32" t="s">
        <v>472</v>
      </c>
      <c r="B33" s="143">
        <f t="shared" si="0"/>
        <v>10890040</v>
      </c>
      <c r="C33" s="143">
        <f t="shared" si="0"/>
        <v>11178993</v>
      </c>
      <c r="D33" s="143">
        <f t="shared" si="0"/>
        <v>12776993</v>
      </c>
      <c r="E33" s="143">
        <f>SUM(E30-E34)</f>
        <v>10890040</v>
      </c>
      <c r="F33" s="143">
        <f>SUM(F30-F34)</f>
        <v>11178993</v>
      </c>
      <c r="G33" s="143">
        <f>1886953+10890040</f>
        <v>12776993</v>
      </c>
      <c r="H33" s="143">
        <f>SUM(H30-H34)</f>
        <v>0</v>
      </c>
      <c r="I33" s="143">
        <f>SUM(I30-I34)</f>
        <v>0</v>
      </c>
      <c r="J33" s="143">
        <v>0</v>
      </c>
    </row>
    <row r="34" spans="1:10" x14ac:dyDescent="0.2">
      <c r="A34" s="32" t="s">
        <v>473</v>
      </c>
      <c r="B34" s="143">
        <f t="shared" si="0"/>
        <v>0</v>
      </c>
      <c r="C34" s="143">
        <f t="shared" si="0"/>
        <v>7701047</v>
      </c>
      <c r="D34" s="143">
        <f t="shared" si="0"/>
        <v>6103047</v>
      </c>
      <c r="E34" s="143">
        <v>0</v>
      </c>
      <c r="F34" s="143">
        <v>7701047</v>
      </c>
      <c r="G34" s="143">
        <f>SUM(G30-G33)</f>
        <v>6103047</v>
      </c>
      <c r="H34" s="32">
        <v>0</v>
      </c>
      <c r="I34" s="32">
        <v>0</v>
      </c>
      <c r="J34" s="143">
        <f>SUM(J30-J33)</f>
        <v>0</v>
      </c>
    </row>
    <row r="35" spans="1:10" x14ac:dyDescent="0.2">
      <c r="E35" s="150"/>
      <c r="F35" s="29" t="s">
        <v>477</v>
      </c>
      <c r="G35" s="150">
        <f>SUM(G6+G12+G18+G24+G30)</f>
        <v>1841149993</v>
      </c>
    </row>
    <row r="36" spans="1:10" x14ac:dyDescent="0.2">
      <c r="G36" s="150">
        <f>SUM(G9+G15+G21+G27+G33)</f>
        <v>485305520</v>
      </c>
    </row>
    <row r="37" spans="1:10" x14ac:dyDescent="0.2">
      <c r="G37" s="150">
        <f>SUM(G10+G16+G22+G28+G34)</f>
        <v>1356751973</v>
      </c>
    </row>
  </sheetData>
  <mergeCells count="3">
    <mergeCell ref="B3:D3"/>
    <mergeCell ref="E3:G3"/>
    <mergeCell ref="H3:J3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A2" sqref="A2"/>
    </sheetView>
  </sheetViews>
  <sheetFormatPr defaultRowHeight="12.75" x14ac:dyDescent="0.2"/>
  <cols>
    <col min="4" max="4" width="21.28515625" bestFit="1" customWidth="1"/>
  </cols>
  <sheetData>
    <row r="2" spans="1:8" x14ac:dyDescent="0.2">
      <c r="A2" t="s">
        <v>484</v>
      </c>
    </row>
    <row r="12" spans="1:8" ht="30" x14ac:dyDescent="0.2">
      <c r="A12" s="211" t="s">
        <v>257</v>
      </c>
      <c r="B12" s="211"/>
      <c r="C12" s="211"/>
      <c r="D12" s="211"/>
      <c r="E12" s="211"/>
      <c r="F12" s="211"/>
      <c r="G12" s="211"/>
      <c r="H12" s="211"/>
    </row>
    <row r="13" spans="1:8" ht="27.75" x14ac:dyDescent="0.4">
      <c r="C13" s="28"/>
      <c r="D13" s="28"/>
      <c r="E13" s="28"/>
    </row>
    <row r="14" spans="1:8" ht="30" x14ac:dyDescent="0.2">
      <c r="A14" s="211">
        <v>2016</v>
      </c>
      <c r="B14" s="211"/>
      <c r="C14" s="211"/>
      <c r="D14" s="211"/>
      <c r="E14" s="211"/>
      <c r="F14" s="211"/>
      <c r="G14" s="211"/>
      <c r="H14" s="211"/>
    </row>
    <row r="15" spans="1:8" ht="27.75" x14ac:dyDescent="0.4">
      <c r="C15" s="28"/>
      <c r="D15" s="28"/>
      <c r="E15" s="28"/>
    </row>
  </sheetData>
  <mergeCells count="2">
    <mergeCell ref="A12:H12"/>
    <mergeCell ref="A14:H1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pane ySplit="3" topLeftCell="A4" activePane="bottomLeft" state="frozen"/>
      <selection pane="bottomLeft" activeCell="C80" sqref="C80"/>
    </sheetView>
  </sheetViews>
  <sheetFormatPr defaultRowHeight="12.75" x14ac:dyDescent="0.2"/>
  <cols>
    <col min="1" max="1" width="8.140625" customWidth="1"/>
    <col min="2" max="2" width="41" customWidth="1"/>
    <col min="3" max="3" width="16.5703125" customWidth="1"/>
    <col min="4" max="4" width="15.42578125" customWidth="1"/>
    <col min="5" max="5" width="13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27.75" customHeight="1" x14ac:dyDescent="0.2">
      <c r="A1" s="212" t="s">
        <v>314</v>
      </c>
      <c r="B1" s="183"/>
      <c r="C1" s="183"/>
      <c r="D1" s="183"/>
      <c r="E1" s="183"/>
    </row>
    <row r="2" spans="1:5" ht="36" customHeight="1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5" x14ac:dyDescent="0.2">
      <c r="A3" s="13">
        <v>2</v>
      </c>
      <c r="B3" s="13">
        <v>3</v>
      </c>
      <c r="C3" s="13">
        <v>4</v>
      </c>
      <c r="D3" s="13">
        <v>5</v>
      </c>
      <c r="E3" s="13">
        <v>6</v>
      </c>
    </row>
    <row r="4" spans="1:5" ht="25.5" x14ac:dyDescent="0.2">
      <c r="A4" s="2" t="s">
        <v>8</v>
      </c>
      <c r="B4" s="3" t="s">
        <v>9</v>
      </c>
      <c r="C4" s="4">
        <v>66872006</v>
      </c>
      <c r="D4" s="4">
        <v>0</v>
      </c>
      <c r="E4" s="4">
        <v>66872006</v>
      </c>
    </row>
    <row r="5" spans="1:5" x14ac:dyDescent="0.2">
      <c r="A5" s="2" t="s">
        <v>10</v>
      </c>
      <c r="B5" s="3" t="s">
        <v>11</v>
      </c>
      <c r="C5" s="4">
        <v>1709360</v>
      </c>
      <c r="D5" s="4">
        <v>0</v>
      </c>
      <c r="E5" s="4">
        <v>1709360</v>
      </c>
    </row>
    <row r="6" spans="1:5" x14ac:dyDescent="0.2">
      <c r="A6" s="2" t="s">
        <v>152</v>
      </c>
      <c r="B6" s="3" t="s">
        <v>245</v>
      </c>
      <c r="C6" s="4">
        <v>400601</v>
      </c>
      <c r="D6" s="4">
        <v>0</v>
      </c>
      <c r="E6" s="4">
        <v>400601</v>
      </c>
    </row>
    <row r="7" spans="1:5" x14ac:dyDescent="0.2">
      <c r="A7" s="2" t="s">
        <v>12</v>
      </c>
      <c r="B7" s="3" t="s">
        <v>13</v>
      </c>
      <c r="C7" s="4">
        <v>2999121</v>
      </c>
      <c r="D7" s="4">
        <v>0</v>
      </c>
      <c r="E7" s="4">
        <v>2999121</v>
      </c>
    </row>
    <row r="8" spans="1:5" x14ac:dyDescent="0.2">
      <c r="A8" s="2" t="s">
        <v>14</v>
      </c>
      <c r="B8" s="3" t="s">
        <v>15</v>
      </c>
      <c r="C8" s="4">
        <v>1971663</v>
      </c>
      <c r="D8" s="4">
        <v>0</v>
      </c>
      <c r="E8" s="4">
        <v>1971663</v>
      </c>
    </row>
    <row r="9" spans="1:5" x14ac:dyDescent="0.2">
      <c r="A9" s="2" t="s">
        <v>16</v>
      </c>
      <c r="B9" s="3" t="s">
        <v>17</v>
      </c>
      <c r="C9" s="4">
        <v>548510</v>
      </c>
      <c r="D9" s="4">
        <v>0</v>
      </c>
      <c r="E9" s="4">
        <v>548510</v>
      </c>
    </row>
    <row r="10" spans="1:5" ht="25.5" x14ac:dyDescent="0.2">
      <c r="A10" s="2" t="s">
        <v>18</v>
      </c>
      <c r="B10" s="3" t="s">
        <v>19</v>
      </c>
      <c r="C10" s="4">
        <v>1591022</v>
      </c>
      <c r="D10" s="4">
        <v>0</v>
      </c>
      <c r="E10" s="4">
        <v>1591022</v>
      </c>
    </row>
    <row r="11" spans="1:5" ht="25.5" x14ac:dyDescent="0.2">
      <c r="A11" s="2" t="s">
        <v>20</v>
      </c>
      <c r="B11" s="3" t="s">
        <v>21</v>
      </c>
      <c r="C11" s="4">
        <v>76092283</v>
      </c>
      <c r="D11" s="4">
        <v>0</v>
      </c>
      <c r="E11" s="4">
        <v>76092283</v>
      </c>
    </row>
    <row r="12" spans="1:5" x14ac:dyDescent="0.2">
      <c r="A12" s="2" t="s">
        <v>22</v>
      </c>
      <c r="B12" s="3" t="s">
        <v>23</v>
      </c>
      <c r="C12" s="4">
        <v>11457263</v>
      </c>
      <c r="D12" s="4">
        <v>0</v>
      </c>
      <c r="E12" s="4">
        <v>11457263</v>
      </c>
    </row>
    <row r="13" spans="1:5" ht="38.25" x14ac:dyDescent="0.2">
      <c r="A13" s="2" t="s">
        <v>24</v>
      </c>
      <c r="B13" s="3" t="s">
        <v>25</v>
      </c>
      <c r="C13" s="4">
        <v>1086753</v>
      </c>
      <c r="D13" s="4">
        <v>0</v>
      </c>
      <c r="E13" s="4">
        <v>1086753</v>
      </c>
    </row>
    <row r="14" spans="1:5" x14ac:dyDescent="0.2">
      <c r="A14" s="2" t="s">
        <v>26</v>
      </c>
      <c r="B14" s="3" t="s">
        <v>27</v>
      </c>
      <c r="C14" s="4">
        <v>728069</v>
      </c>
      <c r="D14" s="4">
        <v>0</v>
      </c>
      <c r="E14" s="4">
        <v>728069</v>
      </c>
    </row>
    <row r="15" spans="1:5" x14ac:dyDescent="0.2">
      <c r="A15" s="2" t="s">
        <v>28</v>
      </c>
      <c r="B15" s="3" t="s">
        <v>29</v>
      </c>
      <c r="C15" s="4">
        <v>13272085</v>
      </c>
      <c r="D15" s="4">
        <v>0</v>
      </c>
      <c r="E15" s="4">
        <v>13272085</v>
      </c>
    </row>
    <row r="16" spans="1:5" x14ac:dyDescent="0.2">
      <c r="A16" s="5" t="s">
        <v>30</v>
      </c>
      <c r="B16" s="6" t="s">
        <v>31</v>
      </c>
      <c r="C16" s="7">
        <v>89364368</v>
      </c>
      <c r="D16" s="7">
        <v>0</v>
      </c>
      <c r="E16" s="7">
        <v>89364368</v>
      </c>
    </row>
    <row r="17" spans="1:5" ht="25.5" x14ac:dyDescent="0.2">
      <c r="A17" s="5" t="s">
        <v>32</v>
      </c>
      <c r="B17" s="6" t="s">
        <v>33</v>
      </c>
      <c r="C17" s="7">
        <v>22830290</v>
      </c>
      <c r="D17" s="7">
        <v>0</v>
      </c>
      <c r="E17" s="7">
        <v>22830290</v>
      </c>
    </row>
    <row r="18" spans="1:5" x14ac:dyDescent="0.2">
      <c r="A18" s="2" t="s">
        <v>34</v>
      </c>
      <c r="B18" s="3" t="s">
        <v>35</v>
      </c>
      <c r="C18" s="4">
        <v>21033190</v>
      </c>
      <c r="D18" s="4">
        <v>0</v>
      </c>
      <c r="E18" s="4">
        <v>21033190</v>
      </c>
    </row>
    <row r="19" spans="1:5" x14ac:dyDescent="0.2">
      <c r="A19" s="2" t="s">
        <v>36</v>
      </c>
      <c r="B19" s="3" t="s">
        <v>37</v>
      </c>
      <c r="C19" s="4">
        <v>580197</v>
      </c>
      <c r="D19" s="4">
        <v>0</v>
      </c>
      <c r="E19" s="4">
        <v>580197</v>
      </c>
    </row>
    <row r="20" spans="1:5" x14ac:dyDescent="0.2">
      <c r="A20" s="2" t="s">
        <v>38</v>
      </c>
      <c r="B20" s="3" t="s">
        <v>39</v>
      </c>
      <c r="C20" s="4">
        <v>664043</v>
      </c>
      <c r="D20" s="4">
        <v>0</v>
      </c>
      <c r="E20" s="4">
        <v>664043</v>
      </c>
    </row>
    <row r="21" spans="1:5" ht="25.5" x14ac:dyDescent="0.2">
      <c r="A21" s="2" t="s">
        <v>40</v>
      </c>
      <c r="B21" s="3" t="s">
        <v>41</v>
      </c>
      <c r="C21" s="4">
        <v>552860</v>
      </c>
      <c r="D21" s="4">
        <v>0</v>
      </c>
      <c r="E21" s="4">
        <v>552860</v>
      </c>
    </row>
    <row r="22" spans="1:5" x14ac:dyDescent="0.2">
      <c r="A22" s="2" t="s">
        <v>42</v>
      </c>
      <c r="B22" s="3" t="s">
        <v>43</v>
      </c>
      <c r="C22" s="4">
        <v>79742</v>
      </c>
      <c r="D22" s="4">
        <v>0</v>
      </c>
      <c r="E22" s="4">
        <v>79742</v>
      </c>
    </row>
    <row r="23" spans="1:5" x14ac:dyDescent="0.2">
      <c r="A23" s="2" t="s">
        <v>44</v>
      </c>
      <c r="B23" s="3" t="s">
        <v>45</v>
      </c>
      <c r="C23" s="4">
        <v>7011502</v>
      </c>
      <c r="D23" s="4">
        <v>0</v>
      </c>
      <c r="E23" s="4">
        <v>7011502</v>
      </c>
    </row>
    <row r="24" spans="1:5" x14ac:dyDescent="0.2">
      <c r="A24" s="2" t="s">
        <v>46</v>
      </c>
      <c r="B24" s="3" t="s">
        <v>47</v>
      </c>
      <c r="C24" s="4">
        <v>7091244</v>
      </c>
      <c r="D24" s="4">
        <v>0</v>
      </c>
      <c r="E24" s="4">
        <v>7091244</v>
      </c>
    </row>
    <row r="25" spans="1:5" ht="25.5" x14ac:dyDescent="0.2">
      <c r="A25" s="2" t="s">
        <v>48</v>
      </c>
      <c r="B25" s="3" t="s">
        <v>49</v>
      </c>
      <c r="C25" s="4">
        <v>926656</v>
      </c>
      <c r="D25" s="4">
        <v>0</v>
      </c>
      <c r="E25" s="4">
        <v>926656</v>
      </c>
    </row>
    <row r="26" spans="1:5" x14ac:dyDescent="0.2">
      <c r="A26" s="2" t="s">
        <v>50</v>
      </c>
      <c r="B26" s="3" t="s">
        <v>51</v>
      </c>
      <c r="C26" s="4">
        <v>489882</v>
      </c>
      <c r="D26" s="4">
        <v>0</v>
      </c>
      <c r="E26" s="4">
        <v>489882</v>
      </c>
    </row>
    <row r="27" spans="1:5" x14ac:dyDescent="0.2">
      <c r="A27" s="2" t="s">
        <v>52</v>
      </c>
      <c r="B27" s="3" t="s">
        <v>53</v>
      </c>
      <c r="C27" s="4">
        <v>1416538</v>
      </c>
      <c r="D27" s="4">
        <v>0</v>
      </c>
      <c r="E27" s="4">
        <v>1416538</v>
      </c>
    </row>
    <row r="28" spans="1:5" x14ac:dyDescent="0.2">
      <c r="A28" s="2" t="s">
        <v>54</v>
      </c>
      <c r="B28" s="3" t="s">
        <v>55</v>
      </c>
      <c r="C28" s="4">
        <v>25467964</v>
      </c>
      <c r="D28" s="4">
        <v>0</v>
      </c>
      <c r="E28" s="4">
        <v>25467964</v>
      </c>
    </row>
    <row r="29" spans="1:5" x14ac:dyDescent="0.2">
      <c r="A29" s="2" t="s">
        <v>56</v>
      </c>
      <c r="B29" s="3" t="s">
        <v>57</v>
      </c>
      <c r="C29" s="4">
        <v>19048367</v>
      </c>
      <c r="D29" s="4">
        <v>0</v>
      </c>
      <c r="E29" s="4">
        <v>19048367</v>
      </c>
    </row>
    <row r="30" spans="1:5" x14ac:dyDescent="0.2">
      <c r="A30" s="2" t="s">
        <v>58</v>
      </c>
      <c r="B30" s="3" t="s">
        <v>59</v>
      </c>
      <c r="C30" s="4">
        <v>729435</v>
      </c>
      <c r="D30" s="4">
        <v>0</v>
      </c>
      <c r="E30" s="4">
        <v>729435</v>
      </c>
    </row>
    <row r="31" spans="1:5" x14ac:dyDescent="0.2">
      <c r="A31" s="2" t="s">
        <v>60</v>
      </c>
      <c r="B31" s="3" t="s">
        <v>61</v>
      </c>
      <c r="C31" s="4">
        <v>3199795</v>
      </c>
      <c r="D31" s="4">
        <v>0</v>
      </c>
      <c r="E31" s="4">
        <v>3199795</v>
      </c>
    </row>
    <row r="32" spans="1:5" x14ac:dyDescent="0.2">
      <c r="A32" s="2" t="s">
        <v>62</v>
      </c>
      <c r="B32" s="3" t="s">
        <v>63</v>
      </c>
      <c r="C32" s="4">
        <v>2874383</v>
      </c>
      <c r="D32" s="4">
        <v>0</v>
      </c>
      <c r="E32" s="4">
        <v>2874383</v>
      </c>
    </row>
    <row r="33" spans="1:5" x14ac:dyDescent="0.2">
      <c r="A33" s="2" t="s">
        <v>64</v>
      </c>
      <c r="B33" s="3" t="s">
        <v>65</v>
      </c>
      <c r="C33" s="4">
        <v>2784956</v>
      </c>
      <c r="D33" s="4">
        <v>0</v>
      </c>
      <c r="E33" s="4">
        <v>2784956</v>
      </c>
    </row>
    <row r="34" spans="1:5" x14ac:dyDescent="0.2">
      <c r="A34" s="2" t="s">
        <v>66</v>
      </c>
      <c r="B34" s="3" t="s">
        <v>67</v>
      </c>
      <c r="C34" s="4">
        <v>13015024</v>
      </c>
      <c r="D34" s="4">
        <v>0</v>
      </c>
      <c r="E34" s="4">
        <v>13015024</v>
      </c>
    </row>
    <row r="35" spans="1:5" x14ac:dyDescent="0.2">
      <c r="A35" s="2" t="s">
        <v>68</v>
      </c>
      <c r="B35" s="3" t="s">
        <v>69</v>
      </c>
      <c r="C35" s="4">
        <v>894123</v>
      </c>
      <c r="D35" s="4">
        <v>0</v>
      </c>
      <c r="E35" s="4">
        <v>894123</v>
      </c>
    </row>
    <row r="36" spans="1:5" ht="25.5" x14ac:dyDescent="0.2">
      <c r="A36" s="2" t="s">
        <v>70</v>
      </c>
      <c r="B36" s="3" t="s">
        <v>71</v>
      </c>
      <c r="C36" s="4">
        <v>64334968</v>
      </c>
      <c r="D36" s="4">
        <v>0</v>
      </c>
      <c r="E36" s="4">
        <v>64334968</v>
      </c>
    </row>
    <row r="37" spans="1:5" x14ac:dyDescent="0.2">
      <c r="A37" s="2" t="s">
        <v>246</v>
      </c>
      <c r="B37" s="3" t="s">
        <v>247</v>
      </c>
      <c r="C37" s="4">
        <v>16859</v>
      </c>
      <c r="D37" s="4">
        <v>0</v>
      </c>
      <c r="E37" s="4">
        <v>16859</v>
      </c>
    </row>
    <row r="38" spans="1:5" ht="25.5" x14ac:dyDescent="0.2">
      <c r="A38" s="2" t="s">
        <v>248</v>
      </c>
      <c r="B38" s="3" t="s">
        <v>249</v>
      </c>
      <c r="C38" s="4">
        <v>16859</v>
      </c>
      <c r="D38" s="4">
        <v>0</v>
      </c>
      <c r="E38" s="4">
        <v>16859</v>
      </c>
    </row>
    <row r="39" spans="1:5" ht="25.5" x14ac:dyDescent="0.2">
      <c r="A39" s="2" t="s">
        <v>72</v>
      </c>
      <c r="B39" s="3" t="s">
        <v>73</v>
      </c>
      <c r="C39" s="4">
        <v>16615794</v>
      </c>
      <c r="D39" s="4">
        <v>0</v>
      </c>
      <c r="E39" s="4">
        <v>16615794</v>
      </c>
    </row>
    <row r="40" spans="1:5" x14ac:dyDescent="0.2">
      <c r="A40" s="2" t="s">
        <v>74</v>
      </c>
      <c r="B40" s="3" t="s">
        <v>75</v>
      </c>
      <c r="C40" s="4">
        <v>14733000</v>
      </c>
      <c r="D40" s="4">
        <v>0</v>
      </c>
      <c r="E40" s="4">
        <v>14733000</v>
      </c>
    </row>
    <row r="41" spans="1:5" x14ac:dyDescent="0.2">
      <c r="A41" s="2" t="s">
        <v>76</v>
      </c>
      <c r="B41" s="3" t="s">
        <v>77</v>
      </c>
      <c r="C41" s="4">
        <v>16287</v>
      </c>
      <c r="D41" s="4">
        <v>0</v>
      </c>
      <c r="E41" s="4">
        <v>16287</v>
      </c>
    </row>
    <row r="42" spans="1:5" x14ac:dyDescent="0.2">
      <c r="A42" s="2" t="s">
        <v>78</v>
      </c>
      <c r="B42" s="3" t="s">
        <v>79</v>
      </c>
      <c r="C42" s="4">
        <v>2864806</v>
      </c>
      <c r="D42" s="4">
        <v>0</v>
      </c>
      <c r="E42" s="4">
        <v>2864806</v>
      </c>
    </row>
    <row r="43" spans="1:5" ht="25.5" x14ac:dyDescent="0.2">
      <c r="A43" s="2" t="s">
        <v>80</v>
      </c>
      <c r="B43" s="3" t="s">
        <v>81</v>
      </c>
      <c r="C43" s="4">
        <v>34229887</v>
      </c>
      <c r="D43" s="4">
        <v>0</v>
      </c>
      <c r="E43" s="4">
        <v>34229887</v>
      </c>
    </row>
    <row r="44" spans="1:5" x14ac:dyDescent="0.2">
      <c r="A44" s="5" t="s">
        <v>82</v>
      </c>
      <c r="B44" s="6" t="s">
        <v>83</v>
      </c>
      <c r="C44" s="7">
        <v>107089496</v>
      </c>
      <c r="D44" s="7">
        <v>0</v>
      </c>
      <c r="E44" s="7">
        <v>107089496</v>
      </c>
    </row>
    <row r="45" spans="1:5" ht="25.5" x14ac:dyDescent="0.2">
      <c r="A45" s="2" t="s">
        <v>86</v>
      </c>
      <c r="B45" s="3" t="s">
        <v>87</v>
      </c>
      <c r="C45" s="4">
        <v>4955526</v>
      </c>
      <c r="D45" s="4">
        <v>0</v>
      </c>
      <c r="E45" s="4">
        <v>4955526</v>
      </c>
    </row>
    <row r="46" spans="1:5" ht="25.5" x14ac:dyDescent="0.2">
      <c r="A46" s="2" t="s">
        <v>88</v>
      </c>
      <c r="B46" s="3" t="s">
        <v>89</v>
      </c>
      <c r="C46" s="4">
        <v>870000</v>
      </c>
      <c r="D46" s="4">
        <v>0</v>
      </c>
      <c r="E46" s="4">
        <v>870000</v>
      </c>
    </row>
    <row r="47" spans="1:5" x14ac:dyDescent="0.2">
      <c r="A47" s="2" t="s">
        <v>90</v>
      </c>
      <c r="B47" s="3" t="s">
        <v>91</v>
      </c>
      <c r="C47" s="4">
        <v>152400</v>
      </c>
      <c r="D47" s="4">
        <v>0</v>
      </c>
      <c r="E47" s="4">
        <v>152400</v>
      </c>
    </row>
    <row r="48" spans="1:5" ht="25.5" x14ac:dyDescent="0.2">
      <c r="A48" s="2" t="s">
        <v>92</v>
      </c>
      <c r="B48" s="3" t="s">
        <v>93</v>
      </c>
      <c r="C48" s="4">
        <v>3362026</v>
      </c>
      <c r="D48" s="4">
        <v>0</v>
      </c>
      <c r="E48" s="4">
        <v>3362026</v>
      </c>
    </row>
    <row r="49" spans="1:5" ht="38.25" x14ac:dyDescent="0.2">
      <c r="A49" s="2" t="s">
        <v>94</v>
      </c>
      <c r="B49" s="3" t="s">
        <v>95</v>
      </c>
      <c r="C49" s="4">
        <v>571100</v>
      </c>
      <c r="D49" s="4">
        <v>0</v>
      </c>
      <c r="E49" s="4">
        <v>571100</v>
      </c>
    </row>
    <row r="50" spans="1:5" ht="25.5" x14ac:dyDescent="0.2">
      <c r="A50" s="5" t="s">
        <v>96</v>
      </c>
      <c r="B50" s="6" t="s">
        <v>97</v>
      </c>
      <c r="C50" s="7">
        <v>4955526</v>
      </c>
      <c r="D50" s="7">
        <v>0</v>
      </c>
      <c r="E50" s="7">
        <v>4955526</v>
      </c>
    </row>
    <row r="51" spans="1:5" ht="25.5" x14ac:dyDescent="0.2">
      <c r="A51" s="2" t="s">
        <v>98</v>
      </c>
      <c r="B51" s="3" t="s">
        <v>99</v>
      </c>
      <c r="C51" s="4">
        <v>2130506</v>
      </c>
      <c r="D51" s="4">
        <v>0</v>
      </c>
      <c r="E51" s="4">
        <v>2130506</v>
      </c>
    </row>
    <row r="52" spans="1:5" ht="25.5" x14ac:dyDescent="0.2">
      <c r="A52" s="2" t="s">
        <v>100</v>
      </c>
      <c r="B52" s="3" t="s">
        <v>101</v>
      </c>
      <c r="C52" s="4">
        <v>2130506</v>
      </c>
      <c r="D52" s="4">
        <v>0</v>
      </c>
      <c r="E52" s="4">
        <v>2130506</v>
      </c>
    </row>
    <row r="53" spans="1:5" ht="38.25" x14ac:dyDescent="0.2">
      <c r="A53" s="2" t="s">
        <v>102</v>
      </c>
      <c r="B53" s="3" t="s">
        <v>103</v>
      </c>
      <c r="C53" s="4">
        <v>108373220</v>
      </c>
      <c r="D53" s="4">
        <v>0</v>
      </c>
      <c r="E53" s="4">
        <v>108373220</v>
      </c>
    </row>
    <row r="54" spans="1:5" ht="25.5" x14ac:dyDescent="0.2">
      <c r="A54" s="2" t="s">
        <v>104</v>
      </c>
      <c r="B54" s="3" t="s">
        <v>105</v>
      </c>
      <c r="C54" s="4">
        <v>441792</v>
      </c>
      <c r="D54" s="4">
        <v>0</v>
      </c>
      <c r="E54" s="4">
        <v>441792</v>
      </c>
    </row>
    <row r="55" spans="1:5" ht="25.5" x14ac:dyDescent="0.2">
      <c r="A55" s="2" t="s">
        <v>106</v>
      </c>
      <c r="B55" s="3" t="s">
        <v>107</v>
      </c>
      <c r="C55" s="4">
        <v>107931428</v>
      </c>
      <c r="D55" s="4">
        <v>0</v>
      </c>
      <c r="E55" s="4">
        <v>107931428</v>
      </c>
    </row>
    <row r="56" spans="1:5" ht="25.5" x14ac:dyDescent="0.2">
      <c r="A56" s="2" t="s">
        <v>110</v>
      </c>
      <c r="B56" s="3" t="s">
        <v>111</v>
      </c>
      <c r="C56" s="4">
        <v>2652565</v>
      </c>
      <c r="D56" s="4">
        <v>0</v>
      </c>
      <c r="E56" s="4">
        <v>2652565</v>
      </c>
    </row>
    <row r="57" spans="1:5" x14ac:dyDescent="0.2">
      <c r="A57" s="2" t="s">
        <v>112</v>
      </c>
      <c r="B57" s="3" t="s">
        <v>113</v>
      </c>
      <c r="C57" s="4">
        <v>2652565</v>
      </c>
      <c r="D57" s="4">
        <v>0</v>
      </c>
      <c r="E57" s="4">
        <v>2652565</v>
      </c>
    </row>
    <row r="58" spans="1:5" ht="38.25" x14ac:dyDescent="0.2">
      <c r="A58" s="5" t="s">
        <v>116</v>
      </c>
      <c r="B58" s="6" t="s">
        <v>117</v>
      </c>
      <c r="C58" s="7">
        <v>113156291</v>
      </c>
      <c r="D58" s="7">
        <v>0</v>
      </c>
      <c r="E58" s="7">
        <v>113156291</v>
      </c>
    </row>
    <row r="59" spans="1:5" ht="25.5" x14ac:dyDescent="0.2">
      <c r="A59" s="2" t="s">
        <v>118</v>
      </c>
      <c r="B59" s="3" t="s">
        <v>119</v>
      </c>
      <c r="C59" s="4">
        <v>1639800</v>
      </c>
      <c r="D59" s="4">
        <v>0</v>
      </c>
      <c r="E59" s="4">
        <v>1639800</v>
      </c>
    </row>
    <row r="60" spans="1:5" ht="25.5" x14ac:dyDescent="0.2">
      <c r="A60" s="2" t="s">
        <v>120</v>
      </c>
      <c r="B60" s="3" t="s">
        <v>121</v>
      </c>
      <c r="C60" s="4">
        <v>2249448</v>
      </c>
      <c r="D60" s="4">
        <v>0</v>
      </c>
      <c r="E60" s="4">
        <v>2249448</v>
      </c>
    </row>
    <row r="61" spans="1:5" ht="25.5" x14ac:dyDescent="0.2">
      <c r="A61" s="2" t="s">
        <v>122</v>
      </c>
      <c r="B61" s="3" t="s">
        <v>123</v>
      </c>
      <c r="C61" s="4">
        <v>1605356</v>
      </c>
      <c r="D61" s="4">
        <v>0</v>
      </c>
      <c r="E61" s="4">
        <v>1605356</v>
      </c>
    </row>
    <row r="62" spans="1:5" ht="25.5" x14ac:dyDescent="0.2">
      <c r="A62" s="2" t="s">
        <v>124</v>
      </c>
      <c r="B62" s="3" t="s">
        <v>125</v>
      </c>
      <c r="C62" s="4">
        <v>1035977</v>
      </c>
      <c r="D62" s="4">
        <v>0</v>
      </c>
      <c r="E62" s="4">
        <v>1035977</v>
      </c>
    </row>
    <row r="63" spans="1:5" x14ac:dyDescent="0.2">
      <c r="A63" s="5" t="s">
        <v>126</v>
      </c>
      <c r="B63" s="6" t="s">
        <v>127</v>
      </c>
      <c r="C63" s="7">
        <v>6530581</v>
      </c>
      <c r="D63" s="7">
        <v>0</v>
      </c>
      <c r="E63" s="7">
        <v>6530581</v>
      </c>
    </row>
    <row r="64" spans="1:5" x14ac:dyDescent="0.2">
      <c r="A64" s="2" t="s">
        <v>128</v>
      </c>
      <c r="B64" s="3" t="s">
        <v>129</v>
      </c>
      <c r="C64" s="4">
        <v>92298923</v>
      </c>
      <c r="D64" s="4">
        <v>0</v>
      </c>
      <c r="E64" s="4">
        <v>92298923</v>
      </c>
    </row>
    <row r="65" spans="1:5" x14ac:dyDescent="0.2">
      <c r="A65" s="2" t="s">
        <v>254</v>
      </c>
      <c r="B65" s="3" t="s">
        <v>255</v>
      </c>
      <c r="C65" s="4">
        <v>64031</v>
      </c>
      <c r="D65" s="4">
        <v>0</v>
      </c>
      <c r="E65" s="4">
        <v>64031</v>
      </c>
    </row>
    <row r="66" spans="1:5" ht="25.5" x14ac:dyDescent="0.2">
      <c r="A66" s="2" t="s">
        <v>132</v>
      </c>
      <c r="B66" s="3" t="s">
        <v>133</v>
      </c>
      <c r="C66" s="4">
        <v>12056739</v>
      </c>
      <c r="D66" s="4">
        <v>0</v>
      </c>
      <c r="E66" s="4">
        <v>12056739</v>
      </c>
    </row>
    <row r="67" spans="1:5" x14ac:dyDescent="0.2">
      <c r="A67" s="5" t="s">
        <v>134</v>
      </c>
      <c r="B67" s="6" t="s">
        <v>135</v>
      </c>
      <c r="C67" s="7">
        <v>104419693</v>
      </c>
      <c r="D67" s="7">
        <v>0</v>
      </c>
      <c r="E67" s="7">
        <v>104419693</v>
      </c>
    </row>
    <row r="68" spans="1:5" ht="38.25" x14ac:dyDescent="0.2">
      <c r="A68" s="2" t="s">
        <v>136</v>
      </c>
      <c r="B68" s="3" t="s">
        <v>137</v>
      </c>
      <c r="C68" s="4">
        <v>62518</v>
      </c>
      <c r="D68" s="4">
        <v>0</v>
      </c>
      <c r="E68" s="4">
        <v>62518</v>
      </c>
    </row>
    <row r="69" spans="1:5" x14ac:dyDescent="0.2">
      <c r="A69" s="2" t="s">
        <v>138</v>
      </c>
      <c r="B69" s="3" t="s">
        <v>139</v>
      </c>
      <c r="C69" s="4">
        <v>62518</v>
      </c>
      <c r="D69" s="4">
        <v>0</v>
      </c>
      <c r="E69" s="4">
        <v>62518</v>
      </c>
    </row>
    <row r="70" spans="1:5" ht="38.25" x14ac:dyDescent="0.2">
      <c r="A70" s="5" t="s">
        <v>140</v>
      </c>
      <c r="B70" s="6" t="s">
        <v>141</v>
      </c>
      <c r="C70" s="7">
        <v>62518</v>
      </c>
      <c r="D70" s="7">
        <v>0</v>
      </c>
      <c r="E70" s="7">
        <v>62518</v>
      </c>
    </row>
    <row r="71" spans="1:5" ht="25.5" x14ac:dyDescent="0.2">
      <c r="A71" s="5" t="s">
        <v>142</v>
      </c>
      <c r="B71" s="6" t="s">
        <v>143</v>
      </c>
      <c r="C71" s="7">
        <v>448408763</v>
      </c>
      <c r="D71" s="7">
        <v>0</v>
      </c>
      <c r="E71" s="7">
        <v>448408763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pane ySplit="3" topLeftCell="A49" activePane="bottomLeft" state="frozen"/>
      <selection pane="bottomLeft" sqref="A1:E52"/>
    </sheetView>
  </sheetViews>
  <sheetFormatPr defaultRowHeight="12.75" x14ac:dyDescent="0.2"/>
  <cols>
    <col min="1" max="1" width="8.140625" customWidth="1"/>
    <col min="2" max="2" width="41" customWidth="1"/>
    <col min="3" max="3" width="18.7109375" customWidth="1"/>
    <col min="4" max="5" width="18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30" customHeight="1" x14ac:dyDescent="0.2">
      <c r="A1" s="212" t="s">
        <v>315</v>
      </c>
      <c r="B1" s="183"/>
      <c r="C1" s="183"/>
      <c r="D1" s="183"/>
      <c r="E1" s="183"/>
    </row>
    <row r="2" spans="1:5" ht="30" x14ac:dyDescent="0.2">
      <c r="A2" s="13"/>
      <c r="B2" s="13" t="s">
        <v>0</v>
      </c>
      <c r="C2" s="13" t="s">
        <v>258</v>
      </c>
      <c r="D2" s="13" t="s">
        <v>259</v>
      </c>
      <c r="E2" s="13" t="s">
        <v>260</v>
      </c>
    </row>
    <row r="3" spans="1:5" ht="14.25" customHeight="1" x14ac:dyDescent="0.2">
      <c r="A3" s="13">
        <v>1</v>
      </c>
      <c r="B3" s="13">
        <v>2</v>
      </c>
      <c r="C3" s="13">
        <v>3</v>
      </c>
      <c r="D3" s="13">
        <v>4</v>
      </c>
      <c r="E3" s="13">
        <v>5</v>
      </c>
    </row>
    <row r="4" spans="1:5" ht="25.5" x14ac:dyDescent="0.2">
      <c r="A4" s="2" t="s">
        <v>8</v>
      </c>
      <c r="B4" s="3" t="s">
        <v>150</v>
      </c>
      <c r="C4" s="4">
        <v>79957252</v>
      </c>
      <c r="D4" s="4">
        <v>0</v>
      </c>
      <c r="E4" s="4">
        <v>79957252</v>
      </c>
    </row>
    <row r="5" spans="1:5" ht="25.5" x14ac:dyDescent="0.2">
      <c r="A5" s="2" t="s">
        <v>10</v>
      </c>
      <c r="B5" s="3" t="s">
        <v>151</v>
      </c>
      <c r="C5" s="4">
        <v>90183767</v>
      </c>
      <c r="D5" s="4">
        <v>0</v>
      </c>
      <c r="E5" s="4">
        <v>90183767</v>
      </c>
    </row>
    <row r="6" spans="1:5" ht="38.25" x14ac:dyDescent="0.2">
      <c r="A6" s="2" t="s">
        <v>152</v>
      </c>
      <c r="B6" s="3" t="s">
        <v>153</v>
      </c>
      <c r="C6" s="4">
        <v>34576954</v>
      </c>
      <c r="D6" s="4">
        <v>0</v>
      </c>
      <c r="E6" s="4">
        <v>34576954</v>
      </c>
    </row>
    <row r="7" spans="1:5" ht="25.5" x14ac:dyDescent="0.2">
      <c r="A7" s="2" t="s">
        <v>154</v>
      </c>
      <c r="B7" s="3" t="s">
        <v>155</v>
      </c>
      <c r="C7" s="4">
        <v>3768840</v>
      </c>
      <c r="D7" s="4">
        <v>0</v>
      </c>
      <c r="E7" s="4">
        <v>3768840</v>
      </c>
    </row>
    <row r="8" spans="1:5" ht="25.5" x14ac:dyDescent="0.2">
      <c r="A8" s="2" t="s">
        <v>156</v>
      </c>
      <c r="B8" s="3" t="s">
        <v>157</v>
      </c>
      <c r="C8" s="4">
        <v>2696282</v>
      </c>
      <c r="D8" s="4">
        <v>0</v>
      </c>
      <c r="E8" s="4">
        <v>2696282</v>
      </c>
    </row>
    <row r="9" spans="1:5" ht="25.5" x14ac:dyDescent="0.2">
      <c r="A9" s="2" t="s">
        <v>12</v>
      </c>
      <c r="B9" s="3" t="s">
        <v>158</v>
      </c>
      <c r="C9" s="4">
        <v>211183095</v>
      </c>
      <c r="D9" s="4">
        <v>0</v>
      </c>
      <c r="E9" s="4">
        <v>211183095</v>
      </c>
    </row>
    <row r="10" spans="1:5" ht="25.5" x14ac:dyDescent="0.2">
      <c r="A10" s="2" t="s">
        <v>46</v>
      </c>
      <c r="B10" s="3" t="s">
        <v>159</v>
      </c>
      <c r="C10" s="4">
        <v>30116975</v>
      </c>
      <c r="D10" s="4">
        <v>0</v>
      </c>
      <c r="E10" s="4">
        <v>30116975</v>
      </c>
    </row>
    <row r="11" spans="1:5" x14ac:dyDescent="0.2">
      <c r="A11" s="2" t="s">
        <v>50</v>
      </c>
      <c r="B11" s="3" t="s">
        <v>160</v>
      </c>
      <c r="C11" s="4">
        <v>526329</v>
      </c>
      <c r="D11" s="4">
        <v>0</v>
      </c>
      <c r="E11" s="4">
        <v>526329</v>
      </c>
    </row>
    <row r="12" spans="1:5" ht="25.5" x14ac:dyDescent="0.2">
      <c r="A12" s="2" t="s">
        <v>54</v>
      </c>
      <c r="B12" s="3" t="s">
        <v>250</v>
      </c>
      <c r="C12" s="4">
        <v>905311</v>
      </c>
      <c r="D12" s="4">
        <v>0</v>
      </c>
      <c r="E12" s="4">
        <v>905311</v>
      </c>
    </row>
    <row r="13" spans="1:5" ht="25.5" x14ac:dyDescent="0.2">
      <c r="A13" s="2" t="s">
        <v>56</v>
      </c>
      <c r="B13" s="3" t="s">
        <v>161</v>
      </c>
      <c r="C13" s="4">
        <v>5271300</v>
      </c>
      <c r="D13" s="4">
        <v>0</v>
      </c>
      <c r="E13" s="4">
        <v>5271300</v>
      </c>
    </row>
    <row r="14" spans="1:5" x14ac:dyDescent="0.2">
      <c r="A14" s="2" t="s">
        <v>58</v>
      </c>
      <c r="B14" s="3" t="s">
        <v>162</v>
      </c>
      <c r="C14" s="4">
        <v>11522622</v>
      </c>
      <c r="D14" s="4">
        <v>0</v>
      </c>
      <c r="E14" s="4">
        <v>11522622</v>
      </c>
    </row>
    <row r="15" spans="1:5" ht="25.5" x14ac:dyDescent="0.2">
      <c r="A15" s="2" t="s">
        <v>60</v>
      </c>
      <c r="B15" s="3" t="s">
        <v>163</v>
      </c>
      <c r="C15" s="4">
        <v>5068413</v>
      </c>
      <c r="D15" s="4">
        <v>0</v>
      </c>
      <c r="E15" s="4">
        <v>5068413</v>
      </c>
    </row>
    <row r="16" spans="1:5" ht="25.5" x14ac:dyDescent="0.2">
      <c r="A16" s="2" t="s">
        <v>62</v>
      </c>
      <c r="B16" s="3" t="s">
        <v>164</v>
      </c>
      <c r="C16" s="4">
        <v>6823000</v>
      </c>
      <c r="D16" s="4">
        <v>0</v>
      </c>
      <c r="E16" s="4">
        <v>6823000</v>
      </c>
    </row>
    <row r="17" spans="1:5" ht="38.25" x14ac:dyDescent="0.2">
      <c r="A17" s="5" t="s">
        <v>165</v>
      </c>
      <c r="B17" s="6" t="s">
        <v>166</v>
      </c>
      <c r="C17" s="7">
        <v>241300070</v>
      </c>
      <c r="D17" s="7">
        <v>0</v>
      </c>
      <c r="E17" s="7">
        <v>241300070</v>
      </c>
    </row>
    <row r="18" spans="1:5" ht="25.5" x14ac:dyDescent="0.2">
      <c r="A18" s="2" t="s">
        <v>66</v>
      </c>
      <c r="B18" s="3" t="s">
        <v>167</v>
      </c>
      <c r="C18" s="4">
        <v>129411706</v>
      </c>
      <c r="D18" s="4">
        <v>0</v>
      </c>
      <c r="E18" s="4">
        <v>129411706</v>
      </c>
    </row>
    <row r="19" spans="1:5" ht="38.25" x14ac:dyDescent="0.2">
      <c r="A19" s="2" t="s">
        <v>168</v>
      </c>
      <c r="B19" s="3" t="s">
        <v>169</v>
      </c>
      <c r="C19" s="4">
        <v>7064000</v>
      </c>
      <c r="D19" s="4">
        <v>0</v>
      </c>
      <c r="E19" s="4">
        <v>7064000</v>
      </c>
    </row>
    <row r="20" spans="1:5" ht="38.25" x14ac:dyDescent="0.2">
      <c r="A20" s="2" t="s">
        <v>170</v>
      </c>
      <c r="B20" s="3" t="s">
        <v>171</v>
      </c>
      <c r="C20" s="4">
        <v>7064000</v>
      </c>
      <c r="D20" s="4">
        <v>0</v>
      </c>
      <c r="E20" s="4">
        <v>7064000</v>
      </c>
    </row>
    <row r="21" spans="1:5" ht="38.25" x14ac:dyDescent="0.2">
      <c r="A21" s="5" t="s">
        <v>172</v>
      </c>
      <c r="B21" s="6" t="s">
        <v>173</v>
      </c>
      <c r="C21" s="7">
        <v>136475706</v>
      </c>
      <c r="D21" s="7">
        <v>0</v>
      </c>
      <c r="E21" s="7">
        <v>136475706</v>
      </c>
    </row>
    <row r="22" spans="1:5" ht="25.5" x14ac:dyDescent="0.2">
      <c r="A22" s="2" t="s">
        <v>174</v>
      </c>
      <c r="B22" s="3" t="s">
        <v>175</v>
      </c>
      <c r="C22" s="4">
        <v>16455</v>
      </c>
      <c r="D22" s="4">
        <v>0</v>
      </c>
      <c r="E22" s="4">
        <v>16455</v>
      </c>
    </row>
    <row r="23" spans="1:5" ht="25.5" x14ac:dyDescent="0.2">
      <c r="A23" s="2" t="s">
        <v>176</v>
      </c>
      <c r="B23" s="3" t="s">
        <v>177</v>
      </c>
      <c r="C23" s="4">
        <v>16455</v>
      </c>
      <c r="D23" s="4">
        <v>0</v>
      </c>
      <c r="E23" s="4">
        <v>16455</v>
      </c>
    </row>
    <row r="24" spans="1:5" x14ac:dyDescent="0.2">
      <c r="A24" s="2" t="s">
        <v>178</v>
      </c>
      <c r="B24" s="3" t="s">
        <v>179</v>
      </c>
      <c r="C24" s="4">
        <v>16455</v>
      </c>
      <c r="D24" s="4">
        <v>0</v>
      </c>
      <c r="E24" s="4">
        <v>16455</v>
      </c>
    </row>
    <row r="25" spans="1:5" ht="25.5" x14ac:dyDescent="0.2">
      <c r="A25" s="2" t="s">
        <v>90</v>
      </c>
      <c r="B25" s="3" t="s">
        <v>180</v>
      </c>
      <c r="C25" s="4">
        <v>55555083</v>
      </c>
      <c r="D25" s="4">
        <v>0</v>
      </c>
      <c r="E25" s="4">
        <v>55555083</v>
      </c>
    </row>
    <row r="26" spans="1:5" ht="38.25" x14ac:dyDescent="0.2">
      <c r="A26" s="2" t="s">
        <v>98</v>
      </c>
      <c r="B26" s="3" t="s">
        <v>181</v>
      </c>
      <c r="C26" s="4">
        <v>55555083</v>
      </c>
      <c r="D26" s="4">
        <v>0</v>
      </c>
      <c r="E26" s="4">
        <v>55555083</v>
      </c>
    </row>
    <row r="27" spans="1:5" x14ac:dyDescent="0.2">
      <c r="A27" s="2" t="s">
        <v>182</v>
      </c>
      <c r="B27" s="3" t="s">
        <v>183</v>
      </c>
      <c r="C27" s="4">
        <v>9725410</v>
      </c>
      <c r="D27" s="4">
        <v>0</v>
      </c>
      <c r="E27" s="4">
        <v>9725410</v>
      </c>
    </row>
    <row r="28" spans="1:5" ht="25.5" x14ac:dyDescent="0.2">
      <c r="A28" s="2" t="s">
        <v>184</v>
      </c>
      <c r="B28" s="3" t="s">
        <v>185</v>
      </c>
      <c r="C28" s="4">
        <v>9725410</v>
      </c>
      <c r="D28" s="4">
        <v>0</v>
      </c>
      <c r="E28" s="4">
        <v>9725410</v>
      </c>
    </row>
    <row r="29" spans="1:5" ht="25.5" x14ac:dyDescent="0.2">
      <c r="A29" s="2" t="s">
        <v>186</v>
      </c>
      <c r="B29" s="3" t="s">
        <v>187</v>
      </c>
      <c r="C29" s="4">
        <v>65280493</v>
      </c>
      <c r="D29" s="4">
        <v>0</v>
      </c>
      <c r="E29" s="4">
        <v>65280493</v>
      </c>
    </row>
    <row r="30" spans="1:5" ht="25.5" x14ac:dyDescent="0.2">
      <c r="A30" s="2" t="s">
        <v>188</v>
      </c>
      <c r="B30" s="3" t="s">
        <v>189</v>
      </c>
      <c r="C30" s="4">
        <v>489487</v>
      </c>
      <c r="D30" s="4">
        <v>0</v>
      </c>
      <c r="E30" s="4">
        <v>489487</v>
      </c>
    </row>
    <row r="31" spans="1:5" x14ac:dyDescent="0.2">
      <c r="A31" s="2" t="s">
        <v>190</v>
      </c>
      <c r="B31" s="3" t="s">
        <v>191</v>
      </c>
      <c r="C31" s="4">
        <v>139254</v>
      </c>
      <c r="D31" s="4">
        <v>0</v>
      </c>
      <c r="E31" s="4">
        <v>139254</v>
      </c>
    </row>
    <row r="32" spans="1:5" ht="25.5" x14ac:dyDescent="0.2">
      <c r="A32" s="5" t="s">
        <v>192</v>
      </c>
      <c r="B32" s="6" t="s">
        <v>193</v>
      </c>
      <c r="C32" s="7">
        <v>65786435</v>
      </c>
      <c r="D32" s="7">
        <v>0</v>
      </c>
      <c r="E32" s="7">
        <v>65786435</v>
      </c>
    </row>
    <row r="33" spans="1:5" x14ac:dyDescent="0.2">
      <c r="A33" s="2" t="s">
        <v>194</v>
      </c>
      <c r="B33" s="3" t="s">
        <v>195</v>
      </c>
      <c r="C33" s="4">
        <v>26213870</v>
      </c>
      <c r="D33" s="4">
        <v>0</v>
      </c>
      <c r="E33" s="4">
        <v>26213870</v>
      </c>
    </row>
    <row r="34" spans="1:5" ht="25.5" x14ac:dyDescent="0.2">
      <c r="A34" s="2" t="s">
        <v>196</v>
      </c>
      <c r="B34" s="3" t="s">
        <v>197</v>
      </c>
      <c r="C34" s="4">
        <v>23687717</v>
      </c>
      <c r="D34" s="4">
        <v>0</v>
      </c>
      <c r="E34" s="4">
        <v>23687717</v>
      </c>
    </row>
    <row r="35" spans="1:5" ht="25.5" x14ac:dyDescent="0.2">
      <c r="A35" s="2" t="s">
        <v>114</v>
      </c>
      <c r="B35" s="3" t="s">
        <v>198</v>
      </c>
      <c r="C35" s="4">
        <v>2816113</v>
      </c>
      <c r="D35" s="4">
        <v>0</v>
      </c>
      <c r="E35" s="4">
        <v>2816113</v>
      </c>
    </row>
    <row r="36" spans="1:5" x14ac:dyDescent="0.2">
      <c r="A36" s="2" t="s">
        <v>116</v>
      </c>
      <c r="B36" s="3" t="s">
        <v>199</v>
      </c>
      <c r="C36" s="4">
        <v>2401091</v>
      </c>
      <c r="D36" s="4">
        <v>0</v>
      </c>
      <c r="E36" s="4">
        <v>2401091</v>
      </c>
    </row>
    <row r="37" spans="1:5" x14ac:dyDescent="0.2">
      <c r="A37" s="2" t="s">
        <v>200</v>
      </c>
      <c r="B37" s="3" t="s">
        <v>201</v>
      </c>
      <c r="C37" s="4">
        <v>7087</v>
      </c>
      <c r="D37" s="4">
        <v>0</v>
      </c>
      <c r="E37" s="4">
        <v>7087</v>
      </c>
    </row>
    <row r="38" spans="1:5" x14ac:dyDescent="0.2">
      <c r="A38" s="2" t="s">
        <v>124</v>
      </c>
      <c r="B38" s="3" t="s">
        <v>202</v>
      </c>
      <c r="C38" s="4">
        <v>5796994</v>
      </c>
      <c r="D38" s="4">
        <v>0</v>
      </c>
      <c r="E38" s="4">
        <v>5796994</v>
      </c>
    </row>
    <row r="39" spans="1:5" x14ac:dyDescent="0.2">
      <c r="A39" s="2" t="s">
        <v>126</v>
      </c>
      <c r="B39" s="3" t="s">
        <v>203</v>
      </c>
      <c r="C39" s="4">
        <v>2478470</v>
      </c>
      <c r="D39" s="4">
        <v>0</v>
      </c>
      <c r="E39" s="4">
        <v>2478470</v>
      </c>
    </row>
    <row r="40" spans="1:5" x14ac:dyDescent="0.2">
      <c r="A40" s="2" t="s">
        <v>128</v>
      </c>
      <c r="B40" s="3" t="s">
        <v>204</v>
      </c>
      <c r="C40" s="4">
        <v>4740000</v>
      </c>
      <c r="D40" s="4">
        <v>0</v>
      </c>
      <c r="E40" s="4">
        <v>4740000</v>
      </c>
    </row>
    <row r="41" spans="1:5" ht="25.5" x14ac:dyDescent="0.2">
      <c r="A41" s="2" t="s">
        <v>134</v>
      </c>
      <c r="B41" s="3" t="s">
        <v>205</v>
      </c>
      <c r="C41" s="4">
        <v>587490</v>
      </c>
      <c r="D41" s="4">
        <v>0</v>
      </c>
      <c r="E41" s="4">
        <v>587490</v>
      </c>
    </row>
    <row r="42" spans="1:5" ht="25.5" x14ac:dyDescent="0.2">
      <c r="A42" s="2" t="s">
        <v>206</v>
      </c>
      <c r="B42" s="3" t="s">
        <v>207</v>
      </c>
      <c r="C42" s="4">
        <v>587490</v>
      </c>
      <c r="D42" s="4">
        <v>0</v>
      </c>
      <c r="E42" s="4">
        <v>587490</v>
      </c>
    </row>
    <row r="43" spans="1:5" ht="25.5" x14ac:dyDescent="0.2">
      <c r="A43" s="2" t="s">
        <v>208</v>
      </c>
      <c r="B43" s="3" t="s">
        <v>209</v>
      </c>
      <c r="C43" s="4">
        <v>3203589</v>
      </c>
      <c r="D43" s="4">
        <v>0</v>
      </c>
      <c r="E43" s="4">
        <v>3203589</v>
      </c>
    </row>
    <row r="44" spans="1:5" ht="38.25" x14ac:dyDescent="0.2">
      <c r="A44" s="5" t="s">
        <v>210</v>
      </c>
      <c r="B44" s="6" t="s">
        <v>211</v>
      </c>
      <c r="C44" s="7">
        <v>45843613</v>
      </c>
      <c r="D44" s="7">
        <v>0</v>
      </c>
      <c r="E44" s="7">
        <v>45843613</v>
      </c>
    </row>
    <row r="45" spans="1:5" x14ac:dyDescent="0.2">
      <c r="A45" s="2" t="s">
        <v>212</v>
      </c>
      <c r="B45" s="3" t="s">
        <v>213</v>
      </c>
      <c r="C45" s="4">
        <v>4547762</v>
      </c>
      <c r="D45" s="4">
        <v>0</v>
      </c>
      <c r="E45" s="4">
        <v>4547762</v>
      </c>
    </row>
    <row r="46" spans="1:5" ht="25.5" x14ac:dyDescent="0.2">
      <c r="A46" s="5" t="s">
        <v>214</v>
      </c>
      <c r="B46" s="6" t="s">
        <v>215</v>
      </c>
      <c r="C46" s="7">
        <v>4547762</v>
      </c>
      <c r="D46" s="7">
        <v>0</v>
      </c>
      <c r="E46" s="7">
        <v>4547762</v>
      </c>
    </row>
    <row r="47" spans="1:5" ht="38.25" x14ac:dyDescent="0.2">
      <c r="A47" s="2" t="s">
        <v>220</v>
      </c>
      <c r="B47" s="3" t="s">
        <v>221</v>
      </c>
      <c r="C47" s="4">
        <v>811660</v>
      </c>
      <c r="D47" s="4">
        <v>0</v>
      </c>
      <c r="E47" s="4">
        <v>811660</v>
      </c>
    </row>
    <row r="48" spans="1:5" x14ac:dyDescent="0.2">
      <c r="A48" s="2" t="s">
        <v>222</v>
      </c>
      <c r="B48" s="3" t="s">
        <v>223</v>
      </c>
      <c r="C48" s="4">
        <v>811660</v>
      </c>
      <c r="D48" s="4">
        <v>0</v>
      </c>
      <c r="E48" s="4">
        <v>811660</v>
      </c>
    </row>
    <row r="49" spans="1:5" ht="25.5" x14ac:dyDescent="0.2">
      <c r="A49" s="2" t="s">
        <v>224</v>
      </c>
      <c r="B49" s="3" t="s">
        <v>225</v>
      </c>
      <c r="C49" s="4">
        <v>220000</v>
      </c>
      <c r="D49" s="4">
        <v>0</v>
      </c>
      <c r="E49" s="4">
        <v>220000</v>
      </c>
    </row>
    <row r="50" spans="1:5" x14ac:dyDescent="0.2">
      <c r="A50" s="2" t="s">
        <v>226</v>
      </c>
      <c r="B50" s="3" t="s">
        <v>227</v>
      </c>
      <c r="C50" s="4">
        <v>220000</v>
      </c>
      <c r="D50" s="4">
        <v>0</v>
      </c>
      <c r="E50" s="4">
        <v>220000</v>
      </c>
    </row>
    <row r="51" spans="1:5" ht="25.5" x14ac:dyDescent="0.2">
      <c r="A51" s="5" t="s">
        <v>228</v>
      </c>
      <c r="B51" s="6" t="s">
        <v>229</v>
      </c>
      <c r="C51" s="7">
        <v>1031660</v>
      </c>
      <c r="D51" s="7">
        <v>0</v>
      </c>
      <c r="E51" s="7">
        <v>1031660</v>
      </c>
    </row>
    <row r="52" spans="1:5" ht="25.5" x14ac:dyDescent="0.2">
      <c r="A52" s="5" t="s">
        <v>230</v>
      </c>
      <c r="B52" s="6" t="s">
        <v>231</v>
      </c>
      <c r="C52" s="7">
        <v>494985246</v>
      </c>
      <c r="D52" s="7">
        <v>0</v>
      </c>
      <c r="E52" s="7">
        <v>494985246</v>
      </c>
    </row>
  </sheetData>
  <mergeCells count="1">
    <mergeCell ref="A1:E1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-20-5f45-27-4666216f9-36-79583948-3374-3e61743c&amp;R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Önkormányzat</vt:lpstr>
      <vt:lpstr>Közös Hivatal</vt:lpstr>
      <vt:lpstr>Művelődési ház</vt:lpstr>
      <vt:lpstr>Közvetett támogatás</vt:lpstr>
      <vt:lpstr>Vagyon bont.forg.kép.sz. </vt:lpstr>
      <vt:lpstr>Önk+MHÁZ</vt:lpstr>
      <vt:lpstr>Fedőlap</vt:lpstr>
      <vt:lpstr>költségvetési kiadások</vt:lpstr>
      <vt:lpstr>költségvetési bevételek</vt:lpstr>
      <vt:lpstr>finanszírozási kiadások</vt:lpstr>
      <vt:lpstr>Finanszírozási bevételek</vt:lpstr>
      <vt:lpstr>mérleg</vt:lpstr>
      <vt:lpstr>eredménykimutatás</vt:lpstr>
      <vt:lpstr>működési-felh. mérleg</vt:lpstr>
      <vt:lpstr>beruházás-felújítás</vt:lpstr>
      <vt:lpstr>'Vagyon bont.forg.kép.sz.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2017-05-17T12:36:50Z</cp:lastPrinted>
  <dcterms:created xsi:type="dcterms:W3CDTF">2017-05-15T05:48:53Z</dcterms:created>
  <dcterms:modified xsi:type="dcterms:W3CDTF">2017-05-25T07:45:00Z</dcterms:modified>
</cp:coreProperties>
</file>